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территорий'!$E$44:$I$44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территорий'!$C$12:$C$44</definedName>
    <definedName name="pDel_LT_MO">'Список территорий'!$D$11:$D$44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ТП!$E$291</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территорий'!$E$11:$I$44</definedName>
    <definedName name="TERRITORY_ID">TEHSHEET!$E$56</definedName>
    <definedName name="TERRITORY_LIST_ID">'Список территорий'!$F$11:$F$44</definedName>
    <definedName name="TERRITORY_MO_LIST">'Список территорий'!$H$11:$H$44</definedName>
    <definedName name="TERRITORY_MR_LIST">'Список территорий'!$G$11:$G$44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территорий'!$G$13:$I$42</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<sst xmlns="http://schemas.openxmlformats.org/spreadsheetml/2006/main" count="15866" uniqueCount="4646">
  <si>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</si>
  <si>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</si>
  <si>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</si>
  <si>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</si>
  <si>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</si>
  <si>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</si>
  <si>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</si>
  <si>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</si>
  <si>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</si>
  <si>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</si>
  <si>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</si>
  <si>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</si>
  <si>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</si>
  <si>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</si>
  <si>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</si>
  <si>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</si>
  <si>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</si>
  <si>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</si>
  <si>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</si>
  <si>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</si>
  <si>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</si>
  <si>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</si>
  <si>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</si>
  <si>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</si>
  <si>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</si>
  <si>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</si>
  <si>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</si>
  <si>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</si>
  <si>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</si>
  <si>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</si>
  <si>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</si>
  <si>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</si>
  <si>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</si>
  <si>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</si>
  <si>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</si>
  <si>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</si>
  <si>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</si>
  <si>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</si>
  <si>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</si>
  <si>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</si>
  <si>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</si>
  <si>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</si>
  <si>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</si>
  <si>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</si>
  <si>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</si>
  <si>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</si>
  <si>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</si>
  <si>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</si>
  <si>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</si>
  <si>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</si>
  <si>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</si>
  <si>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</si>
  <si>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</si>
  <si>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</si>
  <si>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</si>
  <si>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</si>
  <si>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</si>
  <si>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</si>
  <si>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</si>
  <si>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</si>
  <si>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</si>
  <si>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</si>
  <si>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</si>
  <si>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</si>
  <si>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</si>
  <si>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</si>
  <si>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</si>
  <si>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</si>
  <si>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</si>
  <si>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</si>
  <si>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</si>
  <si>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355035, г. Ставрополь, ул. Доваторцев, д. 35 а</t>
  </si>
  <si>
    <t>Фамилия, имя, отчество руководителя</t>
  </si>
  <si>
    <t>Исполняющий обязанности генерального директора - Акимов Вячеслав Владимирович</t>
  </si>
  <si>
    <t>Ответственный за заполнение формы</t>
  </si>
  <si>
    <t>Фамилия, имя, отчество</t>
  </si>
  <si>
    <t>Корниенко Павел Николавевич</t>
  </si>
  <si>
    <t>Должность</t>
  </si>
  <si>
    <t>Начальник группы реализации инвестиционных программ производственно-технического отдела</t>
  </si>
  <si>
    <t>Контактный телефон</t>
  </si>
  <si>
    <t>8(8652) 99-27-47 (доб. 1125)</t>
  </si>
  <si>
    <t>E-mail</t>
  </si>
  <si>
    <t>p.kornienko@skvk.ru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</si>
  <si>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</si>
  <si>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</si>
  <si>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</si>
  <si>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</si>
  <si>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</si>
  <si>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</si>
  <si>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</si>
  <si>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</si>
  <si>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</si>
  <si>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</si>
  <si>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</si>
  <si>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</si>
  <si>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</si>
  <si>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</si>
  <si>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</si>
  <si>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</si>
  <si>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</si>
  <si>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Город-курорт Ессентуки</t>
  </si>
  <si>
    <t>07710000</t>
  </si>
  <si>
    <t>2</t>
  </si>
  <si>
    <t>×</t>
  </si>
  <si>
    <t>286</t>
  </si>
  <si>
    <t>Предгорный муниципальный округ</t>
  </si>
  <si>
    <t>07548000</t>
  </si>
  <si>
    <t>99</t>
  </si>
  <si>
    <t>Город-курорт Железноводск</t>
  </si>
  <si>
    <t>07712000</t>
  </si>
  <si>
    <t>95</t>
  </si>
  <si>
    <t>Город Лермонтов</t>
  </si>
  <si>
    <t>07718000</t>
  </si>
  <si>
    <t>5</t>
  </si>
  <si>
    <t>100</t>
  </si>
  <si>
    <t>Город-курорт Кисловодск</t>
  </si>
  <si>
    <t>07715000</t>
  </si>
  <si>
    <t>37</t>
  </si>
  <si>
    <t>Арзгирский муниципальный округ</t>
  </si>
  <si>
    <t>07507000</t>
  </si>
  <si>
    <t>63</t>
  </si>
  <si>
    <t>Будённовский муниципальный округ</t>
  </si>
  <si>
    <t>07512000</t>
  </si>
  <si>
    <t>8</t>
  </si>
  <si>
    <t>189</t>
  </si>
  <si>
    <t>Курский муниципальный округ</t>
  </si>
  <si>
    <t>07533000</t>
  </si>
  <si>
    <t>9</t>
  </si>
  <si>
    <t>203</t>
  </si>
  <si>
    <t>Левокумский муниципальный округ</t>
  </si>
  <si>
    <t>07536000</t>
  </si>
  <si>
    <t>10</t>
  </si>
  <si>
    <t>233</t>
  </si>
  <si>
    <t>Нефтекумский</t>
  </si>
  <si>
    <t>07725000</t>
  </si>
  <si>
    <t>11</t>
  </si>
  <si>
    <t>312</t>
  </si>
  <si>
    <t>Степновский муниципальный округ</t>
  </si>
  <si>
    <t>07552000</t>
  </si>
  <si>
    <t>12</t>
  </si>
  <si>
    <t>Андроповский муниципальный округ</t>
  </si>
  <si>
    <t>07503000</t>
  </si>
  <si>
    <t>13</t>
  </si>
  <si>
    <t>79</t>
  </si>
  <si>
    <t>Георгиевский</t>
  </si>
  <si>
    <t>07707000</t>
  </si>
  <si>
    <t>14</t>
  </si>
  <si>
    <t>216</t>
  </si>
  <si>
    <t>Минераловодский</t>
  </si>
  <si>
    <t>07721000</t>
  </si>
  <si>
    <t>15</t>
  </si>
  <si>
    <t>147</t>
  </si>
  <si>
    <t>Кировский</t>
  </si>
  <si>
    <t>07716000</t>
  </si>
  <si>
    <t>16</t>
  </si>
  <si>
    <t>101</t>
  </si>
  <si>
    <t>Город-курорт Пятигорск</t>
  </si>
  <si>
    <t>07727000</t>
  </si>
  <si>
    <t>17</t>
  </si>
  <si>
    <t>1</t>
  </si>
  <si>
    <t>Александровский муниципальный округ</t>
  </si>
  <si>
    <t>07502000</t>
  </si>
  <si>
    <t>18</t>
  </si>
  <si>
    <t>261</t>
  </si>
  <si>
    <t>Новоселицкий муниципальный округ</t>
  </si>
  <si>
    <t>07544000</t>
  </si>
  <si>
    <t>19</t>
  </si>
  <si>
    <t>47</t>
  </si>
  <si>
    <t>Благодарненский</t>
  </si>
  <si>
    <t>07705000</t>
  </si>
  <si>
    <t>20</t>
  </si>
  <si>
    <t>329</t>
  </si>
  <si>
    <t>Туркменский муниципальный округ</t>
  </si>
  <si>
    <t>07556000</t>
  </si>
  <si>
    <t>21</t>
  </si>
  <si>
    <t>24</t>
  </si>
  <si>
    <t>Апанасенковский муниципальный округ</t>
  </si>
  <si>
    <t>07505000</t>
  </si>
  <si>
    <t>22</t>
  </si>
  <si>
    <t>129</t>
  </si>
  <si>
    <t>Ипатовский</t>
  </si>
  <si>
    <t>07714000</t>
  </si>
  <si>
    <t>23</t>
  </si>
  <si>
    <t>271</t>
  </si>
  <si>
    <t>Петровский</t>
  </si>
  <si>
    <t>07731000</t>
  </si>
  <si>
    <t>112</t>
  </si>
  <si>
    <t>Изобильненский</t>
  </si>
  <si>
    <t>07713000</t>
  </si>
  <si>
    <t>25</t>
  </si>
  <si>
    <t>247</t>
  </si>
  <si>
    <t>Новоалександровский</t>
  </si>
  <si>
    <t>07726000</t>
  </si>
  <si>
    <t>26</t>
  </si>
  <si>
    <t>176</t>
  </si>
  <si>
    <t>Красногвардейский муниципальный округ</t>
  </si>
  <si>
    <t>07530000</t>
  </si>
  <si>
    <t>27</t>
  </si>
  <si>
    <t>321</t>
  </si>
  <si>
    <t>Труновский муниципальный округ</t>
  </si>
  <si>
    <t>07554000</t>
  </si>
  <si>
    <t>28</t>
  </si>
  <si>
    <t>159</t>
  </si>
  <si>
    <t>Кочубеевский муниципальный округ</t>
  </si>
  <si>
    <t>07528000</t>
  </si>
  <si>
    <t>29</t>
  </si>
  <si>
    <t>104</t>
  </si>
  <si>
    <t>Грачёвский муниципальный район</t>
  </si>
  <si>
    <t>Грачевский сельсовет</t>
  </si>
  <si>
    <t>07617404</t>
  </si>
  <si>
    <t>30</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</si>
  <si>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</si>
  <si>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</si>
  <si>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</si>
  <si>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</si>
  <si>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</si>
  <si>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</si>
  <si>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</si>
  <si>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</si>
  <si>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</si>
  <si>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</si>
  <si>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</si>
  <si>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</si>
  <si>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</si>
  <si>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</si>
  <si>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</si>
  <si>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</si>
  <si>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</si>
  <si>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</si>
  <si>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</si>
  <si>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</si>
  <si>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</si>
  <si>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</si>
  <si>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</si>
  <si>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</si>
  <si>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</si>
  <si>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</si>
  <si>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</si>
  <si>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</si>
  <si>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</si>
  <si>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</si>
  <si>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</si>
  <si>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</si>
  <si>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</si>
  <si>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</si>
  <si>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</si>
  <si>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</si>
  <si>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</si>
  <si>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</si>
  <si>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</si>
  <si>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</si>
  <si>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</si>
  <si>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</si>
  <si>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</si>
  <si>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</si>
  <si>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</si>
  <si>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</si>
  <si>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</si>
  <si>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</si>
  <si>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</si>
  <si>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</si>
  <si>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</si>
  <si>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</si>
  <si>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</si>
  <si>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</si>
  <si>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</si>
  <si>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</si>
  <si>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</si>
  <si>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</si>
  <si>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</si>
  <si>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</si>
  <si>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</si>
  <si>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</si>
  <si>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</si>
  <si>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</si>
  <si>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</si>
  <si>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</si>
  <si>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</si>
  <si>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</si>
  <si>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</si>
  <si>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</si>
  <si>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</si>
  <si>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</si>
  <si>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</si>
  <si>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</si>
  <si>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</si>
  <si>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</si>
  <si>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</si>
  <si>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</si>
  <si>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</si>
  <si>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</si>
  <si>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</si>
  <si>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</si>
  <si>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</si>
  <si>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</si>
  <si>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</si>
  <si>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</si>
  <si>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</si>
  <si>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</si>
  <si>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</si>
  <si>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</si>
  <si>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</si>
  <si>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</si>
  <si>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</si>
  <si>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</si>
  <si>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</si>
  <si>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</si>
  <si>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</si>
  <si>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</si>
  <si>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</si>
  <si>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</si>
  <si>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</si>
  <si>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</si>
  <si>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</si>
  <si>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</si>
  <si>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</si>
  <si>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</si>
  <si>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</si>
  <si>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</si>
  <si>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</si>
  <si>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</si>
  <si>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</si>
  <si>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</si>
  <si>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</si>
  <si>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</si>
  <si>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</si>
  <si>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</si>
  <si>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</si>
  <si>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</si>
  <si>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</si>
  <si>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</si>
  <si>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</si>
  <si>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</si>
  <si>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</si>
  <si>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</si>
  <si>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</si>
  <si>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</si>
  <si>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</si>
  <si>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</si>
  <si>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</si>
  <si>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</si>
  <si>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</si>
  <si>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</si>
  <si>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</si>
  <si>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</si>
  <si>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</si>
  <si>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</si>
  <si>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</si>
  <si>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</si>
  <si>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</si>
  <si>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</si>
  <si>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</si>
  <si>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</si>
  <si>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</si>
  <si>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</si>
  <si>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</si>
  <si>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</si>
  <si>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</si>
  <si>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</si>
  <si>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</si>
  <si>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</si>
  <si>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</si>
  <si>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</si>
  <si>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</si>
  <si>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</si>
  <si>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</si>
  <si>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</si>
  <si>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</si>
  <si>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</si>
  <si>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</si>
  <si>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</si>
  <si>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</si>
  <si>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</si>
  <si>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</si>
  <si>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</si>
  <si>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</si>
  <si>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</si>
  <si>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</si>
  <si>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</si>
  <si>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</si>
  <si>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</si>
  <si>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</si>
  <si>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</si>
  <si>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</si>
  <si>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</si>
  <si>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</si>
  <si>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</si>
  <si>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</si>
  <si>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</si>
  <si>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</si>
  <si>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</si>
  <si>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</si>
  <si>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</si>
  <si>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</si>
  <si>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</si>
  <si>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</si>
  <si>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</si>
  <si>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</si>
  <si>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</si>
  <si>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</si>
  <si>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</si>
  <si>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</si>
  <si>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</si>
  <si>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</si>
  <si>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</si>
  <si>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</si>
  <si>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</si>
  <si>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</si>
  <si>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</si>
  <si>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</si>
  <si>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</si>
  <si>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</si>
  <si>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</si>
  <si>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</si>
  <si>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</si>
  <si>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</si>
  <si>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</si>
  <si>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</si>
  <si>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</si>
  <si>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</si>
  <si>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</si>
  <si>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</si>
  <si>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</si>
  <si>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</si>
  <si>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</si>
  <si>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</si>
  <si>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</si>
  <si>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</si>
  <si>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</si>
  <si>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</si>
  <si>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</si>
  <si>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</si>
  <si>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</si>
  <si>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</si>
  <si>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</si>
  <si>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</si>
  <si>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</si>
  <si>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</si>
  <si>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</si>
  <si>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</si>
  <si>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</si>
  <si>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</si>
  <si>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</si>
  <si>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</si>
  <si>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</si>
  <si>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</si>
  <si>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</si>
  <si>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</si>
  <si>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</si>
  <si>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</si>
  <si>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</si>
  <si>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</si>
  <si>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</si>
  <si>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</si>
  <si>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</si>
  <si>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</si>
  <si>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</si>
  <si>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</si>
  <si>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</si>
  <si>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</si>
  <si>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</si>
  <si>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</si>
  <si>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</si>
  <si>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</si>
  <si>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</si>
  <si>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</si>
  <si>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</si>
  <si>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</si>
  <si>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</si>
  <si>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</si>
  <si>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</si>
  <si>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</si>
  <si>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</si>
  <si>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</si>
  <si>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</si>
  <si>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</si>
  <si>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</si>
  <si>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</si>
  <si>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</si>
  <si>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</si>
  <si>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</si>
  <si>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</si>
  <si>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</si>
  <si>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</si>
  <si>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</si>
  <si>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</si>
  <si>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</si>
  <si>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</si>
  <si>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</si>
  <si>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</si>
  <si>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</si>
  <si>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</si>
  <si>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</si>
  <si>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</si>
  <si>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</si>
  <si>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</si>
  <si>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</si>
  <si>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</si>
  <si>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</si>
  <si>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</si>
  <si>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</si>
  <si>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</si>
  <si>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</si>
  <si>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</si>
  <si>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</si>
  <si>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</si>
  <si>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</si>
  <si>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</si>
  <si>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</si>
  <si>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</si>
  <si>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</si>
  <si>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</si>
  <si>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</si>
  <si>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</si>
  <si>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</si>
  <si>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</si>
  <si>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</si>
  <si>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</si>
  <si>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</si>
  <si>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</si>
  <si>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</si>
  <si>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</si>
  <si>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</si>
  <si>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</si>
  <si>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</si>
  <si>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</si>
  <si>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</si>
  <si>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</si>
  <si>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</si>
  <si>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</si>
  <si>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</si>
  <si>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</si>
  <si>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</si>
  <si>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</si>
  <si>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</si>
  <si>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</si>
  <si>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</si>
  <si>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</si>
  <si>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</si>
  <si>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</si>
  <si>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</si>
  <si>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</si>
  <si>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</si>
  <si>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</si>
  <si>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</si>
  <si>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</si>
  <si>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</si>
  <si>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</si>
  <si>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</si>
  <si>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</si>
  <si>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</si>
  <si>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</si>
  <si>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</si>
  <si>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</si>
  <si>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</si>
  <si>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</si>
  <si>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</si>
  <si>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</si>
  <si>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</si>
  <si>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</si>
  <si>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</si>
  <si>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</si>
  <si>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</si>
  <si>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</si>
  <si>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</si>
  <si>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</si>
  <si>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</si>
  <si>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</si>
  <si>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</si>
  <si>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</si>
  <si>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</si>
  <si>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</si>
  <si>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</si>
  <si>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</si>
  <si>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</si>
  <si>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</si>
  <si>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</si>
  <si>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</si>
  <si>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</si>
  <si>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</si>
  <si>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</si>
  <si>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</si>
  <si>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</si>
  <si>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</si>
  <si>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</si>
  <si>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</si>
  <si>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</si>
  <si>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</si>
  <si>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</si>
  <si>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</si>
  <si>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</si>
  <si>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</si>
  <si>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</si>
  <si>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</si>
  <si>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</si>
  <si>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</si>
  <si>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</si>
  <si>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</si>
  <si>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</si>
  <si>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</si>
  <si>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</si>
  <si>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</si>
  <si>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</si>
  <si>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</si>
  <si>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</si>
  <si>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</si>
  <si>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</si>
  <si>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</si>
  <si>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</si>
  <si>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</si>
  <si>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</si>
  <si>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</si>
  <si>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</si>
  <si>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</si>
  <si>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</si>
  <si>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</si>
  <si>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</si>
  <si>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</si>
  <si>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</si>
  <si>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</si>
  <si>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</si>
  <si>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</si>
  <si>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</si>
  <si>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</si>
  <si>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</si>
  <si>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</si>
  <si>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</si>
  <si>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</si>
  <si>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</si>
  <si>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</si>
  <si>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</si>
  <si>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</si>
  <si>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</si>
  <si>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</si>
  <si>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</si>
  <si>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</si>
  <si>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</si>
  <si>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</si>
  <si>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</si>
  <si>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</si>
  <si>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</si>
  <si>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</si>
  <si>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</si>
  <si>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</si>
  <si>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</si>
  <si>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</si>
  <si>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</si>
  <si>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</si>
  <si>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</si>
  <si>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</si>
  <si>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</si>
  <si>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</si>
  <si>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</si>
  <si>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</si>
  <si>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</si>
  <si>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</si>
  <si>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</si>
  <si>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</si>
  <si>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</si>
  <si>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</si>
  <si>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</si>
  <si>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</si>
  <si>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</si>
  <si>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</si>
  <si>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</si>
  <si>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</si>
  <si>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</si>
  <si>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</si>
  <si>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</si>
  <si>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</si>
  <si>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</si>
  <si>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</si>
  <si>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</si>
  <si>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</si>
  <si>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</si>
  <si>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</si>
  <si>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</si>
  <si>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</si>
  <si>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</si>
  <si>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</si>
  <si>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</si>
  <si>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</si>
  <si>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</si>
  <si>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</si>
  <si>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</si>
  <si>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</si>
  <si>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</si>
  <si>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</si>
  <si>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</si>
  <si>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</si>
  <si>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</si>
  <si>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</si>
  <si>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</si>
  <si>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</si>
  <si>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</si>
  <si>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</si>
  <si>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</si>
  <si>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</si>
  <si>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</si>
  <si>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</si>
  <si>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</si>
  <si>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</si>
  <si>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</si>
  <si>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</si>
  <si>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</si>
  <si>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</si>
  <si>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</si>
  <si>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</si>
  <si>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</si>
  <si>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</si>
  <si>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</si>
  <si>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</si>
  <si>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</si>
  <si>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</si>
  <si>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</si>
  <si>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</si>
  <si>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</si>
  <si>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</si>
  <si>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</si>
  <si>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</si>
  <si>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</si>
  <si>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</si>
  <si>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</si>
  <si>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</si>
  <si>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</si>
  <si>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</si>
  <si>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</si>
  <si>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</si>
  <si>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</si>
  <si>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</si>
  <si>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</si>
  <si>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</si>
  <si>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</si>
  <si>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</si>
  <si>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</si>
  <si>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</si>
  <si>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</si>
  <si>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</si>
  <si>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</si>
  <si>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</si>
  <si>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</si>
  <si>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</si>
  <si>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</si>
  <si>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</si>
  <si>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</si>
  <si>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</si>
  <si>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</si>
  <si>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</si>
  <si>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</si>
  <si>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</si>
  <si>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</si>
  <si>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</si>
  <si>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</si>
  <si>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</si>
  <si>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</si>
  <si>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</si>
  <si>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</si>
  <si>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</si>
  <si>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</si>
  <si>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</si>
  <si>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</si>
  <si>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</si>
  <si>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</si>
  <si>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</si>
  <si>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</si>
  <si>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</si>
  <si>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</si>
  <si>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</si>
  <si>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</si>
  <si>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</si>
  <si>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</si>
  <si>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</si>
  <si>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</si>
  <si>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</si>
  <si>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</si>
  <si>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</si>
  <si>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</si>
  <si>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</si>
  <si>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</si>
  <si>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</si>
  <si>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</si>
  <si>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</si>
  <si>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</si>
  <si>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</si>
  <si>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</si>
  <si>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</si>
  <si>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</si>
  <si>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</si>
  <si>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</si>
  <si>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</si>
  <si>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</si>
  <si>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</si>
  <si>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</si>
  <si>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</si>
  <si>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</si>
  <si>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</si>
  <si>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</si>
  <si>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</si>
  <si>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</si>
  <si>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</si>
  <si>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</si>
  <si>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</si>
  <si>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</si>
  <si>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</si>
  <si>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</si>
  <si>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</si>
  <si>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</si>
  <si>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</si>
  <si>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</si>
  <si>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</si>
  <si>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</si>
  <si>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</si>
  <si>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</si>
  <si>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</si>
  <si>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</si>
  <si>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</si>
  <si>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</si>
  <si>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</si>
  <si>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</si>
  <si>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</si>
  <si>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</si>
  <si>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</si>
  <si>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</si>
  <si>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</si>
  <si>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</si>
  <si>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</si>
  <si>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</si>
  <si>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</si>
  <si>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</si>
  <si>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</si>
  <si>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</si>
  <si>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</si>
  <si>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</si>
  <si>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</si>
  <si>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</si>
  <si>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</si>
  <si>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</si>
  <si>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</si>
  <si>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</si>
  <si>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</si>
  <si>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</si>
  <si>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</si>
  <si>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</si>
  <si>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</si>
  <si>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</si>
  <si>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</si>
  <si>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</si>
  <si>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</si>
  <si>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</si>
  <si>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</si>
  <si>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</si>
  <si>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</si>
  <si>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</si>
  <si>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</si>
  <si>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</si>
  <si>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</si>
  <si>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</si>
  <si>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</si>
  <si>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</si>
  <si>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</si>
  <si>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</si>
  <si>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</si>
  <si>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</si>
  <si>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</si>
  <si>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</si>
  <si>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</si>
  <si>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</si>
  <si>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</si>
  <si>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</si>
  <si>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</si>
  <si>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</si>
  <si>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</si>
  <si>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</si>
  <si>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</si>
  <si>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</si>
  <si>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</si>
  <si>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</si>
  <si>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</si>
  <si>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</si>
  <si>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</si>
  <si>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</si>
  <si>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</si>
  <si>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</si>
  <si>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</si>
  <si>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</si>
  <si>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</si>
  <si>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</si>
  <si>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</si>
  <si>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</si>
  <si>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</si>
  <si>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</si>
  <si>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</si>
  <si>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</si>
  <si>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</si>
  <si>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</si>
  <si>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</si>
  <si>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</si>
  <si>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</si>
  <si>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</si>
  <si>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</si>
  <si>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</si>
  <si>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</si>
  <si>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</si>
  <si>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</si>
  <si>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</si>
  <si>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</si>
  <si>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</si>
  <si>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</si>
  <si>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</si>
  <si>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</si>
  <si>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</si>
  <si>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</si>
  <si>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</si>
  <si>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</si>
  <si>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</si>
  <si>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</si>
  <si>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</si>
  <si>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</si>
  <si>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</si>
  <si>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</si>
  <si>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</si>
  <si>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</si>
  <si>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</si>
  <si>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</si>
  <si>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</si>
  <si>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</si>
  <si>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</si>
  <si>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</si>
  <si>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</si>
  <si>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</si>
  <si>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</si>
  <si>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</si>
  <si>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</si>
  <si>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</si>
  <si>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</si>
  <si>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</si>
  <si>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</si>
  <si>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</si>
  <si>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</si>
  <si>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</si>
  <si>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</si>
  <si>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</si>
  <si>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</si>
  <si>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</si>
  <si>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</si>
  <si>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</si>
  <si>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</si>
  <si>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</si>
  <si>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</si>
  <si>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</si>
  <si>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</si>
  <si>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</si>
  <si>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</si>
  <si>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</si>
  <si>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</si>
  <si>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</si>
  <si>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</si>
  <si>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</si>
  <si>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</si>
  <si>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</si>
  <si>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</si>
  <si>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</si>
  <si>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</si>
  <si>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</si>
  <si>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</si>
  <si>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</si>
  <si>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</si>
  <si>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</si>
  <si>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</si>
  <si>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</si>
  <si>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</si>
  <si>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</si>
  <si>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</si>
  <si>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</si>
  <si>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</si>
  <si>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</si>
  <si>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</si>
  <si>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</si>
  <si>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</si>
  <si>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</si>
  <si>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</si>
  <si>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</si>
  <si>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</si>
  <si>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</si>
  <si>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</si>
  <si>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</si>
  <si>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</si>
  <si>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</si>
  <si>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</si>
  <si>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</si>
  <si>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</si>
  <si>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</si>
  <si>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</si>
  <si>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</si>
  <si>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</si>
  <si>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</si>
  <si>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</si>
  <si>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</si>
  <si>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</si>
  <si>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</si>
  <si>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</si>
  <si>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</si>
  <si>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</si>
  <si>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</si>
  <si>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</si>
  <si>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</si>
  <si>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</si>
  <si>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</si>
  <si>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</si>
  <si>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</si>
  <si>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</si>
  <si>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</si>
  <si>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</si>
  <si>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</si>
  <si>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</si>
  <si>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</si>
  <si>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</si>
  <si>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</si>
  <si>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</si>
  <si>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</si>
  <si>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</si>
  <si>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</si>
  <si>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</si>
  <si>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</si>
  <si>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</si>
  <si>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</si>
  <si>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</si>
  <si>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</si>
  <si>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</si>
  <si>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</si>
  <si>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</si>
  <si>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</si>
  <si>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</si>
  <si>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</si>
  <si>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</si>
  <si>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</si>
  <si>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</si>
  <si>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</si>
  <si>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</si>
  <si>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</si>
  <si>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</si>
  <si>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</si>
  <si>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</si>
  <si>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</si>
  <si>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</si>
  <si>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</si>
  <si>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</si>
  <si>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</si>
  <si>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</si>
  <si>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</si>
  <si>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</si>
  <si>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</si>
  <si>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</si>
  <si>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</si>
  <si>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</si>
  <si>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</si>
  <si>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</si>
  <si>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</si>
  <si>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</si>
  <si>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</si>
  <si>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</si>
  <si>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</si>
  <si>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</si>
  <si>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</si>
  <si>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</si>
  <si>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</si>
  <si>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</si>
  <si>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</si>
  <si>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</si>
  <si>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</si>
  <si>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</si>
  <si>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</si>
  <si>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</si>
  <si>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</si>
  <si>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</si>
  <si>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</si>
  <si>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</si>
  <si>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</si>
  <si>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</si>
  <si>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</si>
  <si>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</si>
  <si>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</si>
  <si>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</si>
  <si>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</si>
  <si>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</si>
  <si>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</si>
  <si>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</si>
  <si>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</si>
  <si>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</si>
  <si>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</si>
  <si>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</si>
  <si>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</si>
  <si>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</si>
  <si>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</si>
  <si>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</si>
  <si>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</si>
  <si>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</si>
  <si>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</si>
  <si>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</si>
  <si>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</si>
  <si>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</si>
  <si>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</si>
  <si>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</si>
  <si>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</si>
  <si>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</si>
  <si>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</si>
  <si>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</si>
  <si>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</si>
  <si>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</si>
  <si>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</si>
  <si>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</si>
  <si>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</si>
  <si>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</si>
  <si>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</si>
  <si>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</si>
  <si>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</si>
  <si>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</si>
  <si>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</si>
  <si>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</si>
  <si>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</si>
  <si>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</si>
  <si>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</si>
  <si>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</si>
  <si>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</si>
  <si>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</si>
  <si>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</si>
  <si>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</si>
  <si>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</si>
  <si>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</si>
  <si>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</si>
  <si>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</si>
  <si>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</si>
  <si>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</si>
  <si>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</si>
  <si>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</si>
  <si>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</si>
  <si>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</si>
  <si>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</si>
  <si>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</si>
  <si>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</si>
  <si>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</si>
  <si>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</si>
  <si>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</si>
  <si>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</si>
  <si>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</si>
  <si>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</si>
  <si>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</si>
  <si>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</si>
  <si>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</si>
  <si>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</si>
  <si>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</si>
  <si>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</si>
  <si>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</si>
  <si>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</si>
  <si>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</si>
  <si>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</si>
  <si>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</si>
  <si>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</si>
  <si>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</si>
  <si>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</si>
  <si>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</si>
  <si>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</si>
  <si>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</si>
  <si>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</si>
  <si>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</si>
  <si>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</si>
  <si>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</si>
  <si>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</si>
  <si>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</si>
  <si>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</si>
  <si>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</si>
  <si>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</si>
  <si>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</si>
  <si>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</si>
  <si>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</si>
  <si>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</si>
  <si>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</si>
  <si>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</si>
  <si>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</si>
  <si>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</si>
  <si>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</si>
  <si>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</si>
  <si>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</si>
  <si>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</si>
  <si>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</si>
  <si>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</si>
  <si>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</si>
  <si>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</si>
  <si>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</si>
  <si>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</si>
  <si>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</si>
  <si>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</si>
  <si>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</si>
  <si>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</si>
  <si>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</si>
  <si>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</si>
  <si>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</si>
  <si>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</si>
  <si>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</si>
  <si>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</si>
  <si>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</si>
  <si>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</si>
  <si>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</si>
  <si>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</si>
  <si>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</si>
  <si>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</si>
  <si>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</si>
  <si>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</si>
  <si>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</si>
  <si>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</si>
  <si>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</si>
  <si>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</si>
  <si>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</si>
  <si>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</si>
  <si>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</si>
  <si>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</si>
  <si>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</si>
  <si>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</si>
  <si>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</si>
  <si>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</si>
  <si>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</si>
  <si>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</si>
  <si>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</si>
  <si>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</si>
  <si>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</si>
  <si>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</si>
  <si>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</si>
  <si>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</si>
  <si>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</si>
  <si>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</si>
  <si>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</si>
  <si>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</si>
  <si>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</si>
  <si>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</si>
  <si>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</si>
  <si>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</si>
  <si>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</si>
  <si>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</si>
  <si>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</si>
  <si>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</si>
  <si>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</si>
  <si>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</si>
  <si>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</si>
  <si>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</si>
  <si>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</si>
  <si>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</si>
  <si>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</si>
  <si>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</si>
  <si>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</si>
  <si>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</si>
  <si>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</si>
  <si>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</si>
  <si>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</si>
  <si>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</si>
  <si>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</si>
  <si>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</si>
  <si>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</si>
  <si>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</si>
  <si>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</si>
  <si>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</si>
  <si>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</si>
  <si>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</si>
  <si>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</si>
  <si>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</si>
  <si>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</si>
  <si>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</si>
  <si>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</si>
  <si>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</si>
  <si>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</si>
  <si>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</si>
  <si>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</si>
  <si>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</si>
  <si>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</si>
  <si>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</si>
  <si>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</si>
  <si>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</si>
  <si>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</si>
  <si>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</si>
  <si>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</si>
  <si>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</si>
  <si>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</si>
  <si>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</si>
  <si>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</si>
  <si>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</si>
  <si>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</si>
  <si>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</si>
  <si>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</si>
  <si>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</si>
  <si>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</si>
  <si>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</si>
  <si>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</si>
  <si>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</si>
  <si>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</si>
  <si>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</si>
  <si>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</si>
  <si>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</si>
  <si>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</si>
  <si>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</si>
  <si>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</si>
  <si>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</si>
  <si>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</si>
  <si>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</si>
  <si>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</si>
  <si>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</si>
  <si>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</si>
  <si>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</si>
  <si>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</si>
  <si>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</si>
  <si>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</si>
  <si>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</si>
  <si>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</si>
  <si>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</si>
  <si>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</si>
  <si>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</si>
  <si>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</si>
  <si>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</si>
  <si>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</si>
  <si>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</si>
  <si>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</si>
  <si>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</si>
  <si>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</si>
  <si>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</si>
  <si>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</si>
  <si>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</si>
  <si>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</si>
  <si>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</si>
  <si>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</si>
  <si>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</si>
  <si>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</si>
  <si>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</si>
  <si>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</si>
  <si>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</si>
  <si>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</si>
  <si>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</si>
  <si>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</si>
  <si>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</si>
  <si>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</si>
  <si>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</si>
  <si>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</si>
  <si>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</si>
  <si>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</si>
  <si>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</si>
  <si>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</si>
  <si>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</si>
  <si>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</si>
  <si>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</si>
  <si>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</si>
  <si>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</si>
  <si>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</si>
  <si>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</si>
  <si>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</si>
  <si>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</si>
  <si>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</si>
  <si>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</si>
  <si>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</si>
  <si>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</si>
  <si>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</si>
  <si>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</si>
  <si>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</si>
  <si>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</si>
  <si>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</si>
  <si>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</si>
  <si>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</si>
  <si>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</si>
  <si>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</si>
  <si>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</si>
  <si>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</si>
  <si>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</si>
  <si>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</si>
  <si>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</si>
  <si>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</si>
  <si>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</si>
  <si>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</si>
  <si>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</si>
  <si>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</si>
  <si>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</si>
  <si>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</si>
  <si>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</si>
  <si>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</si>
  <si>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</si>
  <si>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</si>
  <si>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</si>
  <si>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</si>
  <si>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</si>
  <si>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</si>
  <si>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</si>
  <si>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</si>
  <si>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</si>
  <si>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</si>
  <si>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</si>
  <si>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</si>
  <si>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</si>
  <si>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</si>
  <si>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</si>
  <si>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</si>
  <si>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</si>
  <si>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</si>
  <si>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</si>
  <si>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</si>
  <si>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</si>
  <si>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</si>
  <si>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</si>
  <si>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</si>
  <si>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</si>
  <si>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</si>
  <si>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</si>
  <si>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</si>
  <si>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</si>
  <si>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</si>
  <si>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</si>
  <si>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</si>
  <si>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</si>
  <si>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</si>
  <si>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</si>
  <si>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</si>
  <si>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</si>
  <si>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</si>
  <si>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</si>
  <si>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</si>
  <si>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</si>
  <si>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</si>
  <si>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</si>
  <si>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</si>
  <si>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</si>
  <si>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</si>
  <si>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</si>
  <si>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</si>
  <si>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</si>
  <si>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</si>
  <si>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</si>
  <si>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</si>
  <si>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</si>
  <si>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</si>
  <si>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</si>
  <si>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</si>
  <si>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</si>
  <si>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</si>
  <si>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</si>
  <si>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</si>
  <si>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</si>
  <si>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</si>
  <si>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</si>
  <si>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</si>
  <si>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</si>
  <si>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</si>
  <si>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</si>
  <si>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</si>
  <si>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</si>
  <si>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</si>
  <si>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</si>
  <si>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</si>
  <si>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</si>
  <si>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</si>
  <si>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</si>
  <si>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</si>
  <si>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</si>
  <si>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</si>
  <si>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</si>
  <si>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</si>
  <si>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</si>
  <si>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</si>
  <si>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</si>
  <si>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</si>
  <si>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</si>
  <si>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</si>
  <si>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</si>
  <si>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</si>
  <si>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</si>
  <si>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</si>
  <si>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</si>
  <si>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</si>
  <si>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</si>
  <si>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</si>
  <si>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</si>
  <si>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</si>
  <si>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</si>
  <si>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</si>
  <si>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</si>
  <si>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</si>
  <si>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</si>
  <si>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</si>
  <si>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</si>
  <si>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</si>
  <si>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</si>
  <si>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</si>
  <si>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</si>
  <si>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</si>
  <si>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</si>
  <si>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</si>
  <si>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</si>
  <si>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</si>
  <si>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</si>
  <si>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</si>
  <si>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</si>
  <si>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</si>
  <si>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</si>
  <si>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</si>
  <si>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</si>
  <si>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</si>
  <si>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</si>
  <si>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</si>
  <si>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</si>
  <si>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</si>
  <si>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</si>
  <si>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</si>
  <si>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</si>
  <si>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</si>
  <si>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</si>
  <si>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</si>
  <si>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</si>
  <si>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</si>
  <si>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</si>
  <si>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</si>
  <si>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</si>
  <si>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</si>
  <si>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</si>
  <si>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</si>
  <si>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</si>
  <si>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</si>
  <si>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</si>
  <si>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</si>
  <si>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</si>
  <si>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</si>
  <si>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</si>
  <si>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</si>
  <si>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</si>
  <si>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</si>
  <si>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</si>
  <si>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</si>
  <si>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</si>
  <si>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</si>
  <si>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</si>
  <si>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</si>
  <si>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</si>
  <si>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</si>
  <si>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</si>
  <si>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</si>
  <si>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</si>
  <si>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</si>
  <si>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</si>
  <si>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</si>
  <si>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</si>
  <si>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</si>
  <si>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</si>
  <si>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</si>
  <si>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</si>
  <si>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</si>
  <si>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</si>
  <si>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</si>
  <si>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</si>
  <si>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</si>
  <si>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</si>
  <si>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</si>
  <si>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</si>
  <si>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</si>
  <si>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</si>
  <si>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</si>
  <si>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</si>
  <si>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</si>
  <si>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</si>
  <si>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</si>
  <si>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</si>
  <si>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</si>
  <si>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</si>
  <si>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</si>
  <si>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</si>
  <si>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</si>
  <si>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</si>
  <si>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</si>
  <si>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</si>
  <si>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</si>
  <si>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</si>
  <si>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</si>
  <si>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</si>
  <si>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</si>
  <si>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</si>
  <si>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</si>
  <si>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</si>
  <si>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</si>
  <si>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</si>
  <si>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</si>
  <si>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</si>
  <si>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</si>
  <si>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</si>
  <si>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</si>
  <si>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</si>
  <si>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</si>
  <si>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</si>
  <si>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</si>
  <si>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</si>
  <si>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</si>
  <si>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</si>
  <si>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</si>
  <si>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</si>
  <si>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</si>
  <si>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</si>
  <si>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</si>
  <si>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</si>
  <si>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</si>
  <si>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</si>
  <si>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</si>
  <si>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</si>
  <si>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</si>
  <si>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</si>
  <si>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</si>
  <si>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</si>
  <si>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</si>
  <si>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</si>
  <si>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</si>
  <si>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</si>
  <si>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</si>
  <si>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</si>
  <si>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</si>
  <si>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</si>
  <si>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</si>
  <si>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</si>
  <si>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</si>
  <si>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</si>
  <si>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</si>
  <si>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</si>
  <si>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</si>
  <si>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</si>
  <si>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</si>
  <si>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</si>
  <si>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</si>
  <si>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</si>
  <si>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</si>
  <si>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</si>
  <si>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</si>
  <si>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</si>
  <si>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</si>
  <si>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</si>
  <si>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</si>
  <si>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</si>
  <si>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</si>
  <si>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</si>
  <si>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</si>
  <si>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</si>
  <si>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</si>
  <si>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</si>
  <si>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</si>
  <si>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</si>
  <si>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</si>
  <si>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</si>
  <si>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</si>
  <si>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</si>
  <si>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</si>
  <si>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</si>
  <si>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</si>
  <si>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</si>
  <si>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</si>
  <si>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</si>
  <si>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</si>
  <si>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</si>
  <si>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</si>
  <si>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</si>
  <si>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</si>
  <si>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</si>
  <si>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</si>
  <si>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</si>
  <si>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</si>
  <si>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</si>
  <si>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</si>
  <si>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</si>
  <si>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</si>
  <si>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</si>
  <si>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</si>
  <si>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</si>
  <si>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</si>
  <si>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</si>
  <si>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</si>
  <si>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</si>
  <si>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</si>
  <si>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</si>
  <si>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</si>
  <si>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</si>
  <si>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</si>
  <si>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</si>
  <si>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</si>
  <si>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</si>
  <si>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</si>
  <si>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</si>
  <si>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</si>
  <si>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</si>
  <si>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</si>
  <si>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</si>
  <si>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</si>
  <si>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</si>
  <si>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</si>
  <si>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</si>
  <si>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</si>
  <si>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</si>
  <si>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</si>
  <si>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</si>
  <si>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</si>
  <si>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</si>
  <si>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</si>
  <si>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</si>
  <si>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</si>
  <si>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</si>
  <si>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</si>
  <si>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</si>
  <si>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</si>
  <si>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</si>
  <si>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</si>
  <si>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</si>
  <si>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</si>
  <si>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</si>
  <si>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</si>
  <si>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</si>
  <si>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</si>
  <si>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</si>
  <si>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</si>
  <si>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</si>
  <si>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</si>
  <si>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</si>
  <si>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</si>
  <si>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</si>
  <si>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1 Минеральные Воды - неполный пакет документов; 
1 Кисловодск - неполный пакет документов;
1 Нефтекумск - неполный пакет документов</t>
  </si>
  <si>
    <t>5.0</t>
  </si>
  <si>
    <t>город Ессентуки</t>
  </si>
  <si>
    <t>станица Бекешевская</t>
  </si>
  <si>
    <t>станица Боргустанская</t>
  </si>
  <si>
    <t>Винсадский территориальный отдел</t>
  </si>
  <si>
    <t>5.5</t>
  </si>
  <si>
    <t>Ессентукский территориальный отдел</t>
  </si>
  <si>
    <t>5.6</t>
  </si>
  <si>
    <t>Нежинский территориальный отдел</t>
  </si>
  <si>
    <t>5.7</t>
  </si>
  <si>
    <t>Новоблагодарненский территориальный отдел</t>
  </si>
  <si>
    <t>5.8</t>
  </si>
  <si>
    <t>Подкумский территориальный отдел</t>
  </si>
  <si>
    <t>5.9</t>
  </si>
  <si>
    <t>Пятигорский территориальный отдел</t>
  </si>
  <si>
    <t>5.10</t>
  </si>
  <si>
    <t>Суворовский территориальный отдел</t>
  </si>
  <si>
    <t>5.11</t>
  </si>
  <si>
    <t>Тельмановский территориальный отдел</t>
  </si>
  <si>
    <t>5.12</t>
  </si>
  <si>
    <t>Этокский территориальный отдел</t>
  </si>
  <si>
    <t>5.13</t>
  </si>
  <si>
    <t>Юцкий территориальный отдел</t>
  </si>
  <si>
    <t>5.14</t>
  </si>
  <si>
    <t>Яснополянский территориальный отдел</t>
  </si>
  <si>
    <t>5.15</t>
  </si>
  <si>
    <t>город Железноводск</t>
  </si>
  <si>
    <t>5.16</t>
  </si>
  <si>
    <t>Пригородный территориальный отдел</t>
  </si>
  <si>
    <t>5.17</t>
  </si>
  <si>
    <t>город Лермонтов</t>
  </si>
  <si>
    <t>5.18</t>
  </si>
  <si>
    <t>город Кисловодск</t>
  </si>
  <si>
    <t>5.19</t>
  </si>
  <si>
    <t>Арзгирский территориальный отдел</t>
  </si>
  <si>
    <t>5.20</t>
  </si>
  <si>
    <t>Новоромановский территориальный отдел</t>
  </si>
  <si>
    <t>5.21</t>
  </si>
  <si>
    <t>село Петропавловское</t>
  </si>
  <si>
    <t>5.22</t>
  </si>
  <si>
    <t>село Садовое</t>
  </si>
  <si>
    <t>5.23</t>
  </si>
  <si>
    <t>Чограйский территориальный отдел</t>
  </si>
  <si>
    <t>5.24</t>
  </si>
  <si>
    <t>город Буденновск</t>
  </si>
  <si>
    <t>5.25</t>
  </si>
  <si>
    <t>село Архангельское</t>
  </si>
  <si>
    <t>5.26</t>
  </si>
  <si>
    <t>Архиповский территориальный отдел</t>
  </si>
  <si>
    <t>5.27</t>
  </si>
  <si>
    <t>Новожизненский территориальный отдел</t>
  </si>
  <si>
    <t>5.28</t>
  </si>
  <si>
    <t>Орловский территориальный отдел</t>
  </si>
  <si>
    <t>5.29</t>
  </si>
  <si>
    <t>Покойненский территориальный отдел</t>
  </si>
  <si>
    <t>5.30</t>
  </si>
  <si>
    <t>село Прасковея</t>
  </si>
  <si>
    <t>5.31</t>
  </si>
  <si>
    <t>Стародубский территориальный отдел</t>
  </si>
  <si>
    <t>5.32</t>
  </si>
  <si>
    <t>Терский территориальный отдел</t>
  </si>
  <si>
    <t>5.33</t>
  </si>
  <si>
    <t>село Тостово-Васюковское</t>
  </si>
  <si>
    <t>5.34</t>
  </si>
  <si>
    <t>Томузловский территориальный отдел</t>
  </si>
  <si>
    <t>5.35</t>
  </si>
  <si>
    <t>Балтийский территориальный отдел</t>
  </si>
  <si>
    <t>5.36</t>
  </si>
  <si>
    <t>Галюгаевский территориальный отдел</t>
  </si>
  <si>
    <t>5.37</t>
  </si>
  <si>
    <t>Кановский территориальный отдел</t>
  </si>
  <si>
    <t>5.38</t>
  </si>
  <si>
    <t>Курский территориальный отдел</t>
  </si>
  <si>
    <t>5.39</t>
  </si>
  <si>
    <t>Мирненский территориальный отдел</t>
  </si>
  <si>
    <t>5.40</t>
  </si>
  <si>
    <t>Полтавский территориальный отдел</t>
  </si>
  <si>
    <t>5.41</t>
  </si>
  <si>
    <t>Ростовановский территориальный отдел</t>
  </si>
  <si>
    <t>5.42</t>
  </si>
  <si>
    <t>Русский территориальный отдел</t>
  </si>
  <si>
    <t>5.43</t>
  </si>
  <si>
    <t>станица Стодеревская</t>
  </si>
  <si>
    <t>5.44</t>
  </si>
  <si>
    <t>село Эдиссия</t>
  </si>
  <si>
    <t>5.45</t>
  </si>
  <si>
    <t>пос. Рощино</t>
  </si>
  <si>
    <t>5.46</t>
  </si>
  <si>
    <t>с. Уваровское</t>
  </si>
  <si>
    <t>5.47</t>
  </si>
  <si>
    <t>Величаевский территориальный отдел</t>
  </si>
  <si>
    <t>5.48</t>
  </si>
  <si>
    <t>Владимировский территориальный отдел</t>
  </si>
  <si>
    <t>5.49</t>
  </si>
  <si>
    <t>Заринский территориальный отдел</t>
  </si>
  <si>
    <t>5.50</t>
  </si>
  <si>
    <t>село Левокумское</t>
  </si>
  <si>
    <t>5.51</t>
  </si>
  <si>
    <t>поселок Новокумский</t>
  </si>
  <si>
    <t>5.52</t>
  </si>
  <si>
    <t>село Правокумское</t>
  </si>
  <si>
    <t>5.53</t>
  </si>
  <si>
    <t>село Приозерное</t>
  </si>
  <si>
    <t>5.54</t>
  </si>
  <si>
    <t>Турксадский территориальны отдел</t>
  </si>
  <si>
    <t>5.55</t>
  </si>
  <si>
    <t>село Урожайное</t>
  </si>
  <si>
    <t>5.56</t>
  </si>
  <si>
    <t>город Нефтекумск</t>
  </si>
  <si>
    <t>5.57</t>
  </si>
  <si>
    <t>поселок Затеречный</t>
  </si>
  <si>
    <t>5.58</t>
  </si>
  <si>
    <t>Зимнеставочный территориальный отдел</t>
  </si>
  <si>
    <t>5.59</t>
  </si>
  <si>
    <t>Озек-Суатский территориальный отдел</t>
  </si>
  <si>
    <t>5.60</t>
  </si>
  <si>
    <t xml:space="preserve"> с. Кара-Тюбе а. Бияш</t>
  </si>
  <si>
    <t>5.61</t>
  </si>
  <si>
    <t xml:space="preserve"> п. Зункарь а. Бейсей</t>
  </si>
  <si>
    <t>5.62</t>
  </si>
  <si>
    <t>х. Андрей Курган п. Левобалковский</t>
  </si>
  <si>
    <t>5.63</t>
  </si>
  <si>
    <t>Богдановский териториальный отдел</t>
  </si>
  <si>
    <t>5.64</t>
  </si>
  <si>
    <t>Варениковский территориальный отдел</t>
  </si>
  <si>
    <t>5.65</t>
  </si>
  <si>
    <t>Верхнестепновский территориальный отдел</t>
  </si>
  <si>
    <t>5.66</t>
  </si>
  <si>
    <t>Иргаклинский территориальный отдел</t>
  </si>
  <si>
    <t>5.67</t>
  </si>
  <si>
    <t>Ольгинский территориальный отдел</t>
  </si>
  <si>
    <t>5.68</t>
  </si>
  <si>
    <t>село Соломенское</t>
  </si>
  <si>
    <t>5.69</t>
  </si>
  <si>
    <t>Степновский территориальный отдел</t>
  </si>
  <si>
    <t>5.70</t>
  </si>
  <si>
    <t>Водораздельный территориальный отдел</t>
  </si>
  <si>
    <t>5.71</t>
  </si>
  <si>
    <t>станица Воровсколесская</t>
  </si>
  <si>
    <t>5.72</t>
  </si>
  <si>
    <t>Казинский территориальный отдел</t>
  </si>
  <si>
    <t>5.73</t>
  </si>
  <si>
    <t>Красноярский территориальный отдел</t>
  </si>
  <si>
    <t>5.74</t>
  </si>
  <si>
    <t>село Крымгереевское</t>
  </si>
  <si>
    <t>5.75</t>
  </si>
  <si>
    <t>Курсавский территориальный отдел</t>
  </si>
  <si>
    <t>5.76</t>
  </si>
  <si>
    <t>Куршавский территориальный отдел</t>
  </si>
  <si>
    <t>5.77</t>
  </si>
  <si>
    <t>Новоянкульский территориальный отдел</t>
  </si>
  <si>
    <t>5.78</t>
  </si>
  <si>
    <t>Солуно-Дмитриевский территориальый отдел</t>
  </si>
  <si>
    <t>5.79</t>
  </si>
  <si>
    <t>село Султан</t>
  </si>
  <si>
    <t>5.80</t>
  </si>
  <si>
    <t>Янкульский территориальный отдел</t>
  </si>
  <si>
    <t>5.81</t>
  </si>
  <si>
    <t>город Георгиевск</t>
  </si>
  <si>
    <t>5.82</t>
  </si>
  <si>
    <t>Александрийский территориальный отдел</t>
  </si>
  <si>
    <t>5.83</t>
  </si>
  <si>
    <t>Балковский территориальный отдел</t>
  </si>
  <si>
    <t>5.84</t>
  </si>
  <si>
    <t>станица Георгиевская</t>
  </si>
  <si>
    <t>5.85</t>
  </si>
  <si>
    <t>село Краснокумское</t>
  </si>
  <si>
    <t>5.86</t>
  </si>
  <si>
    <t>Крутоярский территориальный отдел</t>
  </si>
  <si>
    <t>5.87</t>
  </si>
  <si>
    <t>станица Лысогорская</t>
  </si>
  <si>
    <t>5.88</t>
  </si>
  <si>
    <t>Незлобненский территориальный отдел</t>
  </si>
  <si>
    <t>5.89</t>
  </si>
  <si>
    <t>поселок Новый</t>
  </si>
  <si>
    <t>5.90</t>
  </si>
  <si>
    <t>село Новозаведенное</t>
  </si>
  <si>
    <t>5.91</t>
  </si>
  <si>
    <t>село Обильное</t>
  </si>
  <si>
    <t>5.92</t>
  </si>
  <si>
    <t>станица Подгорная</t>
  </si>
  <si>
    <t>5.93</t>
  </si>
  <si>
    <t>Ульяновский территориальный отдел</t>
  </si>
  <si>
    <t>5.94</t>
  </si>
  <si>
    <t>Урухский территориальный отдел</t>
  </si>
  <si>
    <t>5.95</t>
  </si>
  <si>
    <t>Шаумяновский территориальный отдел</t>
  </si>
  <si>
    <t>5.96</t>
  </si>
  <si>
    <t>город Минеральные Воды</t>
  </si>
  <si>
    <t>5.97</t>
  </si>
  <si>
    <t>поселок Анджиевский Минераловодского ГО</t>
  </si>
  <si>
    <t>5.98</t>
  </si>
  <si>
    <t>Гражданский территориальный отдел Минераловодского ГО</t>
  </si>
  <si>
    <t>5.99</t>
  </si>
  <si>
    <t>село Греческое Минераловодского ГО</t>
  </si>
  <si>
    <t>5.100</t>
  </si>
  <si>
    <t>Ленинский территориальный отдел Минераловодского ГО</t>
  </si>
  <si>
    <t>5.101</t>
  </si>
  <si>
    <t>Марьино-Колодцевский территориальный отдел Минераловодского ГО</t>
  </si>
  <si>
    <t>5.102</t>
  </si>
  <si>
    <t>село Нагутское Минераловодского ГО</t>
  </si>
  <si>
    <t>5.103</t>
  </si>
  <si>
    <t>Нижнеалександровский террториальный отдел Минераловодского ГО</t>
  </si>
  <si>
    <t>5.104</t>
  </si>
  <si>
    <t>поселок Первомайский Минераловодского ГО</t>
  </si>
  <si>
    <t>5.105</t>
  </si>
  <si>
    <t>Побегайловский территориальный отдел Минераловодского ГО</t>
  </si>
  <si>
    <t>5.106</t>
  </si>
  <si>
    <t>Перевальненский территориальный отдел Минераловодского ГО</t>
  </si>
  <si>
    <t>5.107</t>
  </si>
  <si>
    <t>село Левокумское Минералодского ГО</t>
  </si>
  <si>
    <t>5.108</t>
  </si>
  <si>
    <t>Прикумский территориальный отдел Минераловодского ГО</t>
  </si>
  <si>
    <t>5.109</t>
  </si>
  <si>
    <t>Розовский территориальный отдел Минераловодского ГО</t>
  </si>
  <si>
    <t>5.110</t>
  </si>
  <si>
    <t>село Ульяновка Минераловодского ГО</t>
  </si>
  <si>
    <t>5.111</t>
  </si>
  <si>
    <t>город Новопавловск</t>
  </si>
  <si>
    <t>5.112</t>
  </si>
  <si>
    <t>Горнозаводской территориальный отдел</t>
  </si>
  <si>
    <t>5.113</t>
  </si>
  <si>
    <t>Советский территориальный отдел</t>
  </si>
  <si>
    <t>5.114</t>
  </si>
  <si>
    <t>станица Марьинская</t>
  </si>
  <si>
    <t>5.115</t>
  </si>
  <si>
    <t>Старопавловский территориальный отдел</t>
  </si>
  <si>
    <t>5.116</t>
  </si>
  <si>
    <t>город Пятигорск</t>
  </si>
  <si>
    <t>5.117</t>
  </si>
  <si>
    <t>Александровский территориальный отдел</t>
  </si>
  <si>
    <t>5.118</t>
  </si>
  <si>
    <t>село Грушевское</t>
  </si>
  <si>
    <t>5.119</t>
  </si>
  <si>
    <t>Калиновский территориальный отдел</t>
  </si>
  <si>
    <t>5.120</t>
  </si>
  <si>
    <t>Круглолесский территориальный отдел</t>
  </si>
  <si>
    <t>5.121</t>
  </si>
  <si>
    <t>Новокавказский территориальный отдел</t>
  </si>
  <si>
    <t>5.122</t>
  </si>
  <si>
    <t>Саблинский территориальный отдел</t>
  </si>
  <si>
    <t>5.123</t>
  </si>
  <si>
    <t>село Северное</t>
  </si>
  <si>
    <t>5.124</t>
  </si>
  <si>
    <t>Средненский территориальный отдел</t>
  </si>
  <si>
    <t>5.125</t>
  </si>
  <si>
    <t>село Долиновка</t>
  </si>
  <si>
    <t>5.126</t>
  </si>
  <si>
    <t>Журавский территориальный отдел</t>
  </si>
  <si>
    <t>5.127</t>
  </si>
  <si>
    <t>село Китаевское</t>
  </si>
  <si>
    <t>5.128</t>
  </si>
  <si>
    <t>Новомаякский территориальный отдел</t>
  </si>
  <si>
    <t>5.129</t>
  </si>
  <si>
    <t>село Новоселицкое</t>
  </si>
  <si>
    <t>5.130</t>
  </si>
  <si>
    <t>село Падинское</t>
  </si>
  <si>
    <t>5.131</t>
  </si>
  <si>
    <t>село Чернолесское</t>
  </si>
  <si>
    <t>5.132</t>
  </si>
  <si>
    <t>Сергиевский территориальный отдел</t>
  </si>
  <si>
    <t>5.133</t>
  </si>
  <si>
    <t>село Серафимовское</t>
  </si>
  <si>
    <t>5.134</t>
  </si>
  <si>
    <t>город Благодарный</t>
  </si>
  <si>
    <t>5.135</t>
  </si>
  <si>
    <t>5.136</t>
  </si>
  <si>
    <t>село Алексеевское</t>
  </si>
  <si>
    <t>5.137</t>
  </si>
  <si>
    <t>хутор Большевик</t>
  </si>
  <si>
    <t>5.138</t>
  </si>
  <si>
    <t>село Бурлацкое</t>
  </si>
  <si>
    <t>5.139</t>
  </si>
  <si>
    <t>село Елизаветинское</t>
  </si>
  <si>
    <t>5.140</t>
  </si>
  <si>
    <t>Каменнобалковский территориальный отдел</t>
  </si>
  <si>
    <t>5.141</t>
  </si>
  <si>
    <t>Красноключевский территориальный отдел</t>
  </si>
  <si>
    <t>5.142</t>
  </si>
  <si>
    <t>село Мирное</t>
  </si>
  <si>
    <t>5.143</t>
  </si>
  <si>
    <t>село Сотниковское</t>
  </si>
  <si>
    <t>5.144</t>
  </si>
  <si>
    <t>село Спасское</t>
  </si>
  <si>
    <t>5.145</t>
  </si>
  <si>
    <t>Ставропольский сельсовет</t>
  </si>
  <si>
    <t>5.146</t>
  </si>
  <si>
    <t>село Шишкино</t>
  </si>
  <si>
    <t>5.147</t>
  </si>
  <si>
    <t>аул Эдельбай</t>
  </si>
  <si>
    <t>5.148</t>
  </si>
  <si>
    <t>Искровский территориальный отдел</t>
  </si>
  <si>
    <t>5.149</t>
  </si>
  <si>
    <t>Рогато-балковский сельсовет</t>
  </si>
  <si>
    <t>5.150</t>
  </si>
  <si>
    <t>Владимировский сельсовет</t>
  </si>
  <si>
    <t>5.151</t>
  </si>
  <si>
    <t>село Казгулак</t>
  </si>
  <si>
    <t>5.152</t>
  </si>
  <si>
    <t>село Камбулат</t>
  </si>
  <si>
    <t>5.153</t>
  </si>
  <si>
    <t>Куликово-Копанский территориальный отдел</t>
  </si>
  <si>
    <t>5.154</t>
  </si>
  <si>
    <t>Кучерлинский территориальный отдел</t>
  </si>
  <si>
    <t>5.155</t>
  </si>
  <si>
    <t>Летнеставочный территориальный отдел</t>
  </si>
  <si>
    <t>5.156</t>
  </si>
  <si>
    <t>село Малые Ягуры</t>
  </si>
  <si>
    <t>5.157</t>
  </si>
  <si>
    <t>Овощинский сельсовет</t>
  </si>
  <si>
    <t>5.158</t>
  </si>
  <si>
    <t>поселок Щелкан</t>
  </si>
  <si>
    <t>5.159</t>
  </si>
  <si>
    <t>Айгурский территориальный отдел</t>
  </si>
  <si>
    <t>5.160</t>
  </si>
  <si>
    <t>село Апанасенковское</t>
  </si>
  <si>
    <t>5.161</t>
  </si>
  <si>
    <t>село Белые Копани</t>
  </si>
  <si>
    <t>5.162</t>
  </si>
  <si>
    <t>село Воздвиженское</t>
  </si>
  <si>
    <t>5.163</t>
  </si>
  <si>
    <t>село Вознесеновское</t>
  </si>
  <si>
    <t>5.164</t>
  </si>
  <si>
    <t>Дербетовский территориальный отдел</t>
  </si>
  <si>
    <t>5.165</t>
  </si>
  <si>
    <t>село Дивное</t>
  </si>
  <si>
    <t>5.166</t>
  </si>
  <si>
    <t>село Киевка</t>
  </si>
  <si>
    <t>5.167</t>
  </si>
  <si>
    <t>село Малая Джалга</t>
  </si>
  <si>
    <t>5.168</t>
  </si>
  <si>
    <t>село Манычское</t>
  </si>
  <si>
    <t>5.169</t>
  </si>
  <si>
    <t>село Рагули</t>
  </si>
  <si>
    <t>5.170</t>
  </si>
  <si>
    <t>село Каменная Балка</t>
  </si>
  <si>
    <t>5.171</t>
  </si>
  <si>
    <t>село Родниковское</t>
  </si>
  <si>
    <t>5.172</t>
  </si>
  <si>
    <t>город Ипатово</t>
  </si>
  <si>
    <t>5.173</t>
  </si>
  <si>
    <t>Большевистский территориальный отдел</t>
  </si>
  <si>
    <t>5.174</t>
  </si>
  <si>
    <t>село Большая Джалга</t>
  </si>
  <si>
    <t>5.175</t>
  </si>
  <si>
    <t>село Бурукшун</t>
  </si>
  <si>
    <t>5.176</t>
  </si>
  <si>
    <t>Винодельненский территориальный отдел</t>
  </si>
  <si>
    <t>5.177</t>
  </si>
  <si>
    <t>Добровольно-Васильевский территориальный отдел</t>
  </si>
  <si>
    <t>5.178</t>
  </si>
  <si>
    <t>Золотаревский территориальный отдел</t>
  </si>
  <si>
    <t>5.179</t>
  </si>
  <si>
    <t>Кевсалинский территориальный отдел</t>
  </si>
  <si>
    <t>5.180</t>
  </si>
  <si>
    <t>Красочный территориальный отдел</t>
  </si>
  <si>
    <t>5.181</t>
  </si>
  <si>
    <t>Леснодаченский территориальный отдел</t>
  </si>
  <si>
    <t>5.182</t>
  </si>
  <si>
    <t>Лиманский территориальный отдел</t>
  </si>
  <si>
    <t>5.183</t>
  </si>
  <si>
    <t>Мало-Барханчакский территориальный отдел</t>
  </si>
  <si>
    <t>5.184</t>
  </si>
  <si>
    <t>Октябрьский территориальный отдел</t>
  </si>
  <si>
    <t>5.185</t>
  </si>
  <si>
    <t>Первомайский территориальный отдел</t>
  </si>
  <si>
    <t>5.186</t>
  </si>
  <si>
    <t>Советскорунный территориальный отдел</t>
  </si>
  <si>
    <t>5.187</t>
  </si>
  <si>
    <t>Тахтинский территориальный отдел</t>
  </si>
  <si>
    <t>5.188</t>
  </si>
  <si>
    <t>село Подлесное</t>
  </si>
  <si>
    <t>5.189</t>
  </si>
  <si>
    <t>Кендже-Кулакский территориальный отдел</t>
  </si>
  <si>
    <t>5.190</t>
  </si>
  <si>
    <t>Красноманычский территориальный отдел</t>
  </si>
  <si>
    <t>5.191</t>
  </si>
  <si>
    <t>Кучерлинский территориальный отдел Петровского ГО</t>
  </si>
  <si>
    <t>5.192</t>
  </si>
  <si>
    <t>Новокучерлинский территориальный отдел</t>
  </si>
  <si>
    <t>5.193</t>
  </si>
  <si>
    <t>город Светлоград</t>
  </si>
  <si>
    <t>5.194</t>
  </si>
  <si>
    <t>село Благодатное</t>
  </si>
  <si>
    <t>5.195</t>
  </si>
  <si>
    <t>Константиновский территориальный отдел</t>
  </si>
  <si>
    <t>5.196</t>
  </si>
  <si>
    <t>село Николина Балка</t>
  </si>
  <si>
    <t>5.197</t>
  </si>
  <si>
    <t>Прикалаусский территориальный отдел</t>
  </si>
  <si>
    <t>5.198</t>
  </si>
  <si>
    <t>Рогато-балковский территориальный отдел</t>
  </si>
  <si>
    <t>5.199</t>
  </si>
  <si>
    <t>Шангалинский сельсовет</t>
  </si>
  <si>
    <t>5.200</t>
  </si>
  <si>
    <t>село Шведино</t>
  </si>
  <si>
    <t>5.201</t>
  </si>
  <si>
    <t>село Кугуты</t>
  </si>
  <si>
    <t>5.202</t>
  </si>
  <si>
    <t>село Просянка</t>
  </si>
  <si>
    <t>5.203</t>
  </si>
  <si>
    <t>село Сухая Буйвола</t>
  </si>
  <si>
    <t>5.204</t>
  </si>
  <si>
    <t>село Гофицкое</t>
  </si>
  <si>
    <t>5.205</t>
  </si>
  <si>
    <t>село Донская Балка</t>
  </si>
  <si>
    <t>5.206</t>
  </si>
  <si>
    <t>село Ореховка</t>
  </si>
  <si>
    <t>5.207</t>
  </si>
  <si>
    <t>село Высоцкое</t>
  </si>
  <si>
    <t>5.208</t>
  </si>
  <si>
    <t>город Изобильный</t>
  </si>
  <si>
    <t>5.209</t>
  </si>
  <si>
    <t>поселок Рыздвяный</t>
  </si>
  <si>
    <t>5.210</t>
  </si>
  <si>
    <t>поселок Солнечнодольск</t>
  </si>
  <si>
    <t>5.211</t>
  </si>
  <si>
    <t>станица Баклановская</t>
  </si>
  <si>
    <t>5.212</t>
  </si>
  <si>
    <t>Каменнобродский территориальный отдел</t>
  </si>
  <si>
    <t>5.213</t>
  </si>
  <si>
    <t>Московский территориальный отдел</t>
  </si>
  <si>
    <t>5.214</t>
  </si>
  <si>
    <t>Новоизобильненский территориальный отдел</t>
  </si>
  <si>
    <t>5.215</t>
  </si>
  <si>
    <t>станица Новотроицкая</t>
  </si>
  <si>
    <t>5.216</t>
  </si>
  <si>
    <t>Передовой территориальный отдел</t>
  </si>
  <si>
    <t>5.217</t>
  </si>
  <si>
    <t>село Птичье</t>
  </si>
  <si>
    <t>5.218</t>
  </si>
  <si>
    <t>Рождественский территориальный отдел</t>
  </si>
  <si>
    <t>5.219</t>
  </si>
  <si>
    <t>хутор Спорный</t>
  </si>
  <si>
    <t>5.220</t>
  </si>
  <si>
    <t>Староизобильненский территориальный отдел</t>
  </si>
  <si>
    <t>5.221</t>
  </si>
  <si>
    <t>город Новоалександровск</t>
  </si>
  <si>
    <t>5.222</t>
  </si>
  <si>
    <t>Григорополисский территориальный отдел</t>
  </si>
  <si>
    <t>5.223</t>
  </si>
  <si>
    <t>станица Кармалиновская</t>
  </si>
  <si>
    <t>5.224</t>
  </si>
  <si>
    <t>Краснозоринский территориальный отдел</t>
  </si>
  <si>
    <t>5.225</t>
  </si>
  <si>
    <t>Раздольненский территориальный отдел</t>
  </si>
  <si>
    <t>5.226</t>
  </si>
  <si>
    <t>Присадовый территориальный отдел</t>
  </si>
  <si>
    <t>5.227</t>
  </si>
  <si>
    <t>Светлинский территориальный отдел</t>
  </si>
  <si>
    <t>5.228</t>
  </si>
  <si>
    <t>Темижбекский территориальный отдел</t>
  </si>
  <si>
    <t>5.229</t>
  </si>
  <si>
    <t>Коммунаровский территориальный отдел</t>
  </si>
  <si>
    <t>5.230</t>
  </si>
  <si>
    <t>село Красногвардейское</t>
  </si>
  <si>
    <t>5.231</t>
  </si>
  <si>
    <t>село Ладовская Балка</t>
  </si>
  <si>
    <t>5.232</t>
  </si>
  <si>
    <t>Медвеженский территориальный отдел</t>
  </si>
  <si>
    <t>5.233</t>
  </si>
  <si>
    <t>село Новомихайловское</t>
  </si>
  <si>
    <t>5.234</t>
  </si>
  <si>
    <t>село Покровское</t>
  </si>
  <si>
    <t>5.235</t>
  </si>
  <si>
    <t>село Преградное</t>
  </si>
  <si>
    <t>5.236</t>
  </si>
  <si>
    <t>Привольненский территориальный отдел</t>
  </si>
  <si>
    <t>5.237</t>
  </si>
  <si>
    <t>Родыковский территоиальный отдел</t>
  </si>
  <si>
    <t>5.238</t>
  </si>
  <si>
    <t>Штурмовский территориальный отдел</t>
  </si>
  <si>
    <t>5.239</t>
  </si>
  <si>
    <t>Безопасненский территориальный отдел</t>
  </si>
  <si>
    <t>5.240</t>
  </si>
  <si>
    <t>Донской территориальный отдел</t>
  </si>
  <si>
    <t>5.241</t>
  </si>
  <si>
    <t>Кировский территориальный отдел</t>
  </si>
  <si>
    <t>5.242</t>
  </si>
  <si>
    <t>село Новая Кугульта</t>
  </si>
  <si>
    <t>5.243</t>
  </si>
  <si>
    <t>Труновский территориальный отдел</t>
  </si>
  <si>
    <t>5.244</t>
  </si>
  <si>
    <t>Балахоновский территориальный отдел</t>
  </si>
  <si>
    <t>5.245</t>
  </si>
  <si>
    <t>Барсуковский территориальный отдел</t>
  </si>
  <si>
    <t>5.246</t>
  </si>
  <si>
    <t>Вревский территориальный отдел</t>
  </si>
  <si>
    <t>5.247</t>
  </si>
  <si>
    <t>Заветненский территориальный отдел</t>
  </si>
  <si>
    <t>5.248</t>
  </si>
  <si>
    <t>Ивановский территориальный отдел</t>
  </si>
  <si>
    <t>5.249</t>
  </si>
  <si>
    <t>Казьминский территориальный отдел</t>
  </si>
  <si>
    <t>5.250</t>
  </si>
  <si>
    <t>село Кочубеевское</t>
  </si>
  <si>
    <t>5.251</t>
  </si>
  <si>
    <t>Надзорненский территориальный отдел</t>
  </si>
  <si>
    <t>5.252</t>
  </si>
  <si>
    <t>Новодеревенский территориальный отдел</t>
  </si>
  <si>
    <t>5.253</t>
  </si>
  <si>
    <t>Стародворцовский территориальный отдел</t>
  </si>
  <si>
    <t>5.254</t>
  </si>
  <si>
    <t>Васильевский территориальный отдел</t>
  </si>
  <si>
    <t>5.255</t>
  </si>
  <si>
    <t>Усть-Невинский территориальный отдел</t>
  </si>
  <si>
    <t>5.256</t>
  </si>
  <si>
    <t>Беломечетский территориальный отдел</t>
  </si>
  <si>
    <t>5.257</t>
  </si>
  <si>
    <t>село Бешпагир</t>
  </si>
  <si>
    <t>5.258</t>
  </si>
  <si>
    <t>Грачевский территориальный отдел</t>
  </si>
  <si>
    <t>5.259</t>
  </si>
  <si>
    <t>Красный территориальный отдел</t>
  </si>
  <si>
    <t>5.260</t>
  </si>
  <si>
    <t>Кугультинский территориальный отдел</t>
  </si>
  <si>
    <t>5.261</t>
  </si>
  <si>
    <t>Спицевский территориальный отдел</t>
  </si>
  <si>
    <t>5.262</t>
  </si>
  <si>
    <t>Старомарьевский территориальный отдел</t>
  </si>
  <si>
    <t>5.263</t>
  </si>
  <si>
    <t>село Тугулук</t>
  </si>
  <si>
    <t>5.264</t>
  </si>
  <si>
    <t>город Михайловск</t>
  </si>
  <si>
    <t>5.265</t>
  </si>
  <si>
    <t>Деминский территориальный отдел</t>
  </si>
  <si>
    <t>5.266</t>
  </si>
  <si>
    <t>5.267</t>
  </si>
  <si>
    <t>Надеждинский территориальный отдел</t>
  </si>
  <si>
    <t>5.268</t>
  </si>
  <si>
    <t>станица Новомарьевская</t>
  </si>
  <si>
    <t>5.269</t>
  </si>
  <si>
    <t>Сенгилеевский территориальный отдел</t>
  </si>
  <si>
    <t>5.270</t>
  </si>
  <si>
    <t>Цимлянский территориальный отдел</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</si>
  <si>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</si>
  <si>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</si>
  <si>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</si>
  <si>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</si>
  <si>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</si>
  <si>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</si>
  <si>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</si>
  <si>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</si>
  <si>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</si>
  <si>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</si>
  <si>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</si>
  <si>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</si>
  <si>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</si>
  <si>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</si>
  <si>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</si>
  <si>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</si>
  <si>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</si>
  <si>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</si>
  <si>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</si>
  <si>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</si>
  <si>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</si>
  <si>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</si>
  <si>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</si>
  <si>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</si>
  <si>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</si>
  <si>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</si>
  <si>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</si>
  <si>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</si>
  <si>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</si>
  <si>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</si>
  <si>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</si>
  <si>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</si>
  <si>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</si>
  <si>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</si>
  <si>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</si>
  <si>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</si>
  <si>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</si>
  <si>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</si>
  <si>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</si>
  <si>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</si>
  <si>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</si>
  <si>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</si>
  <si>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</si>
  <si>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</si>
  <si>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</si>
  <si>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</si>
  <si>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</si>
  <si>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</si>
  <si>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</si>
  <si>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</si>
  <si>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</si>
  <si>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</si>
  <si>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</si>
  <si>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</si>
  <si>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</si>
  <si>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</si>
  <si>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</si>
  <si>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</si>
  <si>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</si>
  <si>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</si>
  <si>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</si>
  <si>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</si>
  <si>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</si>
  <si>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</si>
  <si>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</si>
  <si>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</si>
  <si>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</si>
  <si>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</si>
  <si>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</si>
  <si>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</si>
  <si>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</si>
  <si>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</si>
  <si>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</si>
  <si>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</si>
  <si>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</si>
  <si>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</si>
  <si>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</si>
  <si>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</si>
  <si>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</si>
  <si>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</si>
  <si>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</si>
  <si>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</si>
  <si>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</si>
  <si>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</si>
  <si>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</si>
  <si>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</si>
  <si>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</si>
  <si>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</si>
  <si>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</si>
  <si>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</si>
  <si>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</si>
  <si>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</si>
  <si>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</si>
  <si>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</si>
  <si>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</si>
  <si>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</si>
  <si>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</si>
  <si>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</si>
  <si>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</si>
  <si>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</si>
  <si>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</si>
  <si>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</si>
  <si>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</si>
  <si>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</si>
  <si>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</si>
  <si>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</si>
  <si>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</si>
  <si>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</si>
  <si>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</si>
  <si>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</si>
  <si>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</si>
  <si>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</si>
  <si>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</si>
  <si>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</si>
  <si>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</si>
  <si>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</si>
  <si>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</si>
  <si>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</si>
  <si>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</si>
  <si>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</si>
  <si>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</si>
  <si>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</si>
  <si>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</si>
  <si>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</si>
  <si>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</si>
  <si>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</si>
  <si>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</si>
  <si>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</si>
  <si>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</si>
  <si>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</si>
  <si>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</si>
  <si>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</si>
  <si>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</si>
  <si>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</si>
  <si>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</si>
  <si>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</si>
  <si>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</si>
  <si>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</si>
  <si>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</si>
  <si>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</si>
  <si>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</si>
  <si>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</si>
  <si>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</si>
  <si>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</si>
  <si>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</si>
  <si>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</si>
  <si>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</si>
  <si>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</si>
  <si>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</si>
  <si>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</si>
  <si>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</si>
  <si>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</si>
  <si>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</si>
  <si>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</si>
  <si>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</si>
  <si>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</si>
  <si>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</si>
  <si>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</si>
  <si>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</si>
  <si>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</si>
  <si>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</si>
  <si>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</si>
  <si>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</si>
  <si>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</si>
  <si>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</si>
  <si>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</si>
  <si>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</si>
  <si>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</si>
  <si>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</si>
  <si>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</si>
  <si>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</si>
  <si>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</si>
  <si>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</si>
  <si>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</si>
  <si>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</si>
  <si>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</si>
  <si>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</si>
  <si>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</si>
  <si>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</si>
  <si>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</si>
  <si>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</si>
  <si>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</si>
  <si>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</si>
  <si>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</si>
  <si>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</si>
  <si>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</si>
  <si>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</si>
  <si>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</si>
  <si>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</si>
  <si>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</si>
  <si>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</si>
  <si>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</si>
  <si>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</si>
  <si>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</si>
  <si>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</si>
  <si>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</si>
  <si>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</si>
  <si>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</si>
  <si>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</si>
  <si>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</si>
  <si>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</si>
  <si>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</si>
  <si>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</si>
  <si>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</si>
  <si>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</si>
  <si>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</si>
  <si>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</si>
  <si>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</si>
  <si>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</si>
  <si>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</si>
  <si>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</si>
  <si>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</si>
  <si>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</si>
  <si>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</si>
  <si>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</si>
  <si>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</si>
  <si>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</si>
  <si>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</si>
  <si>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</si>
  <si>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</si>
  <si>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</si>
  <si>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</si>
  <si>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</si>
  <si>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</si>
  <si>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</si>
  <si>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</si>
  <si>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</si>
  <si>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</si>
  <si>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</si>
  <si>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</si>
  <si>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</si>
  <si>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</si>
  <si>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</si>
  <si>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</si>
  <si>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</si>
  <si>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</si>
  <si>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</si>
  <si>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</si>
  <si>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</si>
  <si>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</si>
  <si>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</si>
  <si>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</si>
  <si>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</si>
  <si>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</si>
  <si>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</si>
  <si>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</si>
  <si>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</si>
  <si>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</si>
  <si>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</si>
  <si>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</si>
  <si>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</si>
  <si>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</si>
  <si>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</si>
  <si>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</si>
  <si>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</si>
  <si>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</si>
  <si>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</si>
  <si>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</si>
  <si>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</si>
  <si>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</si>
  <si>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</si>
  <si>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</si>
  <si>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</si>
  <si>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</si>
  <si>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</si>
  <si>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</si>
  <si>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</si>
  <si>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</si>
  <si>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</si>
  <si>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</si>
  <si>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</si>
  <si>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</si>
  <si>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</si>
  <si>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</si>
  <si>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</si>
  <si>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</si>
  <si>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</si>
  <si>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</si>
  <si>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</si>
  <si>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</si>
  <si>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</si>
  <si>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</si>
  <si>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</si>
  <si>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</si>
  <si>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</si>
  <si>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</si>
  <si>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</si>
  <si>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</si>
  <si>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</si>
  <si>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</si>
  <si>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</si>
  <si>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</si>
  <si>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</si>
  <si>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</si>
  <si>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</si>
  <si>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</si>
  <si>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</si>
  <si>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</si>
  <si>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</si>
  <si>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</si>
  <si>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</si>
  <si>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</si>
  <si>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</si>
  <si>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</si>
  <si>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</si>
  <si>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</si>
  <si>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</si>
  <si>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</si>
  <si>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</si>
  <si>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</si>
  <si>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</si>
  <si>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</si>
  <si>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</si>
  <si>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</si>
  <si>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</si>
  <si>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</si>
  <si>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</si>
  <si>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</si>
  <si>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</si>
  <si>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</si>
  <si>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</si>
  <si>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</si>
  <si>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</si>
  <si>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</si>
  <si>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</si>
  <si>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</si>
  <si>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</si>
  <si>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</si>
  <si>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</si>
  <si>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</si>
  <si>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</si>
  <si>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</si>
  <si>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</si>
  <si>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</si>
  <si>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</si>
  <si>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</si>
  <si>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</si>
  <si>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</si>
  <si>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</si>
  <si>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</si>
  <si>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</si>
  <si>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</si>
  <si>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</si>
  <si>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</si>
  <si>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</si>
  <si>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</si>
  <si>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</si>
  <si>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</si>
  <si>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</si>
  <si>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</si>
  <si>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</si>
  <si>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</si>
  <si>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</si>
  <si>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</si>
  <si>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</si>
  <si>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</si>
  <si>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</si>
  <si>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</si>
  <si>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</si>
  <si>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</si>
  <si>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</si>
  <si>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</si>
  <si>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</si>
  <si>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</si>
  <si>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</si>
  <si>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</si>
  <si>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</si>
  <si>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</si>
  <si>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</si>
  <si>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</si>
  <si>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</si>
  <si>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</si>
  <si>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</si>
  <si>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</si>
  <si>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</si>
  <si>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</si>
  <si>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</si>
  <si>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</si>
  <si>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</si>
  <si>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</si>
  <si>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</si>
  <si>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</si>
  <si>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</si>
  <si>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</si>
  <si>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</si>
  <si>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</si>
  <si>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</si>
  <si>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</si>
  <si>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</si>
  <si>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</si>
  <si>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</si>
  <si>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</si>
  <si>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</si>
  <si>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</si>
  <si>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</si>
  <si>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</si>
  <si>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</si>
  <si>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</si>
  <si>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</si>
  <si>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</si>
  <si>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</si>
  <si>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</si>
  <si>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</si>
  <si>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</si>
  <si>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</si>
  <si>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</si>
  <si>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</si>
  <si>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</si>
  <si>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</si>
  <si>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</si>
  <si>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</si>
  <si>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</si>
  <si>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</si>
  <si>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</si>
  <si>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</si>
  <si>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</si>
  <si>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</si>
  <si>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</si>
  <si>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</si>
  <si>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</si>
  <si>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</si>
  <si>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</si>
  <si>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</si>
  <si>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</si>
  <si>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</si>
  <si>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</si>
  <si>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</si>
  <si>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</si>
  <si>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</si>
  <si>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</si>
  <si>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</si>
  <si>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</si>
  <si>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</si>
  <si>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</si>
  <si>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</si>
  <si>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</si>
  <si>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</si>
  <si>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</si>
  <si>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</si>
  <si>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</si>
  <si>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</si>
  <si>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</si>
  <si>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</si>
  <si>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</si>
  <si>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</si>
  <si>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</si>
  <si>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</si>
  <si>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</si>
  <si>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</si>
  <si>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</si>
  <si>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</si>
  <si>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</si>
  <si>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</si>
  <si>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</si>
  <si>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</si>
  <si>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</si>
  <si>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</si>
  <si>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</si>
  <si>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</si>
  <si>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</si>
  <si>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</si>
  <si>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</si>
  <si>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</si>
  <si>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</si>
  <si>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</si>
  <si>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</si>
  <si>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</si>
  <si>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</si>
  <si>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</si>
  <si>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</si>
  <si>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</si>
  <si>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</si>
  <si>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</si>
  <si>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</si>
  <si>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</si>
  <si>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</si>
  <si>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</si>
  <si>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</si>
  <si>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</si>
  <si>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</si>
  <si>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</si>
  <si>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</si>
  <si>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</si>
  <si>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</si>
  <si>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</si>
  <si>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</si>
  <si>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</si>
  <si>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</si>
  <si>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</si>
  <si>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</si>
  <si>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</si>
  <si>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</si>
  <si>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</si>
  <si>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</si>
  <si>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</si>
  <si>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</si>
  <si>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</si>
  <si>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</si>
  <si>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</si>
  <si>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</si>
  <si>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</si>
  <si>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</si>
  <si>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</si>
  <si>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</si>
  <si>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</si>
  <si>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</si>
  <si>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</si>
  <si>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</si>
  <si>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</si>
  <si>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</si>
  <si>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</si>
  <si>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</si>
  <si>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</si>
  <si>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</si>
  <si>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</si>
  <si>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</si>
  <si>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</si>
  <si>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</si>
  <si>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</si>
  <si>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</si>
  <si>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</si>
  <si>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</si>
  <si>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</si>
  <si>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</si>
  <si>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</si>
  <si>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</si>
  <si>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</si>
  <si>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</si>
  <si>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</si>
  <si>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</si>
  <si>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</si>
  <si>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</si>
  <si>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</si>
  <si>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</si>
  <si>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</si>
  <si>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</si>
  <si>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</si>
  <si>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</si>
  <si>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</si>
  <si>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</si>
  <si>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</si>
  <si>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</si>
  <si>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</si>
  <si>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</si>
  <si>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</si>
  <si>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</si>
  <si>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</si>
  <si>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</si>
  <si>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</si>
  <si>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</si>
  <si>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</si>
  <si>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</si>
  <si>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</si>
  <si>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</si>
  <si>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</si>
  <si>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</si>
  <si>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</si>
  <si>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</si>
  <si>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</si>
  <si>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</si>
  <si>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</si>
  <si>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</si>
  <si>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</si>
  <si>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</si>
  <si>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</si>
  <si>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</si>
  <si>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</si>
  <si>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</si>
  <si>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</si>
  <si>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</si>
  <si>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</si>
  <si>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</si>
  <si>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</si>
  <si>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</si>
  <si>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</si>
  <si>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</si>
  <si>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</si>
  <si>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</si>
  <si>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</si>
  <si>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</si>
  <si>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</si>
  <si>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</si>
  <si>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</si>
  <si>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</si>
  <si>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</si>
  <si>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</si>
  <si>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</si>
  <si>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</si>
  <si>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</si>
  <si>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</si>
  <si>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</si>
  <si>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</si>
  <si>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</si>
  <si>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</si>
  <si>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</si>
  <si>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</si>
  <si>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</si>
  <si>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</si>
  <si>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</si>
  <si>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</si>
  <si>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</si>
  <si>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</si>
  <si>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</si>
  <si>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</si>
  <si>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</si>
  <si>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</si>
  <si>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</si>
  <si>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</si>
  <si>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</si>
  <si>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</si>
  <si>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</si>
  <si>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</si>
  <si>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</si>
  <si>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</si>
  <si>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</si>
  <si>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</si>
  <si>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</si>
  <si>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</si>
  <si>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</si>
  <si>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</si>
  <si>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</si>
  <si>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</si>
  <si>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</si>
  <si>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</si>
  <si>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</si>
  <si>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</si>
  <si>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</si>
  <si>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</si>
  <si>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</si>
  <si>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</si>
  <si>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</si>
  <si>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</si>
  <si>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</si>
  <si>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</si>
  <si>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</si>
  <si>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</si>
  <si>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</si>
  <si>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</si>
  <si>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</si>
  <si>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</si>
  <si>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</si>
  <si>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</si>
  <si>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</si>
  <si>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</si>
  <si>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</si>
  <si>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</si>
  <si>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</si>
  <si>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</si>
  <si>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</si>
  <si>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</si>
  <si>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</si>
  <si>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</si>
  <si>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</si>
  <si>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</si>
  <si>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</si>
  <si>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</si>
  <si>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</si>
  <si>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</si>
  <si>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</si>
  <si>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</si>
  <si>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</si>
  <si>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</si>
  <si>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</si>
  <si>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</si>
  <si>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</si>
  <si>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</si>
  <si>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</si>
  <si>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</si>
  <si>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</si>
  <si>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</si>
  <si>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</si>
  <si>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</si>
  <si>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</si>
  <si>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</si>
  <si>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</si>
  <si>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</si>
  <si>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</si>
  <si>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</si>
  <si>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</si>
  <si>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</si>
  <si>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</si>
  <si>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</si>
  <si>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</si>
  <si>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</si>
  <si>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</si>
  <si>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</si>
  <si>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</si>
  <si>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</si>
  <si>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</si>
  <si>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</si>
  <si>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</si>
  <si>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</si>
  <si>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</si>
  <si>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</si>
  <si>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</si>
  <si>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</si>
  <si>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</si>
  <si>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</si>
  <si>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</si>
  <si>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</si>
  <si>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</si>
  <si>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</si>
  <si>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</si>
  <si>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</si>
  <si>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</si>
  <si>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</si>
  <si>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</si>
  <si>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</si>
  <si>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</si>
  <si>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</si>
  <si>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</si>
  <si>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</si>
  <si>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</si>
  <si>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</si>
  <si>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</si>
  <si>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</si>
  <si>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</si>
  <si>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</si>
  <si>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</si>
  <si>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</si>
  <si>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</si>
  <si>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</si>
  <si>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</si>
  <si>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</si>
  <si>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</si>
  <si>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</si>
  <si>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</si>
  <si>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</si>
  <si>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</si>
  <si>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</si>
  <si>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</si>
  <si>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</si>
  <si>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</si>
  <si>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</si>
  <si>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</si>
  <si>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</si>
  <si>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</si>
  <si>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</si>
  <si>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</si>
  <si>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</si>
  <si>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</si>
  <si>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</si>
  <si>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</si>
  <si>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</si>
  <si>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</si>
  <si>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</si>
  <si>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</si>
  <si>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</si>
  <si>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</si>
  <si>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</si>
  <si>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</si>
  <si>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</si>
  <si>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</si>
  <si>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</si>
  <si>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</si>
  <si>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</si>
  <si>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</si>
  <si>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</si>
  <si>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</si>
  <si>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</si>
  <si>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</si>
  <si>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</si>
  <si>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</si>
  <si>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</si>
  <si>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</si>
  <si>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</si>
  <si>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</si>
  <si>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</si>
  <si>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</si>
  <si>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</si>
  <si>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</si>
  <si>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</si>
  <si>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</si>
  <si>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</si>
  <si>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</si>
  <si>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</si>
  <si>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</si>
  <si>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</si>
  <si>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</si>
  <si>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</si>
  <si>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</si>
  <si>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</si>
  <si>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</si>
  <si>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</si>
  <si>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</si>
  <si>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</si>
  <si>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</si>
  <si>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</si>
  <si>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</si>
  <si>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</si>
  <si>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</si>
  <si>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</si>
  <si>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</si>
  <si>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</si>
  <si>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</si>
  <si>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</si>
  <si>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</si>
  <si>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</si>
  <si>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</si>
  <si>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</si>
  <si>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</si>
  <si>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</si>
  <si>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</si>
  <si>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</si>
  <si>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</si>
  <si>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</si>
  <si>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</si>
  <si>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</si>
  <si>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</si>
  <si>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</si>
  <si>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</si>
  <si>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</si>
  <si>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</si>
  <si>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</si>
  <si>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</si>
  <si>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</si>
  <si>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</si>
  <si>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</si>
  <si>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</si>
  <si>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</si>
  <si>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</si>
  <si>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</si>
  <si>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</si>
  <si>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</si>
  <si>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</si>
  <si>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</si>
  <si>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</si>
  <si>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</si>
  <si>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</si>
  <si>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</si>
  <si>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</si>
  <si>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</si>
  <si>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</si>
  <si>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</si>
  <si>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</si>
  <si>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</si>
  <si>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</si>
  <si>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</si>
  <si>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</si>
  <si>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</si>
  <si>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</si>
  <si>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</si>
  <si>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</si>
  <si>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</si>
  <si>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</si>
  <si>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</si>
  <si>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</si>
  <si>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</si>
  <si>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</si>
  <si>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</si>
  <si>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</si>
  <si>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</si>
  <si>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</si>
  <si>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</si>
  <si>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</si>
  <si>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</si>
  <si>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</si>
  <si>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</si>
  <si>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</si>
  <si>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</si>
  <si>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</si>
  <si>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</si>
  <si>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</si>
  <si>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</si>
  <si>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</si>
  <si>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</si>
  <si>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</si>
  <si>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</si>
  <si>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</si>
  <si>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</si>
  <si>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</si>
  <si>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</si>
  <si>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</si>
  <si>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</si>
  <si>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</si>
  <si>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</si>
  <si>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</si>
  <si>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</si>
  <si>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</si>
  <si>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</si>
  <si>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</si>
  <si>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</si>
  <si>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</si>
  <si>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</si>
  <si>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</si>
  <si>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</si>
  <si>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</si>
  <si>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</si>
  <si>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</si>
  <si>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</si>
  <si>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</si>
  <si>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</si>
  <si>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</si>
  <si>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</si>
  <si>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</si>
  <si>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</si>
  <si>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</si>
  <si>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</si>
  <si>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</si>
  <si>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</si>
  <si>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</si>
  <si>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</si>
  <si>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</si>
  <si>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</si>
  <si>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</si>
  <si>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</si>
  <si>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</si>
  <si>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</si>
  <si>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</si>
  <si>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</si>
  <si>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</si>
  <si>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</si>
  <si>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</si>
  <si>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</si>
  <si>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</si>
  <si>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</si>
  <si>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</si>
  <si>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</si>
  <si>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</si>
  <si>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</si>
  <si>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</si>
  <si>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</si>
  <si>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</si>
  <si>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</si>
  <si>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</si>
  <si>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</si>
  <si>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</si>
  <si>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</si>
  <si>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</si>
  <si>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</si>
  <si>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</si>
  <si>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</si>
  <si>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</si>
  <si>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</si>
  <si>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</si>
  <si>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</si>
  <si>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</si>
  <si>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</si>
  <si>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</si>
  <si>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</si>
  <si>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</si>
  <si>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</si>
  <si>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</si>
  <si>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</si>
  <si>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</si>
  <si>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</si>
  <si>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</si>
  <si>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</si>
  <si>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</si>
  <si>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</si>
  <si>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</si>
  <si>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</si>
  <si>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</si>
  <si>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</si>
  <si>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</si>
  <si>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</si>
  <si>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</si>
  <si>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</si>
  <si>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</si>
  <si>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</si>
  <si>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</si>
  <si>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</si>
  <si>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</si>
  <si>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</si>
  <si>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</si>
  <si>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</si>
  <si>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</si>
  <si>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</si>
  <si>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</si>
  <si>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</si>
  <si>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</si>
  <si>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</si>
  <si>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</si>
  <si>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</si>
  <si>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</si>
  <si>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</si>
  <si>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</si>
  <si>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</si>
  <si>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</si>
  <si>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</si>
  <si>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</si>
  <si>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</si>
  <si>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</si>
  <si>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</si>
  <si>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</si>
  <si>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</si>
  <si>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</si>
  <si>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</si>
  <si>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</si>
  <si>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</si>
  <si>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</si>
  <si>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</si>
  <si>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</si>
  <si>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</si>
  <si>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</si>
  <si>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</si>
  <si>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</si>
  <si>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</si>
  <si>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</si>
  <si>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</si>
  <si>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</si>
  <si>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</si>
  <si>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</si>
  <si>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</si>
  <si>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</si>
  <si>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</si>
  <si>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</si>
  <si>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</si>
  <si>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</si>
  <si>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</si>
  <si>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</si>
  <si>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</si>
  <si>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</si>
  <si>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</si>
  <si>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</si>
  <si>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</si>
  <si>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</si>
  <si>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</si>
  <si>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</si>
  <si>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</si>
  <si>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</si>
  <si>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</si>
  <si>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</si>
  <si>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</si>
  <si>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</si>
  <si>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</si>
  <si>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</si>
  <si>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</si>
  <si>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</si>
  <si>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</si>
  <si>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</si>
  <si>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</si>
  <si>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</si>
  <si>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</si>
  <si>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</si>
  <si>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</si>
  <si>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</si>
  <si>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</si>
  <si>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</si>
  <si>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</si>
  <si>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</si>
  <si>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</si>
  <si>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</si>
  <si>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</si>
  <si>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</si>
  <si>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</si>
  <si>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</si>
  <si>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</si>
  <si>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</si>
  <si>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</si>
  <si>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</si>
  <si>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</si>
  <si>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</si>
  <si>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</si>
  <si>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</si>
  <si>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</si>
  <si>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</si>
  <si>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</si>
  <si>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</si>
  <si>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</si>
  <si>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</si>
  <si>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</si>
  <si>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</si>
  <si>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</si>
  <si>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</si>
  <si>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</si>
  <si>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</si>
  <si>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</si>
  <si>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</si>
  <si>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</si>
  <si>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</si>
  <si>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</si>
  <si>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</si>
  <si>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</si>
  <si>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</si>
  <si>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</si>
  <si>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</si>
  <si>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</si>
  <si>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</si>
  <si>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</si>
  <si>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</si>
  <si>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</si>
  <si>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</si>
  <si>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</si>
  <si>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</si>
  <si>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</si>
  <si>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</si>
  <si>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</si>
  <si>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</si>
  <si>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</si>
  <si>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</si>
  <si>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</si>
  <si>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</si>
  <si>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</si>
  <si>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</si>
  <si>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</si>
  <si>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</si>
  <si>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</si>
  <si>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</si>
  <si>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</si>
  <si>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</si>
  <si>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</si>
  <si>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</si>
  <si>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</si>
  <si>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</si>
  <si>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</si>
  <si>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</si>
  <si>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</si>
  <si>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</si>
  <si>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</si>
  <si>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</si>
  <si>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</si>
  <si>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</si>
  <si>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</si>
  <si>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</si>
  <si>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</si>
  <si>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</si>
  <si>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</si>
  <si>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</si>
  <si>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</si>
  <si>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</si>
  <si>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</si>
  <si>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</si>
  <si>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</si>
  <si>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</si>
  <si>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</si>
  <si>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</si>
  <si>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</si>
  <si>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</si>
  <si>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</si>
  <si>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</si>
  <si>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</si>
  <si>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</si>
  <si>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</si>
  <si>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</si>
  <si>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</si>
  <si>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</si>
  <si>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</si>
  <si>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</si>
  <si>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</si>
  <si>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</si>
  <si>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</si>
  <si>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</si>
  <si>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</si>
  <si>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</si>
  <si>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</si>
  <si>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</si>
  <si>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</si>
  <si>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</si>
  <si>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</si>
  <si>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</si>
  <si>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</si>
  <si>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</si>
  <si>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</si>
  <si>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</si>
  <si>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</si>
  <si>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</si>
  <si>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</si>
  <si>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</si>
  <si>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</si>
  <si>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</si>
  <si>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</si>
  <si>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</si>
  <si>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</si>
  <si>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</si>
  <si>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</si>
  <si>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</si>
  <si>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</si>
  <si>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</si>
  <si>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</si>
  <si>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</si>
  <si>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</si>
  <si>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</si>
  <si>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</si>
  <si>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</si>
  <si>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</si>
  <si>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</si>
  <si>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</si>
  <si>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</si>
  <si>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</si>
  <si>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</si>
  <si>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</si>
  <si>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</si>
  <si>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</si>
  <si>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</si>
  <si>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</si>
  <si>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</si>
  <si>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</si>
  <si>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</si>
  <si>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</si>
  <si>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</si>
  <si>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</si>
  <si>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</si>
  <si>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</si>
  <si>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</si>
  <si>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</si>
  <si>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</si>
  <si>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</si>
  <si>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</si>
  <si>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</si>
  <si>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</si>
  <si>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</si>
  <si>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</si>
  <si>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</si>
  <si>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</si>
  <si>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</si>
  <si>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</si>
  <si>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</si>
  <si>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</si>
  <si>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</si>
  <si>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</si>
  <si>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</si>
  <si>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</si>
  <si>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</si>
  <si>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</si>
  <si>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</si>
  <si>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</si>
  <si>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</si>
  <si>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</si>
  <si>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</si>
  <si>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</si>
  <si>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</si>
  <si>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</si>
  <si>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</si>
  <si>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</si>
  <si>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</si>
  <si>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</si>
  <si>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</si>
  <si>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</si>
  <si>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</si>
  <si>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</si>
  <si>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</si>
  <si>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</si>
  <si>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</si>
  <si>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</si>
  <si>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</si>
  <si>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</si>
  <si>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</si>
  <si>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</si>
  <si>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</si>
  <si>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</si>
  <si>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</si>
  <si>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</si>
  <si>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</si>
  <si>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</si>
  <si>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</si>
  <si>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</si>
  <si>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</si>
  <si>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</si>
  <si>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</si>
  <si>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</si>
  <si>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</si>
  <si>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</si>
  <si>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</si>
  <si>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</si>
  <si>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</si>
  <si>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</si>
  <si>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</si>
  <si>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</si>
  <si>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</si>
  <si>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</si>
  <si>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</si>
  <si>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</si>
  <si>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</si>
  <si>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</si>
  <si>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</si>
  <si>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</si>
  <si>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</si>
  <si>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</si>
  <si>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</si>
  <si>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</si>
  <si>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</si>
  <si>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</si>
  <si>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</si>
  <si>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</si>
  <si>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</si>
  <si>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</si>
  <si>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</si>
  <si>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</si>
  <si>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</si>
  <si>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</si>
  <si>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</si>
  <si>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</si>
  <si>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</si>
  <si>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</si>
  <si>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</si>
  <si>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</si>
  <si>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</si>
  <si>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</si>
  <si>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</si>
  <si>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</si>
  <si>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</si>
  <si>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</si>
  <si>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</si>
  <si>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</si>
  <si>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</si>
  <si>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</si>
  <si>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</si>
  <si>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</si>
  <si>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</si>
  <si>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</si>
  <si>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</si>
  <si>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</si>
  <si>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</si>
  <si>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</si>
  <si>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</si>
  <si>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</si>
  <si>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</si>
  <si>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</si>
  <si>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</si>
  <si>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</si>
  <si>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</si>
  <si>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</si>
  <si>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</si>
  <si>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</si>
  <si>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</si>
  <si>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</si>
  <si>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</si>
  <si>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</si>
  <si>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</si>
  <si>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</si>
  <si>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</si>
  <si>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</si>
  <si>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</si>
  <si>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</si>
  <si>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</si>
  <si>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</si>
  <si>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</si>
  <si>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</si>
  <si>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</si>
  <si>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</si>
  <si>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</si>
  <si>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</si>
  <si>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</si>
  <si>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</si>
  <si>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</si>
  <si>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</si>
  <si>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</si>
  <si>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</si>
  <si>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</si>
  <si>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</si>
  <si>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</si>
  <si>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</si>
  <si>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</si>
  <si>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</si>
  <si>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</si>
  <si>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</si>
  <si>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</si>
  <si>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</si>
  <si>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</si>
  <si>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</si>
  <si>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</si>
  <si>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</si>
  <si>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</si>
  <si>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</si>
  <si>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</si>
  <si>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</si>
  <si>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</si>
  <si>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</si>
  <si>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</si>
  <si>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</si>
  <si>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</si>
  <si>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</si>
  <si>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</si>
  <si>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</si>
  <si>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</si>
  <si>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</si>
  <si>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</si>
  <si>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</si>
  <si>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</si>
  <si>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</si>
  <si>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</si>
  <si>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</si>
  <si>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</si>
  <si>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</si>
  <si>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</si>
  <si>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</si>
  <si>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</si>
  <si>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</si>
  <si>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</si>
  <si>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</si>
  <si>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</si>
  <si>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</si>
  <si>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</si>
  <si>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</si>
  <si>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</si>
  <si>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</si>
  <si>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</si>
  <si>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</si>
  <si>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</si>
  <si>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</si>
  <si>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07610425</t>
  </si>
  <si>
    <t>61</t>
  </si>
  <si>
    <t>Хутор Большевик</t>
  </si>
  <si>
    <t>07610406</t>
  </si>
  <si>
    <t>62</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</si>
  <si>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</si>
  <si>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</si>
  <si>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</si>
  <si>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</si>
  <si>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</si>
  <si>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</si>
  <si>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</si>
  <si>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</si>
  <si>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</si>
  <si>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</si>
  <si>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</si>
  <si>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</si>
  <si>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</si>
  <si>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</si>
  <si>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</si>
  <si>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</si>
  <si>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</si>
  <si>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</si>
  <si>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</si>
  <si>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</si>
  <si>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</si>
  <si>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</si>
  <si>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</si>
  <si>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</si>
  <si>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</si>
  <si>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</si>
  <si>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</si>
  <si>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</si>
  <si>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</si>
  <si>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</si>
  <si>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</si>
  <si>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</si>
  <si>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</si>
  <si>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</si>
  <si>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</si>
  <si>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</si>
  <si>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</si>
  <si>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</si>
  <si>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</si>
  <si>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</si>
  <si>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</si>
  <si>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</si>
  <si>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</si>
  <si>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</si>
  <si>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</si>
  <si>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</si>
  <si>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</si>
  <si>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</si>
  <si>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</si>
  <si>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</si>
  <si>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</si>
  <si>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</si>
  <si>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</si>
  <si>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</si>
  <si>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</si>
  <si>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</si>
  <si>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</si>
  <si>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</si>
  <si>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</si>
  <si>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</si>
  <si>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</si>
  <si>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</si>
  <si>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</si>
  <si>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</si>
  <si>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</si>
  <si>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</si>
  <si>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</si>
  <si>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</si>
  <si>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</si>
  <si>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</si>
  <si>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</si>
  <si>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</si>
  <si>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</si>
  <si>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</si>
  <si>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</si>
  <si>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</si>
  <si>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</si>
  <si>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</si>
  <si>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</si>
  <si>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</si>
  <si>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</si>
  <si>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</si>
  <si>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</si>
  <si>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</si>
  <si>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</si>
  <si>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</si>
  <si>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</si>
  <si>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Невинномысск</t>
  </si>
  <si>
    <t>07724000</t>
  </si>
  <si>
    <t>96</t>
  </si>
  <si>
    <t>Город Ставрополь</t>
  </si>
  <si>
    <t>07701000</t>
  </si>
  <si>
    <t>97</t>
  </si>
  <si>
    <t>Грачёвский муниципальный округ</t>
  </si>
  <si>
    <t>07517000</t>
  </si>
  <si>
    <t>102</t>
  </si>
  <si>
    <t>07617000</t>
  </si>
  <si>
    <t>103</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</si>
  <si>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</si>
  <si>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</si>
  <si>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</si>
  <si>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</si>
  <si>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</si>
  <si>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</si>
  <si>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</si>
  <si>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</si>
  <si>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</si>
  <si>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</si>
  <si>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</si>
  <si>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</si>
  <si>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</si>
  <si>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</si>
  <si>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</si>
  <si>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</si>
  <si>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</si>
  <si>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</si>
  <si>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</si>
  <si>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</si>
  <si>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</si>
  <si>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</si>
  <si>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</si>
  <si>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</si>
  <si>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</si>
  <si>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</si>
  <si>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</si>
  <si>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</si>
  <si>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</si>
  <si>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</si>
  <si>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</si>
  <si>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</si>
  <si>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</si>
  <si>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</si>
  <si>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</si>
  <si>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</si>
  <si>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</si>
  <si>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</si>
  <si>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</si>
  <si>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</si>
  <si>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</si>
  <si>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</si>
  <si>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</si>
  <si>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</si>
  <si>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</si>
  <si>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</si>
  <si>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</si>
  <si>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</si>
  <si>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</si>
  <si>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</si>
  <si>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</si>
  <si>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</si>
  <si>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</si>
  <si>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</si>
  <si>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</si>
  <si>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</si>
  <si>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</si>
  <si>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</si>
  <si>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</si>
  <si>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</si>
  <si>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</si>
  <si>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</si>
  <si>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</si>
  <si>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</si>
  <si>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</si>
  <si>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</si>
  <si>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</si>
  <si>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</si>
  <si>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</si>
  <si>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</si>
  <si>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</si>
  <si>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</si>
  <si>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</si>
  <si>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</si>
  <si>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</si>
  <si>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</si>
  <si>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</si>
  <si>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</si>
  <si>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</si>
  <si>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</si>
  <si>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</si>
  <si>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</si>
  <si>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</si>
  <si>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</si>
  <si>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</si>
  <si>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</si>
  <si>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</si>
  <si>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</si>
  <si>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</si>
  <si>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</si>
  <si>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</si>
  <si>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</si>
  <si>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</si>
  <si>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</si>
  <si>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</si>
  <si>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</si>
  <si>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</si>
  <si>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</si>
  <si>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</si>
  <si>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</si>
  <si>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</si>
  <si>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</si>
  <si>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</si>
  <si>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</si>
  <si>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</si>
  <si>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</si>
  <si>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</si>
  <si>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</si>
  <si>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</si>
  <si>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</si>
  <si>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</si>
  <si>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</si>
  <si>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</si>
  <si>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</si>
  <si>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</si>
  <si>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</si>
  <si>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</si>
  <si>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</si>
  <si>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</si>
  <si>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</si>
  <si>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</si>
  <si>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</si>
  <si>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</si>
  <si>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</si>
  <si>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</si>
  <si>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</si>
  <si>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</si>
  <si>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</si>
  <si>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</si>
  <si>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</si>
  <si>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</si>
  <si>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</si>
  <si>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</si>
  <si>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</si>
  <si>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</si>
  <si>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</si>
  <si>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</si>
  <si>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</si>
  <si>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</si>
  <si>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</si>
  <si>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</si>
  <si>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</si>
  <si>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</si>
  <si>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</si>
  <si>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</si>
  <si>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</si>
  <si>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</si>
  <si>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</si>
  <si>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</si>
  <si>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</si>
  <si>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</si>
  <si>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</si>
  <si>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</si>
  <si>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</si>
  <si>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</si>
  <si>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</si>
  <si>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</si>
  <si>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</si>
  <si>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</si>
  <si>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</si>
  <si>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</si>
  <si>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</si>
  <si>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</si>
  <si>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</si>
  <si>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</si>
  <si>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</si>
  <si>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</si>
  <si>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</si>
  <si>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</si>
  <si>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</si>
  <si>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</si>
  <si>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</si>
  <si>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</si>
  <si>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</si>
  <si>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</si>
  <si>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</si>
  <si>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</si>
  <si>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</si>
  <si>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</si>
  <si>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</si>
  <si>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</si>
  <si>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</si>
  <si>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</si>
  <si>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</si>
  <si>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</si>
  <si>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</si>
  <si>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</si>
  <si>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</si>
  <si>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</si>
  <si>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</si>
  <si>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</si>
  <si>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</si>
  <si>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</si>
  <si>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</si>
  <si>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</si>
  <si>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</si>
  <si>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</si>
  <si>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</si>
  <si>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</si>
  <si>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</si>
  <si>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</si>
  <si>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</si>
  <si>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</si>
  <si>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</si>
  <si>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</si>
  <si>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</si>
  <si>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</si>
  <si>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</si>
  <si>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</si>
  <si>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</si>
  <si>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</si>
  <si>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</si>
  <si>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</si>
  <si>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</si>
  <si>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</si>
  <si>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</si>
  <si>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</si>
  <si>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</si>
  <si>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</si>
  <si>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</si>
  <si>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</si>
  <si>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</si>
  <si>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</si>
  <si>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</si>
  <si>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</si>
  <si>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</si>
  <si>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</si>
  <si>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</si>
  <si>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</si>
  <si>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</si>
  <si>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</si>
  <si>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</si>
  <si>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</si>
  <si>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</si>
  <si>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</si>
  <si>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</si>
  <si>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</si>
  <si>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</si>
  <si>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</si>
  <si>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</si>
  <si>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</si>
  <si>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</si>
  <si>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</si>
  <si>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</si>
  <si>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</si>
  <si>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</si>
  <si>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</si>
  <si>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</si>
  <si>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</si>
  <si>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</si>
  <si>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</si>
  <si>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</si>
  <si>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</si>
  <si>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</si>
  <si>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</si>
  <si>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</si>
  <si>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</si>
  <si>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</si>
  <si>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</si>
  <si>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</si>
  <si>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</si>
  <si>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</si>
  <si>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</si>
  <si>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</si>
  <si>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</si>
  <si>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</si>
  <si>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</si>
  <si>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</si>
  <si>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</si>
  <si>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</si>
  <si>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</si>
  <si>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</si>
  <si>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</si>
  <si>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</si>
  <si>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</si>
  <si>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</si>
  <si>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район</t>
  </si>
  <si>
    <t>07636000</t>
  </si>
  <si>
    <t>Бургун-Маджарский сельсовет</t>
  </si>
  <si>
    <t>07636402</t>
  </si>
  <si>
    <t>204</t>
  </si>
  <si>
    <t>Величаевский сельсовет</t>
  </si>
  <si>
    <t>07636404</t>
  </si>
  <si>
    <t>205</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</si>
  <si>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</si>
  <si>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</si>
  <si>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</si>
  <si>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</si>
  <si>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</si>
  <si>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</si>
  <si>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</si>
  <si>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</si>
  <si>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</si>
  <si>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</si>
  <si>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</si>
  <si>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</si>
  <si>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</si>
  <si>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</si>
  <si>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</si>
  <si>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</si>
  <si>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</si>
  <si>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</si>
  <si>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</si>
  <si>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</si>
  <si>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</si>
  <si>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</si>
  <si>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</si>
  <si>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</si>
  <si>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</si>
  <si>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</si>
  <si>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</si>
  <si>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</si>
  <si>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</si>
  <si>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</si>
  <si>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</si>
  <si>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</si>
  <si>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</si>
  <si>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</si>
  <si>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</si>
  <si>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</si>
  <si>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</si>
  <si>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</si>
  <si>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</si>
  <si>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</si>
  <si>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</si>
  <si>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</si>
  <si>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</si>
  <si>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</si>
  <si>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</si>
  <si>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</si>
  <si>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</si>
  <si>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</si>
  <si>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</si>
  <si>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</si>
  <si>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</si>
  <si>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</si>
  <si>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</si>
  <si>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</si>
  <si>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</si>
  <si>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</si>
  <si>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</si>
  <si>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</si>
  <si>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</si>
  <si>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</si>
  <si>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</si>
  <si>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</si>
  <si>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</si>
  <si>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</si>
  <si>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</si>
  <si>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</si>
  <si>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</si>
  <si>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</si>
  <si>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</si>
  <si>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</si>
  <si>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</si>
  <si>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</si>
  <si>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</si>
  <si>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</si>
  <si>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</si>
  <si>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</si>
  <si>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</si>
  <si>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</si>
  <si>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</si>
  <si>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</si>
  <si>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</si>
  <si>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</si>
  <si>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</si>
  <si>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</si>
  <si>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</si>
  <si>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</si>
  <si>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</si>
  <si>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</si>
  <si>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</si>
  <si>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</si>
  <si>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</si>
  <si>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</si>
  <si>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</si>
  <si>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</si>
  <si>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</si>
  <si>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</si>
  <si>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</si>
  <si>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</si>
  <si>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</si>
  <si>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</si>
  <si>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</si>
  <si>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</si>
  <si>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</si>
  <si>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</si>
  <si>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</si>
  <si>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</si>
  <si>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</si>
  <si>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</si>
  <si>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</si>
  <si>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</si>
  <si>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</si>
  <si>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</si>
  <si>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</si>
  <si>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</si>
  <si>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</si>
  <si>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</si>
  <si>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</si>
  <si>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</si>
  <si>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</si>
  <si>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</si>
  <si>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</si>
  <si>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</si>
  <si>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</si>
  <si>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</si>
  <si>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</si>
  <si>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</si>
  <si>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</si>
  <si>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</si>
  <si>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</si>
  <si>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</si>
  <si>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</si>
  <si>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</si>
  <si>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</si>
  <si>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</si>
  <si>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</si>
  <si>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</si>
  <si>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</si>
  <si>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</si>
  <si>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</si>
  <si>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</si>
  <si>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</si>
  <si>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</si>
  <si>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</si>
  <si>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</si>
  <si>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</si>
  <si>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</si>
  <si>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</si>
  <si>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</si>
  <si>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</si>
  <si>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</si>
  <si>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</si>
  <si>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</si>
  <si>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</si>
  <si>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</si>
  <si>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</si>
  <si>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</si>
  <si>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</si>
  <si>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</si>
  <si>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</si>
  <si>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</si>
  <si>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</si>
  <si>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</si>
  <si>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</si>
  <si>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</si>
  <si>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</si>
  <si>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</si>
  <si>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</si>
  <si>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</si>
  <si>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</si>
  <si>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</si>
  <si>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</si>
  <si>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</si>
  <si>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</si>
  <si>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</si>
  <si>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</si>
  <si>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</si>
  <si>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</si>
  <si>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</si>
  <si>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</si>
  <si>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</si>
  <si>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</si>
  <si>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</si>
  <si>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</si>
  <si>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</si>
  <si>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</si>
  <si>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</si>
  <si>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</si>
  <si>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</si>
  <si>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</si>
  <si>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</si>
  <si>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</si>
  <si>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</si>
  <si>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</si>
  <si>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</si>
  <si>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</si>
  <si>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</si>
  <si>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</si>
  <si>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</si>
  <si>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</si>
  <si>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</si>
  <si>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</si>
  <si>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</si>
  <si>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</si>
  <si>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</si>
  <si>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</si>
  <si>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</si>
  <si>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</si>
  <si>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</si>
  <si>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</si>
  <si>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</si>
  <si>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</si>
  <si>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</si>
  <si>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</si>
  <si>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</si>
  <si>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</si>
  <si>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</si>
  <si>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</si>
  <si>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07646425</t>
  </si>
  <si>
    <t>285</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</si>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</sst>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ornienko@skv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593A-BC4E-A55E-3234-352A6800CD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1A4873-C812-C0CC-7584-E7083E3752CB}" mc:Ignorable="x14ac xr xr2 xr3">
  <sheetPr>
    <tabColor rgb="FFCCCCFF"/>
  </sheetPr>
  <dimension ref="A1:P87"/>
  <sheetViews>
    <sheetView topLeftCell="C1" showGridLines="0" zoomScale="90" workbookViewId="0">
      <selection activeCell="L66" sqref="L66"/>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B3A89A3B-5E0F-AC34-5751-FB48FBCDF274}"/>
    <hyperlink ref="H17" location="Титульный!H9" display="Как заполнить?" tooltip="Помощь по работе с полями отчётной формы" xr:uid="{F0864644-2438-59D7-8D83-179988BA1802}"/>
    <hyperlink ref="H39" location="Титульный!H9" display="Как заполнить?" tooltip="Помощь по работе с полями отчётной формы" xr:uid="{9D3ECDC2-E40C-D2AD-1B3A-17289630A27D}"/>
    <hyperlink ref="H62" location="Титульный!H9" display="Как заполнить?" tooltip="Помощь по работе с полями отчётной формы" xr:uid="{C7BF6453-DA3F-7BC4-FF12-E0625BE97066}"/>
    <hyperlink ref="F70" r:id="rId4" tooltip="p.kornienko@skvk.ru" xr:uid="{C128B139-39E1-460B-2849-9E194A1B49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EFED4-13FD-C473-D104-CCEC52E3F2EF}" mc:Ignorable="x14ac xr xr2 xr3">
  <sheetPr>
    <tabColor rgb="FFCCCCFF"/>
    <pageSetUpPr fitToPage="1"/>
  </sheetPr>
  <dimension ref="A1:AB57"/>
  <sheetViews>
    <sheetView topLeftCell="C2" showGridLines="0" zoomScale="90" workbookViewId="0">
      <selection activeCell="G42" sqref="G42"/>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6" width="3.7109375" customWidth="1"/>
    <col min="5" max="5" style="2668" width="6.28125" customWidth="1"/>
    <col min="6" max="6" style="2598" width="2.7109375" hidden="1" customWidth="1"/>
    <col min="7" max="7" style="2668" width="46.7109375" customWidth="1"/>
    <col min="8" max="8" style="2668" width="43.140625" customWidth="1"/>
    <col min="9" max="9" style="2668"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8" width="9.140625" hidden="1"/>
    <col min="28" max="28" style="2668"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Город-курорт Ессентуки(07710000)</v>
      </c>
      <c r="P13" s="424"/>
      <c r="Q13" s="424"/>
      <c r="R13" s="427"/>
      <c r="S13" s="424"/>
      <c r="T13" s="424"/>
      <c r="U13" s="424"/>
      <c r="V13" s="429"/>
      <c r="W13" s="429"/>
      <c r="X13" s="426"/>
      <c r="Y13" s="426"/>
      <c r="Z13" s="426"/>
      <c r="AA13" s="426"/>
      <c r="AB13" s="426"/>
    </row>
    <row customHeight="1" ht="15">
      <c r="A14" s="2056"/>
      <c r="B14" s="1174" t="s">
        <v>102</v>
      </c>
      <c r="C14" s="1174"/>
      <c r="D14" s="810" t="s">
        <v>103</v>
      </c>
      <c r="E14" s="1864" t="str">
        <f>A12&amp;"."&amp;B14</f>
        <v>1.2</v>
      </c>
      <c r="F14" s="813" t="s">
        <v>104</v>
      </c>
      <c r="G14" s="803" t="s">
        <v>105</v>
      </c>
      <c r="H14" s="803" t="s">
        <v>105</v>
      </c>
      <c r="I14" s="801" t="s">
        <v>106</v>
      </c>
      <c r="J14" s="1670">
        <f>MERGEVALUE(G14)</f>
      </c>
      <c r="K14" s="1682"/>
      <c r="L14" s="1682"/>
      <c r="M14" s="1670" t="str">
        <f t="array" ref="M14:M14">IF(ISERROR(MATCH(MID(N14,1,250),MID(note_ter,1,250),0)),"n","y")</f>
        <v>n</v>
      </c>
      <c r="N14" s="1682"/>
      <c r="O14" s="1670" t="str">
        <f>H14&amp;"("&amp;I14&amp;")"</f>
        <v>Предгорный муниципальный округ(07548000)</v>
      </c>
      <c r="P14" s="1174"/>
      <c r="Q14" s="1174"/>
      <c r="R14" s="427"/>
      <c r="S14" s="1174"/>
      <c r="T14" s="1174"/>
      <c r="U14" s="1174"/>
      <c r="V14" s="429"/>
      <c r="W14" s="429"/>
      <c r="X14" s="426"/>
      <c r="Y14" s="426"/>
      <c r="Z14" s="426"/>
      <c r="AA14" s="426"/>
      <c r="AB14" s="426"/>
    </row>
    <row customHeight="1" ht="15">
      <c r="A15" s="2056"/>
      <c r="B15" s="1174" t="s">
        <v>90</v>
      </c>
      <c r="C15" s="1174"/>
      <c r="D15" s="810" t="s">
        <v>103</v>
      </c>
      <c r="E15" s="1864" t="str">
        <f>A12&amp;"."&amp;B15</f>
        <v>1.3</v>
      </c>
      <c r="F15" s="813" t="s">
        <v>107</v>
      </c>
      <c r="G15" s="803" t="s">
        <v>108</v>
      </c>
      <c r="H15" s="803" t="s">
        <v>108</v>
      </c>
      <c r="I15" s="801" t="s">
        <v>109</v>
      </c>
      <c r="J15" s="1670">
        <f>MERGEVALUE(G15)</f>
      </c>
      <c r="K15" s="1682"/>
      <c r="L15" s="1682"/>
      <c r="M15" s="1670" t="str">
        <f t="array" ref="M15:M15">IF(ISERROR(MATCH(MID(N15,1,250),MID(note_ter,1,250),0)),"n","y")</f>
        <v>n</v>
      </c>
      <c r="N15" s="1682"/>
      <c r="O15" s="1670" t="str">
        <f>H15&amp;"("&amp;I15&amp;")"</f>
        <v>Город-курорт Железноводск(07712000)</v>
      </c>
      <c r="P15" s="1174"/>
      <c r="Q15" s="1174"/>
      <c r="R15" s="427"/>
      <c r="S15" s="1174"/>
      <c r="T15" s="1174"/>
      <c r="U15" s="1174"/>
      <c r="V15" s="429"/>
      <c r="W15" s="429"/>
      <c r="X15" s="426"/>
      <c r="Y15" s="426"/>
      <c r="Z15" s="426"/>
      <c r="AA15" s="426"/>
      <c r="AB15" s="426"/>
    </row>
    <row customHeight="1" ht="15">
      <c r="A16" s="2056"/>
      <c r="B16" s="1174" t="s">
        <v>91</v>
      </c>
      <c r="C16" s="1174"/>
      <c r="D16" s="810" t="s">
        <v>103</v>
      </c>
      <c r="E16" s="1864" t="str">
        <f>A12&amp;"."&amp;B16</f>
        <v>1.4</v>
      </c>
      <c r="F16" s="813" t="s">
        <v>110</v>
      </c>
      <c r="G16" s="803" t="s">
        <v>111</v>
      </c>
      <c r="H16" s="803" t="s">
        <v>111</v>
      </c>
      <c r="I16" s="801" t="s">
        <v>112</v>
      </c>
      <c r="J16" s="1670">
        <f>MERGEVALUE(G16)</f>
      </c>
      <c r="K16" s="1682"/>
      <c r="L16" s="1682"/>
      <c r="M16" s="1670" t="str">
        <f t="array" ref="M16:M16">IF(ISERROR(MATCH(MID(N16,1,250),MID(note_ter,1,250),0)),"n","y")</f>
        <v>n</v>
      </c>
      <c r="N16" s="1682"/>
      <c r="O16" s="1670" t="str">
        <f>H16&amp;"("&amp;I16&amp;")"</f>
        <v>Город Лермонтов(07718000)</v>
      </c>
      <c r="P16" s="1174"/>
      <c r="Q16" s="1174"/>
      <c r="R16" s="427"/>
      <c r="S16" s="1174"/>
      <c r="T16" s="1174"/>
      <c r="U16" s="1174"/>
      <c r="V16" s="429"/>
      <c r="W16" s="429"/>
      <c r="X16" s="426"/>
      <c r="Y16" s="426"/>
      <c r="Z16" s="426"/>
      <c r="AA16" s="426"/>
      <c r="AB16" s="426"/>
    </row>
    <row customHeight="1" ht="15">
      <c r="A17" s="2056"/>
      <c r="B17" s="1174" t="s">
        <v>113</v>
      </c>
      <c r="C17" s="1174"/>
      <c r="D17" s="810" t="s">
        <v>103</v>
      </c>
      <c r="E17" s="1864" t="str">
        <f>A12&amp;"."&amp;B17</f>
        <v>1.5</v>
      </c>
      <c r="F17" s="813" t="s">
        <v>114</v>
      </c>
      <c r="G17" s="803" t="s">
        <v>115</v>
      </c>
      <c r="H17" s="803" t="s">
        <v>115</v>
      </c>
      <c r="I17" s="801" t="s">
        <v>116</v>
      </c>
      <c r="J17" s="1670">
        <f>MERGEVALUE(G17)</f>
      </c>
      <c r="K17" s="1682"/>
      <c r="L17" s="1682"/>
      <c r="M17" s="1670" t="str">
        <f t="array" ref="M17:M17">IF(ISERROR(MATCH(MID(N17,1,250),MID(note_ter,1,250),0)),"n","y")</f>
        <v>n</v>
      </c>
      <c r="N17" s="1682"/>
      <c r="O17" s="1670" t="str">
        <f>H17&amp;"("&amp;I17&amp;")"</f>
        <v>Город-курорт Кисловодск(07715000)</v>
      </c>
      <c r="P17" s="1174"/>
      <c r="Q17" s="1174"/>
      <c r="R17" s="427"/>
      <c r="S17" s="1174"/>
      <c r="T17" s="1174"/>
      <c r="U17" s="1174"/>
      <c r="V17" s="429"/>
      <c r="W17" s="429"/>
      <c r="X17" s="426"/>
      <c r="Y17" s="426"/>
      <c r="Z17" s="426"/>
      <c r="AA17" s="426"/>
      <c r="AB17" s="426"/>
    </row>
    <row customHeight="1" ht="15">
      <c r="A18" s="2056"/>
      <c r="B18" s="1174" t="s">
        <v>92</v>
      </c>
      <c r="C18" s="1174"/>
      <c r="D18" s="810" t="s">
        <v>103</v>
      </c>
      <c r="E18" s="1864" t="str">
        <f>A12&amp;"."&amp;B18</f>
        <v>1.6</v>
      </c>
      <c r="F18" s="813" t="s">
        <v>117</v>
      </c>
      <c r="G18" s="803" t="s">
        <v>118</v>
      </c>
      <c r="H18" s="803" t="s">
        <v>118</v>
      </c>
      <c r="I18" s="801" t="s">
        <v>119</v>
      </c>
      <c r="J18" s="1670">
        <f>MERGEVALUE(G18)</f>
      </c>
      <c r="K18" s="1682"/>
      <c r="L18" s="1682"/>
      <c r="M18" s="1670" t="str">
        <f t="array" ref="M18:M18">IF(ISERROR(MATCH(MID(N18,1,250),MID(note_ter,1,250),0)),"n","y")</f>
        <v>n</v>
      </c>
      <c r="N18" s="1682"/>
      <c r="O18" s="1670" t="str">
        <f>H18&amp;"("&amp;I18&amp;")"</f>
        <v>Арзгирский муниципальный округ(07507000)</v>
      </c>
      <c r="P18" s="1174"/>
      <c r="Q18" s="1174"/>
      <c r="R18" s="427"/>
      <c r="S18" s="1174"/>
      <c r="T18" s="1174"/>
      <c r="U18" s="1174"/>
      <c r="V18" s="429"/>
      <c r="W18" s="429"/>
      <c r="X18" s="426"/>
      <c r="Y18" s="426"/>
      <c r="Z18" s="426"/>
      <c r="AA18" s="426"/>
      <c r="AB18" s="426"/>
    </row>
    <row customHeight="1" ht="15">
      <c r="A19" s="2056"/>
      <c r="B19" s="1174" t="s">
        <v>93</v>
      </c>
      <c r="C19" s="1174"/>
      <c r="D19" s="810" t="s">
        <v>103</v>
      </c>
      <c r="E19" s="1864" t="str">
        <f>A12&amp;"."&amp;B19</f>
        <v>1.7</v>
      </c>
      <c r="F19" s="813" t="s">
        <v>120</v>
      </c>
      <c r="G19" s="803" t="s">
        <v>121</v>
      </c>
      <c r="H19" s="803" t="s">
        <v>121</v>
      </c>
      <c r="I19" s="801" t="s">
        <v>122</v>
      </c>
      <c r="J19" s="1670">
        <f>MERGEVALUE(G19)</f>
      </c>
      <c r="K19" s="1682"/>
      <c r="L19" s="1682"/>
      <c r="M19" s="1670" t="str">
        <f t="array" ref="M19:M19">IF(ISERROR(MATCH(MID(N19,1,250),MID(note_ter,1,250),0)),"n","y")</f>
        <v>n</v>
      </c>
      <c r="N19" s="1682"/>
      <c r="O19" s="1670" t="str">
        <f>H19&amp;"("&amp;I19&amp;")"</f>
        <v>Будённовский муниципальный округ(07512000)</v>
      </c>
      <c r="P19" s="1174"/>
      <c r="Q19" s="1174"/>
      <c r="R19" s="427"/>
      <c r="S19" s="1174"/>
      <c r="T19" s="1174"/>
      <c r="U19" s="1174"/>
      <c r="V19" s="429"/>
      <c r="W19" s="429"/>
      <c r="X19" s="426"/>
      <c r="Y19" s="426"/>
      <c r="Z19" s="426"/>
      <c r="AA19" s="426"/>
      <c r="AB19" s="426"/>
    </row>
    <row customHeight="1" ht="15">
      <c r="A20" s="2056"/>
      <c r="B20" s="1174" t="s">
        <v>123</v>
      </c>
      <c r="C20" s="1174"/>
      <c r="D20" s="810" t="s">
        <v>103</v>
      </c>
      <c r="E20" s="1864" t="str">
        <f>A12&amp;"."&amp;B20</f>
        <v>1.8</v>
      </c>
      <c r="F20" s="813" t="s">
        <v>124</v>
      </c>
      <c r="G20" s="803" t="s">
        <v>125</v>
      </c>
      <c r="H20" s="803" t="s">
        <v>125</v>
      </c>
      <c r="I20" s="801" t="s">
        <v>126</v>
      </c>
      <c r="J20" s="1670">
        <f>MERGEVALUE(G20)</f>
      </c>
      <c r="K20" s="1682"/>
      <c r="L20" s="1682"/>
      <c r="M20" s="1670" t="str">
        <f t="array" ref="M20:M20">IF(ISERROR(MATCH(MID(N20,1,250),MID(note_ter,1,250),0)),"n","y")</f>
        <v>n</v>
      </c>
      <c r="N20" s="1682"/>
      <c r="O20" s="1670" t="str">
        <f>H20&amp;"("&amp;I20&amp;")"</f>
        <v>Курский муниципальный округ(07533000)</v>
      </c>
      <c r="P20" s="1174"/>
      <c r="Q20" s="1174"/>
      <c r="R20" s="427"/>
      <c r="S20" s="1174"/>
      <c r="T20" s="1174"/>
      <c r="U20" s="1174"/>
      <c r="V20" s="429"/>
      <c r="W20" s="429"/>
      <c r="X20" s="426"/>
      <c r="Y20" s="426"/>
      <c r="Z20" s="426"/>
      <c r="AA20" s="426"/>
      <c r="AB20" s="426"/>
    </row>
    <row customHeight="1" ht="15">
      <c r="A21" s="2056"/>
      <c r="B21" s="1174" t="s">
        <v>127</v>
      </c>
      <c r="C21" s="1174"/>
      <c r="D21" s="810" t="s">
        <v>103</v>
      </c>
      <c r="E21" s="1864" t="str">
        <f>A12&amp;"."&amp;B21</f>
        <v>1.9</v>
      </c>
      <c r="F21" s="813" t="s">
        <v>128</v>
      </c>
      <c r="G21" s="803" t="s">
        <v>129</v>
      </c>
      <c r="H21" s="803" t="s">
        <v>129</v>
      </c>
      <c r="I21" s="801" t="s">
        <v>130</v>
      </c>
      <c r="J21" s="1670">
        <f>MERGEVALUE(G21)</f>
      </c>
      <c r="K21" s="1682"/>
      <c r="L21" s="1682"/>
      <c r="M21" s="1670" t="str">
        <f t="array" ref="M21:M21">IF(ISERROR(MATCH(MID(N21,1,250),MID(note_ter,1,250),0)),"n","y")</f>
        <v>n</v>
      </c>
      <c r="N21" s="1682"/>
      <c r="O21" s="1670" t="str">
        <f>H21&amp;"("&amp;I21&amp;")"</f>
        <v>Левокумский муниципальный округ(07536000)</v>
      </c>
      <c r="P21" s="1174"/>
      <c r="Q21" s="1174"/>
      <c r="R21" s="427"/>
      <c r="S21" s="1174"/>
      <c r="T21" s="1174"/>
      <c r="U21" s="1174"/>
      <c r="V21" s="429"/>
      <c r="W21" s="429"/>
      <c r="X21" s="426"/>
      <c r="Y21" s="426"/>
      <c r="Z21" s="426"/>
      <c r="AA21" s="426"/>
      <c r="AB21" s="426"/>
    </row>
    <row customHeight="1" ht="15">
      <c r="A22" s="2056"/>
      <c r="B22" s="1174" t="s">
        <v>131</v>
      </c>
      <c r="C22" s="1174"/>
      <c r="D22" s="810" t="s">
        <v>103</v>
      </c>
      <c r="E22" s="1864" t="str">
        <f>A12&amp;"."&amp;B22</f>
        <v>1.10</v>
      </c>
      <c r="F22" s="813" t="s">
        <v>132</v>
      </c>
      <c r="G22" s="803" t="s">
        <v>133</v>
      </c>
      <c r="H22" s="803" t="s">
        <v>133</v>
      </c>
      <c r="I22" s="801" t="s">
        <v>134</v>
      </c>
      <c r="J22" s="1670">
        <f>MERGEVALUE(G22)</f>
      </c>
      <c r="K22" s="1682"/>
      <c r="L22" s="1682"/>
      <c r="M22" s="1670" t="str">
        <f t="array" ref="M22:M22">IF(ISERROR(MATCH(MID(N22,1,250),MID(note_ter,1,250),0)),"n","y")</f>
        <v>n</v>
      </c>
      <c r="N22" s="1682"/>
      <c r="O22" s="1670" t="str">
        <f>H22&amp;"("&amp;I22&amp;")"</f>
        <v>Нефтекумский(07725000)</v>
      </c>
      <c r="P22" s="1174"/>
      <c r="Q22" s="1174"/>
      <c r="R22" s="427"/>
      <c r="S22" s="1174"/>
      <c r="T22" s="1174"/>
      <c r="U22" s="1174"/>
      <c r="V22" s="429"/>
      <c r="W22" s="429"/>
      <c r="X22" s="426"/>
      <c r="Y22" s="426"/>
      <c r="Z22" s="426"/>
      <c r="AA22" s="426"/>
      <c r="AB22" s="426"/>
    </row>
    <row customHeight="1" ht="15">
      <c r="A23" s="2056"/>
      <c r="B23" s="1174" t="s">
        <v>135</v>
      </c>
      <c r="C23" s="1174"/>
      <c r="D23" s="810" t="s">
        <v>103</v>
      </c>
      <c r="E23" s="1864" t="str">
        <f>A12&amp;"."&amp;B23</f>
        <v>1.11</v>
      </c>
      <c r="F23" s="813" t="s">
        <v>136</v>
      </c>
      <c r="G23" s="803" t="s">
        <v>137</v>
      </c>
      <c r="H23" s="803" t="s">
        <v>137</v>
      </c>
      <c r="I23" s="801" t="s">
        <v>138</v>
      </c>
      <c r="J23" s="1670">
        <f>MERGEVALUE(G23)</f>
      </c>
      <c r="K23" s="1682"/>
      <c r="L23" s="1682"/>
      <c r="M23" s="1670" t="str">
        <f t="array" ref="M23:M23">IF(ISERROR(MATCH(MID(N23,1,250),MID(note_ter,1,250),0)),"n","y")</f>
        <v>n</v>
      </c>
      <c r="N23" s="1682"/>
      <c r="O23" s="1670" t="str">
        <f>H23&amp;"("&amp;I23&amp;")"</f>
        <v>Степновский муниципальный округ(07552000)</v>
      </c>
      <c r="P23" s="1174"/>
      <c r="Q23" s="1174"/>
      <c r="R23" s="427"/>
      <c r="S23" s="1174"/>
      <c r="T23" s="1174"/>
      <c r="U23" s="1174"/>
      <c r="V23" s="429"/>
      <c r="W23" s="429"/>
      <c r="X23" s="426"/>
      <c r="Y23" s="426"/>
      <c r="Z23" s="426"/>
      <c r="AA23" s="426"/>
      <c r="AB23" s="426"/>
    </row>
    <row customHeight="1" ht="15">
      <c r="A24" s="2056"/>
      <c r="B24" s="1174" t="s">
        <v>139</v>
      </c>
      <c r="C24" s="1174"/>
      <c r="D24" s="810" t="s">
        <v>103</v>
      </c>
      <c r="E24" s="1864" t="str">
        <f>A12&amp;"."&amp;B24</f>
        <v>1.12</v>
      </c>
      <c r="F24" s="813" t="s">
        <v>135</v>
      </c>
      <c r="G24" s="803" t="s">
        <v>140</v>
      </c>
      <c r="H24" s="803" t="s">
        <v>140</v>
      </c>
      <c r="I24" s="801" t="s">
        <v>141</v>
      </c>
      <c r="J24" s="1670">
        <f>MERGEVALUE(G24)</f>
      </c>
      <c r="K24" s="1682"/>
      <c r="L24" s="1682"/>
      <c r="M24" s="1670" t="str">
        <f t="array" ref="M24:M24">IF(ISERROR(MATCH(MID(N24,1,250),MID(note_ter,1,250),0)),"n","y")</f>
        <v>n</v>
      </c>
      <c r="N24" s="1682"/>
      <c r="O24" s="1670" t="str">
        <f>H24&amp;"("&amp;I24&amp;")"</f>
        <v>Андроповский муниципальный округ(07503000)</v>
      </c>
      <c r="P24" s="1174"/>
      <c r="Q24" s="1174"/>
      <c r="R24" s="427"/>
      <c r="S24" s="1174"/>
      <c r="T24" s="1174"/>
      <c r="U24" s="1174"/>
      <c r="V24" s="429"/>
      <c r="W24" s="429"/>
      <c r="X24" s="426"/>
      <c r="Y24" s="426"/>
      <c r="Z24" s="426"/>
      <c r="AA24" s="426"/>
      <c r="AB24" s="426"/>
    </row>
    <row customHeight="1" ht="15">
      <c r="A25" s="2056"/>
      <c r="B25" s="1174" t="s">
        <v>142</v>
      </c>
      <c r="C25" s="1174"/>
      <c r="D25" s="810" t="s">
        <v>103</v>
      </c>
      <c r="E25" s="1864" t="str">
        <f>A12&amp;"."&amp;B25</f>
        <v>1.13</v>
      </c>
      <c r="F25" s="813" t="s">
        <v>143</v>
      </c>
      <c r="G25" s="803" t="s">
        <v>144</v>
      </c>
      <c r="H25" s="803" t="s">
        <v>144</v>
      </c>
      <c r="I25" s="801" t="s">
        <v>145</v>
      </c>
      <c r="J25" s="1670">
        <f>MERGEVALUE(G25)</f>
      </c>
      <c r="K25" s="1682"/>
      <c r="L25" s="1682"/>
      <c r="M25" s="1670" t="str">
        <f t="array" ref="M25:M25">IF(ISERROR(MATCH(MID(N25,1,250),MID(note_ter,1,250),0)),"n","y")</f>
        <v>n</v>
      </c>
      <c r="N25" s="1682"/>
      <c r="O25" s="1670" t="str">
        <f>H25&amp;"("&amp;I25&amp;")"</f>
        <v>Георгиевский(07707000)</v>
      </c>
      <c r="P25" s="1174"/>
      <c r="Q25" s="1174"/>
      <c r="R25" s="427"/>
      <c r="S25" s="1174"/>
      <c r="T25" s="1174"/>
      <c r="U25" s="1174"/>
      <c r="V25" s="429"/>
      <c r="W25" s="429"/>
      <c r="X25" s="426"/>
      <c r="Y25" s="426"/>
      <c r="Z25" s="426"/>
      <c r="AA25" s="426"/>
      <c r="AB25" s="426"/>
    </row>
    <row customHeight="1" ht="15">
      <c r="A26" s="2056"/>
      <c r="B26" s="1174" t="s">
        <v>146</v>
      </c>
      <c r="C26" s="1174"/>
      <c r="D26" s="810" t="s">
        <v>103</v>
      </c>
      <c r="E26" s="1864" t="str">
        <f>A12&amp;"."&amp;B26</f>
        <v>1.14</v>
      </c>
      <c r="F26" s="813" t="s">
        <v>147</v>
      </c>
      <c r="G26" s="803" t="s">
        <v>148</v>
      </c>
      <c r="H26" s="803" t="s">
        <v>148</v>
      </c>
      <c r="I26" s="801" t="s">
        <v>149</v>
      </c>
      <c r="J26" s="1670">
        <f>MERGEVALUE(G26)</f>
      </c>
      <c r="K26" s="1682"/>
      <c r="L26" s="1682"/>
      <c r="M26" s="1670" t="str">
        <f t="array" ref="M26:M26">IF(ISERROR(MATCH(MID(N26,1,250),MID(note_ter,1,250),0)),"n","y")</f>
        <v>n</v>
      </c>
      <c r="N26" s="1682"/>
      <c r="O26" s="1670" t="str">
        <f>H26&amp;"("&amp;I26&amp;")"</f>
        <v>Минераловодский(07721000)</v>
      </c>
      <c r="P26" s="1174"/>
      <c r="Q26" s="1174"/>
      <c r="R26" s="427"/>
      <c r="S26" s="1174"/>
      <c r="T26" s="1174"/>
      <c r="U26" s="1174"/>
      <c r="V26" s="429"/>
      <c r="W26" s="429"/>
      <c r="X26" s="426"/>
      <c r="Y26" s="426"/>
      <c r="Z26" s="426"/>
      <c r="AA26" s="426"/>
      <c r="AB26" s="426"/>
    </row>
    <row customHeight="1" ht="15">
      <c r="A27" s="2056"/>
      <c r="B27" s="1174" t="s">
        <v>150</v>
      </c>
      <c r="C27" s="1174"/>
      <c r="D27" s="810" t="s">
        <v>103</v>
      </c>
      <c r="E27" s="1864" t="str">
        <f>A12&amp;"."&amp;B27</f>
        <v>1.15</v>
      </c>
      <c r="F27" s="813" t="s">
        <v>151</v>
      </c>
      <c r="G27" s="803" t="s">
        <v>152</v>
      </c>
      <c r="H27" s="803" t="s">
        <v>152</v>
      </c>
      <c r="I27" s="801" t="s">
        <v>153</v>
      </c>
      <c r="J27" s="1670">
        <f>MERGEVALUE(G27)</f>
      </c>
      <c r="K27" s="1682"/>
      <c r="L27" s="1682"/>
      <c r="M27" s="1670" t="str">
        <f t="array" ref="M27:M27">IF(ISERROR(MATCH(MID(N27,1,250),MID(note_ter,1,250),0)),"n","y")</f>
        <v>n</v>
      </c>
      <c r="N27" s="1682"/>
      <c r="O27" s="1670" t="str">
        <f>H27&amp;"("&amp;I27&amp;")"</f>
        <v>Кировский(07716000)</v>
      </c>
      <c r="P27" s="1174"/>
      <c r="Q27" s="1174"/>
      <c r="R27" s="427"/>
      <c r="S27" s="1174"/>
      <c r="T27" s="1174"/>
      <c r="U27" s="1174"/>
      <c r="V27" s="429"/>
      <c r="W27" s="429"/>
      <c r="X27" s="426"/>
      <c r="Y27" s="426"/>
      <c r="Z27" s="426"/>
      <c r="AA27" s="426"/>
      <c r="AB27" s="426"/>
    </row>
    <row customHeight="1" ht="15">
      <c r="A28" s="2056"/>
      <c r="B28" s="1174" t="s">
        <v>154</v>
      </c>
      <c r="C28" s="1174"/>
      <c r="D28" s="810" t="s">
        <v>103</v>
      </c>
      <c r="E28" s="1864" t="str">
        <f>A12&amp;"."&amp;B28</f>
        <v>1.16</v>
      </c>
      <c r="F28" s="813" t="s">
        <v>155</v>
      </c>
      <c r="G28" s="803" t="s">
        <v>156</v>
      </c>
      <c r="H28" s="803" t="s">
        <v>156</v>
      </c>
      <c r="I28" s="801" t="s">
        <v>157</v>
      </c>
      <c r="J28" s="1670">
        <f>MERGEVALUE(G28)</f>
      </c>
      <c r="K28" s="1682"/>
      <c r="L28" s="1682"/>
      <c r="M28" s="1670" t="str">
        <f t="array" ref="M28:M28">IF(ISERROR(MATCH(MID(N28,1,250),MID(note_ter,1,250),0)),"n","y")</f>
        <v>n</v>
      </c>
      <c r="N28" s="1682"/>
      <c r="O28" s="1670" t="str">
        <f>H28&amp;"("&amp;I28&amp;")"</f>
        <v>Город-курорт Пятигорск(07727000)</v>
      </c>
      <c r="P28" s="1174"/>
      <c r="Q28" s="1174"/>
      <c r="R28" s="427"/>
      <c r="S28" s="1174"/>
      <c r="T28" s="1174"/>
      <c r="U28" s="1174"/>
      <c r="V28" s="429"/>
      <c r="W28" s="429"/>
      <c r="X28" s="426"/>
      <c r="Y28" s="426"/>
      <c r="Z28" s="426"/>
      <c r="AA28" s="426"/>
      <c r="AB28" s="426"/>
    </row>
    <row customHeight="1" ht="15">
      <c r="A29" s="2056"/>
      <c r="B29" s="1174" t="s">
        <v>158</v>
      </c>
      <c r="C29" s="1174"/>
      <c r="D29" s="810" t="s">
        <v>103</v>
      </c>
      <c r="E29" s="1864" t="str">
        <f>A12&amp;"."&amp;B29</f>
        <v>1.17</v>
      </c>
      <c r="F29" s="813" t="s">
        <v>159</v>
      </c>
      <c r="G29" s="803" t="s">
        <v>160</v>
      </c>
      <c r="H29" s="803" t="s">
        <v>160</v>
      </c>
      <c r="I29" s="801" t="s">
        <v>161</v>
      </c>
      <c r="J29" s="1670">
        <f>MERGEVALUE(G29)</f>
      </c>
      <c r="K29" s="1682"/>
      <c r="L29" s="1682"/>
      <c r="M29" s="1670" t="str">
        <f t="array" ref="M29:M29">IF(ISERROR(MATCH(MID(N29,1,250),MID(note_ter,1,250),0)),"n","y")</f>
        <v>n</v>
      </c>
      <c r="N29" s="1682"/>
      <c r="O29" s="1670" t="str">
        <f>H29&amp;"("&amp;I29&amp;")"</f>
        <v>Александровский муниципальный округ(07502000)</v>
      </c>
      <c r="P29" s="1174"/>
      <c r="Q29" s="1174"/>
      <c r="R29" s="427"/>
      <c r="S29" s="1174"/>
      <c r="T29" s="1174"/>
      <c r="U29" s="1174"/>
      <c r="V29" s="429"/>
      <c r="W29" s="429"/>
      <c r="X29" s="426"/>
      <c r="Y29" s="426"/>
      <c r="Z29" s="426"/>
      <c r="AA29" s="426"/>
      <c r="AB29" s="426"/>
    </row>
    <row customHeight="1" ht="15">
      <c r="A30" s="2056"/>
      <c r="B30" s="1174" t="s">
        <v>162</v>
      </c>
      <c r="C30" s="1174"/>
      <c r="D30" s="810" t="s">
        <v>103</v>
      </c>
      <c r="E30" s="1864" t="str">
        <f>A12&amp;"."&amp;B30</f>
        <v>1.18</v>
      </c>
      <c r="F30" s="813" t="s">
        <v>163</v>
      </c>
      <c r="G30" s="803" t="s">
        <v>164</v>
      </c>
      <c r="H30" s="803" t="s">
        <v>164</v>
      </c>
      <c r="I30" s="801" t="s">
        <v>165</v>
      </c>
      <c r="J30" s="1670">
        <f>MERGEVALUE(G30)</f>
      </c>
      <c r="K30" s="1682"/>
      <c r="L30" s="1682"/>
      <c r="M30" s="1670" t="str">
        <f t="array" ref="M30:M30">IF(ISERROR(MATCH(MID(N30,1,250),MID(note_ter,1,250),0)),"n","y")</f>
        <v>n</v>
      </c>
      <c r="N30" s="1682"/>
      <c r="O30" s="1670" t="str">
        <f>H30&amp;"("&amp;I30&amp;")"</f>
        <v>Новоселицкий муниципальный округ(07544000)</v>
      </c>
      <c r="P30" s="1174"/>
      <c r="Q30" s="1174"/>
      <c r="R30" s="427"/>
      <c r="S30" s="1174"/>
      <c r="T30" s="1174"/>
      <c r="U30" s="1174"/>
      <c r="V30" s="429"/>
      <c r="W30" s="429"/>
      <c r="X30" s="426"/>
      <c r="Y30" s="426"/>
      <c r="Z30" s="426"/>
      <c r="AA30" s="426"/>
      <c r="AB30" s="426"/>
    </row>
    <row customHeight="1" ht="15">
      <c r="A31" s="2056"/>
      <c r="B31" s="1174" t="s">
        <v>166</v>
      </c>
      <c r="C31" s="1174"/>
      <c r="D31" s="810" t="s">
        <v>103</v>
      </c>
      <c r="E31" s="1864" t="str">
        <f>A12&amp;"."&amp;B31</f>
        <v>1.19</v>
      </c>
      <c r="F31" s="813" t="s">
        <v>167</v>
      </c>
      <c r="G31" s="803" t="s">
        <v>168</v>
      </c>
      <c r="H31" s="803" t="s">
        <v>168</v>
      </c>
      <c r="I31" s="801" t="s">
        <v>169</v>
      </c>
      <c r="J31" s="1670">
        <f>MERGEVALUE(G31)</f>
      </c>
      <c r="K31" s="1682"/>
      <c r="L31" s="1682"/>
      <c r="M31" s="1670" t="str">
        <f t="array" ref="M31:M31">IF(ISERROR(MATCH(MID(N31,1,250),MID(note_ter,1,250),0)),"n","y")</f>
        <v>n</v>
      </c>
      <c r="N31" s="1682"/>
      <c r="O31" s="1670" t="str">
        <f>H31&amp;"("&amp;I31&amp;")"</f>
        <v>Благодарненский(07705000)</v>
      </c>
      <c r="P31" s="1174"/>
      <c r="Q31" s="1174"/>
      <c r="R31" s="427"/>
      <c r="S31" s="1174"/>
      <c r="T31" s="1174"/>
      <c r="U31" s="1174"/>
      <c r="V31" s="429"/>
      <c r="W31" s="429"/>
      <c r="X31" s="426"/>
      <c r="Y31" s="426"/>
      <c r="Z31" s="426"/>
      <c r="AA31" s="426"/>
      <c r="AB31" s="426"/>
    </row>
    <row customHeight="1" ht="15">
      <c r="A32" s="2056"/>
      <c r="B32" s="1174" t="s">
        <v>170</v>
      </c>
      <c r="C32" s="1174"/>
      <c r="D32" s="810" t="s">
        <v>103</v>
      </c>
      <c r="E32" s="1864" t="str">
        <f>A12&amp;"."&amp;B32</f>
        <v>1.20</v>
      </c>
      <c r="F32" s="813" t="s">
        <v>171</v>
      </c>
      <c r="G32" s="803" t="s">
        <v>172</v>
      </c>
      <c r="H32" s="803" t="s">
        <v>172</v>
      </c>
      <c r="I32" s="801" t="s">
        <v>173</v>
      </c>
      <c r="J32" s="1670">
        <f>MERGEVALUE(G32)</f>
      </c>
      <c r="K32" s="1682"/>
      <c r="L32" s="1682"/>
      <c r="M32" s="1670" t="str">
        <f t="array" ref="M32:M32">IF(ISERROR(MATCH(MID(N32,1,250),MID(note_ter,1,250),0)),"n","y")</f>
        <v>n</v>
      </c>
      <c r="N32" s="1682"/>
      <c r="O32" s="1670" t="str">
        <f>H32&amp;"("&amp;I32&amp;")"</f>
        <v>Туркменский муниципальный округ(07556000)</v>
      </c>
      <c r="P32" s="1174"/>
      <c r="Q32" s="1174"/>
      <c r="R32" s="427"/>
      <c r="S32" s="1174"/>
      <c r="T32" s="1174"/>
      <c r="U32" s="1174"/>
      <c r="V32" s="429"/>
      <c r="W32" s="429"/>
      <c r="X32" s="426"/>
      <c r="Y32" s="426"/>
      <c r="Z32" s="426"/>
      <c r="AA32" s="426"/>
      <c r="AB32" s="426"/>
    </row>
    <row customHeight="1" ht="15">
      <c r="A33" s="2056"/>
      <c r="B33" s="1174" t="s">
        <v>174</v>
      </c>
      <c r="C33" s="1174"/>
      <c r="D33" s="810" t="s">
        <v>103</v>
      </c>
      <c r="E33" s="1864" t="str">
        <f>A12&amp;"."&amp;B33</f>
        <v>1.21</v>
      </c>
      <c r="F33" s="813" t="s">
        <v>175</v>
      </c>
      <c r="G33" s="803" t="s">
        <v>176</v>
      </c>
      <c r="H33" s="803" t="s">
        <v>176</v>
      </c>
      <c r="I33" s="801" t="s">
        <v>177</v>
      </c>
      <c r="J33" s="1670">
        <f>MERGEVALUE(G33)</f>
      </c>
      <c r="K33" s="1682"/>
      <c r="L33" s="1682"/>
      <c r="M33" s="1670" t="str">
        <f t="array" ref="M33:M33">IF(ISERROR(MATCH(MID(N33,1,250),MID(note_ter,1,250),0)),"n","y")</f>
        <v>n</v>
      </c>
      <c r="N33" s="1682"/>
      <c r="O33" s="1670" t="str">
        <f>H33&amp;"("&amp;I33&amp;")"</f>
        <v>Апанасенковский муниципальный округ(07505000)</v>
      </c>
      <c r="P33" s="1174"/>
      <c r="Q33" s="1174"/>
      <c r="R33" s="427"/>
      <c r="S33" s="1174"/>
      <c r="T33" s="1174"/>
      <c r="U33" s="1174"/>
      <c r="V33" s="429"/>
      <c r="W33" s="429"/>
      <c r="X33" s="426"/>
      <c r="Y33" s="426"/>
      <c r="Z33" s="426"/>
      <c r="AA33" s="426"/>
      <c r="AB33" s="426"/>
    </row>
    <row customHeight="1" ht="15">
      <c r="A34" s="2056"/>
      <c r="B34" s="1174" t="s">
        <v>178</v>
      </c>
      <c r="C34" s="1174"/>
      <c r="D34" s="810" t="s">
        <v>103</v>
      </c>
      <c r="E34" s="1864" t="str">
        <f>A12&amp;"."&amp;B34</f>
        <v>1.22</v>
      </c>
      <c r="F34" s="813" t="s">
        <v>179</v>
      </c>
      <c r="G34" s="803" t="s">
        <v>180</v>
      </c>
      <c r="H34" s="803" t="s">
        <v>180</v>
      </c>
      <c r="I34" s="801" t="s">
        <v>181</v>
      </c>
      <c r="J34" s="1670">
        <f>MERGEVALUE(G34)</f>
      </c>
      <c r="K34" s="1682"/>
      <c r="L34" s="1682"/>
      <c r="M34" s="1670" t="str">
        <f t="array" ref="M34:M34">IF(ISERROR(MATCH(MID(N34,1,250),MID(note_ter,1,250),0)),"n","y")</f>
        <v>n</v>
      </c>
      <c r="N34" s="1682"/>
      <c r="O34" s="1670" t="str">
        <f>H34&amp;"("&amp;I34&amp;")"</f>
        <v>Ипатовский(07714000)</v>
      </c>
      <c r="P34" s="1174"/>
      <c r="Q34" s="1174"/>
      <c r="R34" s="427"/>
      <c r="S34" s="1174"/>
      <c r="T34" s="1174"/>
      <c r="U34" s="1174"/>
      <c r="V34" s="429"/>
      <c r="W34" s="429"/>
      <c r="X34" s="426"/>
      <c r="Y34" s="426"/>
      <c r="Z34" s="426"/>
      <c r="AA34" s="426"/>
      <c r="AB34" s="426"/>
    </row>
    <row customHeight="1" ht="15">
      <c r="A35" s="2056"/>
      <c r="B35" s="1174" t="s">
        <v>182</v>
      </c>
      <c r="C35" s="1174"/>
      <c r="D35" s="810" t="s">
        <v>103</v>
      </c>
      <c r="E35" s="1864" t="str">
        <f>A12&amp;"."&amp;B35</f>
        <v>1.23</v>
      </c>
      <c r="F35" s="813" t="s">
        <v>183</v>
      </c>
      <c r="G35" s="803" t="s">
        <v>184</v>
      </c>
      <c r="H35" s="803" t="s">
        <v>184</v>
      </c>
      <c r="I35" s="801" t="s">
        <v>185</v>
      </c>
      <c r="J35" s="1670">
        <f>MERGEVALUE(G35)</f>
      </c>
      <c r="K35" s="1682"/>
      <c r="L35" s="1682"/>
      <c r="M35" s="1670" t="str">
        <f t="array" ref="M35:M35">IF(ISERROR(MATCH(MID(N35,1,250),MID(note_ter,1,250),0)),"n","y")</f>
        <v>n</v>
      </c>
      <c r="N35" s="1682"/>
      <c r="O35" s="1670" t="str">
        <f>H35&amp;"("&amp;I35&amp;")"</f>
        <v>Петровский(07731000)</v>
      </c>
      <c r="P35" s="1174"/>
      <c r="Q35" s="1174"/>
      <c r="R35" s="427"/>
      <c r="S35" s="1174"/>
      <c r="T35" s="1174"/>
      <c r="U35" s="1174"/>
      <c r="V35" s="429"/>
      <c r="W35" s="429"/>
      <c r="X35" s="426"/>
      <c r="Y35" s="426"/>
      <c r="Z35" s="426"/>
      <c r="AA35" s="426"/>
      <c r="AB35" s="426"/>
    </row>
    <row customHeight="1" ht="15">
      <c r="A36" s="2056"/>
      <c r="B36" s="1174" t="s">
        <v>175</v>
      </c>
      <c r="C36" s="1174"/>
      <c r="D36" s="810" t="s">
        <v>103</v>
      </c>
      <c r="E36" s="1864" t="str">
        <f>A12&amp;"."&amp;B36</f>
        <v>1.24</v>
      </c>
      <c r="F36" s="813" t="s">
        <v>186</v>
      </c>
      <c r="G36" s="803" t="s">
        <v>187</v>
      </c>
      <c r="H36" s="803" t="s">
        <v>187</v>
      </c>
      <c r="I36" s="801" t="s">
        <v>188</v>
      </c>
      <c r="J36" s="1670">
        <f>MERGEVALUE(G36)</f>
      </c>
      <c r="K36" s="1682"/>
      <c r="L36" s="1682"/>
      <c r="M36" s="1670" t="str">
        <f t="array" ref="M36:M36">IF(ISERROR(MATCH(MID(N36,1,250),MID(note_ter,1,250),0)),"n","y")</f>
        <v>n</v>
      </c>
      <c r="N36" s="1682"/>
      <c r="O36" s="1670" t="str">
        <f>H36&amp;"("&amp;I36&amp;")"</f>
        <v>Изобильненский(07713000)</v>
      </c>
      <c r="P36" s="1174"/>
      <c r="Q36" s="1174"/>
      <c r="R36" s="427"/>
      <c r="S36" s="1174"/>
      <c r="T36" s="1174"/>
      <c r="U36" s="1174"/>
      <c r="V36" s="429"/>
      <c r="W36" s="429"/>
      <c r="X36" s="426"/>
      <c r="Y36" s="426"/>
      <c r="Z36" s="426"/>
      <c r="AA36" s="426"/>
      <c r="AB36" s="426"/>
    </row>
    <row customHeight="1" ht="15">
      <c r="A37" s="2056"/>
      <c r="B37" s="1174" t="s">
        <v>189</v>
      </c>
      <c r="C37" s="1174"/>
      <c r="D37" s="810" t="s">
        <v>103</v>
      </c>
      <c r="E37" s="1864" t="str">
        <f>A12&amp;"."&amp;B37</f>
        <v>1.25</v>
      </c>
      <c r="F37" s="813" t="s">
        <v>190</v>
      </c>
      <c r="G37" s="803" t="s">
        <v>191</v>
      </c>
      <c r="H37" s="803" t="s">
        <v>191</v>
      </c>
      <c r="I37" s="801" t="s">
        <v>192</v>
      </c>
      <c r="J37" s="1670">
        <f>MERGEVALUE(G37)</f>
      </c>
      <c r="K37" s="1682"/>
      <c r="L37" s="1682"/>
      <c r="M37" s="1670" t="str">
        <f t="array" ref="M37:M37">IF(ISERROR(MATCH(MID(N37,1,250),MID(note_ter,1,250),0)),"n","y")</f>
        <v>n</v>
      </c>
      <c r="N37" s="1682"/>
      <c r="O37" s="1670" t="str">
        <f>H37&amp;"("&amp;I37&amp;")"</f>
        <v>Новоалександровский(07726000)</v>
      </c>
      <c r="P37" s="1174"/>
      <c r="Q37" s="1174"/>
      <c r="R37" s="427"/>
      <c r="S37" s="1174"/>
      <c r="T37" s="1174"/>
      <c r="U37" s="1174"/>
      <c r="V37" s="429"/>
      <c r="W37" s="429"/>
      <c r="X37" s="426"/>
      <c r="Y37" s="426"/>
      <c r="Z37" s="426"/>
      <c r="AA37" s="426"/>
      <c r="AB37" s="426"/>
    </row>
    <row customHeight="1" ht="15">
      <c r="A38" s="2056"/>
      <c r="B38" s="1174" t="s">
        <v>193</v>
      </c>
      <c r="C38" s="1174"/>
      <c r="D38" s="810" t="s">
        <v>103</v>
      </c>
      <c r="E38" s="1864" t="str">
        <f>A12&amp;"."&amp;B38</f>
        <v>1.26</v>
      </c>
      <c r="F38" s="813" t="s">
        <v>194</v>
      </c>
      <c r="G38" s="803" t="s">
        <v>195</v>
      </c>
      <c r="H38" s="803" t="s">
        <v>195</v>
      </c>
      <c r="I38" s="801" t="s">
        <v>196</v>
      </c>
      <c r="J38" s="1670">
        <f>MERGEVALUE(G38)</f>
      </c>
      <c r="K38" s="1682"/>
      <c r="L38" s="1682"/>
      <c r="M38" s="1670" t="str">
        <f t="array" ref="M38:M38">IF(ISERROR(MATCH(MID(N38,1,250),MID(note_ter,1,250),0)),"n","y")</f>
        <v>n</v>
      </c>
      <c r="N38" s="1682"/>
      <c r="O38" s="1670" t="str">
        <f>H38&amp;"("&amp;I38&amp;")"</f>
        <v>Красногвардейский муниципальный округ(07530000)</v>
      </c>
      <c r="P38" s="1174"/>
      <c r="Q38" s="1174"/>
      <c r="R38" s="427"/>
      <c r="S38" s="1174"/>
      <c r="T38" s="1174"/>
      <c r="U38" s="1174"/>
      <c r="V38" s="429"/>
      <c r="W38" s="429"/>
      <c r="X38" s="426"/>
      <c r="Y38" s="426"/>
      <c r="Z38" s="426"/>
      <c r="AA38" s="426"/>
      <c r="AB38" s="426"/>
    </row>
    <row customHeight="1" ht="15">
      <c r="A39" s="2056"/>
      <c r="B39" s="1174" t="s">
        <v>197</v>
      </c>
      <c r="C39" s="1174"/>
      <c r="D39" s="810" t="s">
        <v>103</v>
      </c>
      <c r="E39" s="1864" t="str">
        <f>A12&amp;"."&amp;B39</f>
        <v>1.27</v>
      </c>
      <c r="F39" s="813" t="s">
        <v>198</v>
      </c>
      <c r="G39" s="803" t="s">
        <v>199</v>
      </c>
      <c r="H39" s="803" t="s">
        <v>199</v>
      </c>
      <c r="I39" s="801" t="s">
        <v>200</v>
      </c>
      <c r="J39" s="1670">
        <f>MERGEVALUE(G39)</f>
      </c>
      <c r="K39" s="1682"/>
      <c r="L39" s="1682"/>
      <c r="M39" s="1670" t="str">
        <f t="array" ref="M39:M39">IF(ISERROR(MATCH(MID(N39,1,250),MID(note_ter,1,250),0)),"n","y")</f>
        <v>n</v>
      </c>
      <c r="N39" s="1682"/>
      <c r="O39" s="1670" t="str">
        <f>H39&amp;"("&amp;I39&amp;")"</f>
        <v>Труновский муниципальный округ(07554000)</v>
      </c>
      <c r="P39" s="1174"/>
      <c r="Q39" s="1174"/>
      <c r="R39" s="427"/>
      <c r="S39" s="1174"/>
      <c r="T39" s="1174"/>
      <c r="U39" s="1174"/>
      <c r="V39" s="429"/>
      <c r="W39" s="429"/>
      <c r="X39" s="426"/>
      <c r="Y39" s="426"/>
      <c r="Z39" s="426"/>
      <c r="AA39" s="426"/>
      <c r="AB39" s="426"/>
    </row>
    <row customHeight="1" ht="15">
      <c r="A40" s="2056"/>
      <c r="B40" s="1174" t="s">
        <v>201</v>
      </c>
      <c r="C40" s="1174"/>
      <c r="D40" s="810" t="s">
        <v>103</v>
      </c>
      <c r="E40" s="1864" t="str">
        <f>A12&amp;"."&amp;B40</f>
        <v>1.28</v>
      </c>
      <c r="F40" s="813" t="s">
        <v>202</v>
      </c>
      <c r="G40" s="803" t="s">
        <v>203</v>
      </c>
      <c r="H40" s="803" t="s">
        <v>203</v>
      </c>
      <c r="I40" s="801" t="s">
        <v>204</v>
      </c>
      <c r="J40" s="1670">
        <f>MERGEVALUE(G40)</f>
      </c>
      <c r="K40" s="1682"/>
      <c r="L40" s="1682"/>
      <c r="M40" s="1670" t="str">
        <f t="array" ref="M40:M40">IF(ISERROR(MATCH(MID(N40,1,250),MID(note_ter,1,250),0)),"n","y")</f>
        <v>n</v>
      </c>
      <c r="N40" s="1682"/>
      <c r="O40" s="1670" t="str">
        <f>H40&amp;"("&amp;I40&amp;")"</f>
        <v>Кочубеевский муниципальный округ(07528000)</v>
      </c>
      <c r="P40" s="1174"/>
      <c r="Q40" s="1174"/>
      <c r="R40" s="427"/>
      <c r="S40" s="1174"/>
      <c r="T40" s="1174"/>
      <c r="U40" s="1174"/>
      <c r="V40" s="429"/>
      <c r="W40" s="429"/>
      <c r="X40" s="426"/>
      <c r="Y40" s="426"/>
      <c r="Z40" s="426"/>
      <c r="AA40" s="426"/>
      <c r="AB40" s="426"/>
    </row>
    <row customHeight="1" ht="15">
      <c r="A41" s="2056"/>
      <c r="B41" s="1174" t="s">
        <v>205</v>
      </c>
      <c r="C41" s="1174"/>
      <c r="D41" s="810" t="s">
        <v>103</v>
      </c>
      <c r="E41" s="1864" t="str">
        <f>A12&amp;"."&amp;B41</f>
        <v>1.29</v>
      </c>
      <c r="F41" s="813" t="s">
        <v>206</v>
      </c>
      <c r="G41" s="803" t="s">
        <v>207</v>
      </c>
      <c r="H41" s="803" t="s">
        <v>208</v>
      </c>
      <c r="I41" s="801" t="s">
        <v>209</v>
      </c>
      <c r="J41" s="1670">
        <f>MERGEVALUE(G41)</f>
      </c>
      <c r="K41" s="1682"/>
      <c r="L41" s="1682"/>
      <c r="M41" s="1670" t="str">
        <f t="array" ref="M41:M41">IF(ISERROR(MATCH(MID(N41,1,250),MID(note_ter,1,250),0)),"n","y")</f>
        <v>n</v>
      </c>
      <c r="N41" s="1682"/>
      <c r="O41" s="1670" t="str">
        <f>H41&amp;"("&amp;I41&amp;")"</f>
        <v>Грачевский сельсовет(07617404)</v>
      </c>
      <c r="P41" s="1174"/>
      <c r="Q41" s="1174"/>
      <c r="R41" s="427"/>
      <c r="S41" s="1174"/>
      <c r="T41" s="1174"/>
      <c r="U41" s="1174"/>
      <c r="V41" s="429"/>
      <c r="W41" s="429"/>
      <c r="X41" s="426"/>
      <c r="Y41" s="426"/>
      <c r="Z41" s="426"/>
      <c r="AA41" s="426"/>
      <c r="AB41" s="426"/>
    </row>
    <row customHeight="1" ht="15">
      <c r="A42" s="2056"/>
      <c r="B42" s="1174" t="s">
        <v>210</v>
      </c>
      <c r="C42" s="1174"/>
      <c r="D42" s="810" t="s">
        <v>103</v>
      </c>
      <c r="E42" s="1864" t="str">
        <f>A12&amp;"."&amp;B42</f>
        <v>1.30</v>
      </c>
      <c r="F42" s="813" t="s">
        <v>211</v>
      </c>
      <c r="G42" s="803" t="s">
        <v>212</v>
      </c>
      <c r="H42" s="803" t="s">
        <v>212</v>
      </c>
      <c r="I42" s="801" t="s">
        <v>213</v>
      </c>
      <c r="J42" s="1670">
        <f>MERGEVALUE(G42)</f>
      </c>
      <c r="K42" s="1682"/>
      <c r="L42" s="1682"/>
      <c r="M42" s="1670" t="str">
        <f t="array" ref="M42:M42">IF(ISERROR(MATCH(MID(N42,1,250),MID(note_ter,1,250),0)),"n","y")</f>
        <v>n</v>
      </c>
      <c r="N42" s="1682"/>
      <c r="O42" s="1670" t="str">
        <f>H42&amp;"("&amp;I42&amp;")"</f>
        <v>Шпаковский муниципальный округ(07558000)</v>
      </c>
      <c r="P42" s="1174"/>
      <c r="Q42" s="1174"/>
      <c r="R42" s="427"/>
      <c r="S42" s="1174"/>
      <c r="T42" s="1174"/>
      <c r="U42" s="1174"/>
      <c r="V42" s="429"/>
      <c r="W42" s="429"/>
      <c r="X42" s="426"/>
      <c r="Y42" s="426"/>
      <c r="Z42" s="426"/>
      <c r="AA42" s="426"/>
      <c r="AB42" s="426"/>
    </row>
    <row s="2640" customFormat="1" customHeight="1" ht="15">
      <c r="A43" s="1938"/>
      <c r="B43" s="424"/>
      <c r="C43" s="419"/>
      <c r="D43" s="811"/>
      <c r="E43" s="428"/>
      <c r="F43" s="163"/>
      <c r="G43" s="422" t="s">
        <v>214</v>
      </c>
      <c r="H43" s="173"/>
      <c r="I43" s="431"/>
      <c r="J43" s="519"/>
      <c r="K43" s="519"/>
      <c r="L43" s="519"/>
      <c r="M43" s="519"/>
      <c r="N43" s="508"/>
      <c r="O43" s="519"/>
      <c r="P43" s="424"/>
      <c r="Q43" s="424"/>
      <c r="R43" s="427"/>
      <c r="S43" s="424"/>
      <c r="T43" s="424"/>
      <c r="U43" s="424"/>
      <c r="V43" s="429"/>
      <c r="W43" s="429"/>
      <c r="X43" s="426"/>
      <c r="Y43" s="426"/>
      <c r="Z43" s="426"/>
      <c r="AA43" s="426"/>
      <c r="AB43" s="426"/>
    </row>
    <row s="2597" customFormat="1" customHeight="1" ht="14.25">
      <c r="A44" s="768"/>
      <c r="B44" s="424"/>
      <c r="C44" s="768"/>
      <c r="D44" s="792"/>
      <c r="E44" s="804"/>
      <c r="F44" s="164"/>
      <c r="G44" s="423" t="s">
        <v>215</v>
      </c>
      <c r="H44" s="164"/>
      <c r="I44" s="165"/>
      <c r="J44" s="235"/>
      <c r="K44" s="141"/>
      <c r="L44" s="141"/>
      <c r="M44" s="141"/>
      <c r="N44" s="212" t="s">
        <v>216</v>
      </c>
      <c r="O44" s="141"/>
      <c r="P44" s="211"/>
      <c r="Q44" s="211"/>
      <c r="R44" s="211"/>
      <c r="S44" s="211"/>
    </row>
    <row s="2597" customFormat="1" customHeight="1" ht="21">
      <c r="A45" s="768"/>
      <c r="B45" s="424"/>
      <c r="C45" s="768"/>
      <c r="D45" s="151"/>
      <c r="E45" s="166"/>
      <c r="F45" s="166"/>
      <c r="G45" s="166"/>
      <c r="H45" s="166"/>
      <c r="I45" s="166"/>
      <c r="J45" s="141"/>
      <c r="K45" s="141"/>
      <c r="L45" s="141"/>
      <c r="M45" s="141"/>
      <c r="N45" s="212"/>
      <c r="O45" s="141"/>
      <c r="P45" s="211"/>
      <c r="Q45" s="211"/>
      <c r="R45" s="211"/>
      <c r="S45" s="211"/>
    </row>
    <row s="2597" customFormat="1" customHeight="1" ht="14.25">
      <c r="A46" s="768"/>
      <c r="B46" s="424"/>
      <c r="C46" s="768"/>
      <c r="D46" s="151"/>
      <c r="E46" s="68"/>
      <c r="F46" s="768"/>
      <c r="G46" s="68"/>
      <c r="H46" s="68"/>
      <c r="I46" s="68"/>
      <c r="J46" s="141"/>
      <c r="K46" s="141"/>
      <c r="L46" s="141"/>
      <c r="M46" s="141"/>
      <c r="N46" s="212"/>
      <c r="O46" s="141"/>
      <c r="P46" s="211"/>
      <c r="Q46" s="211"/>
      <c r="R46" s="211"/>
      <c r="S46" s="211"/>
    </row>
    <row s="2597" customFormat="1" customHeight="1" ht="0.75">
      <c r="A47" s="768"/>
      <c r="B47" s="424"/>
      <c r="C47" s="768"/>
      <c r="D47" s="151"/>
      <c r="E47" s="68"/>
      <c r="F47" s="768"/>
      <c r="G47" s="68"/>
      <c r="H47" s="68"/>
      <c r="I47" s="68"/>
      <c r="J47" s="141"/>
      <c r="K47" s="141"/>
      <c r="L47" s="141"/>
      <c r="M47" s="141"/>
      <c r="N47" s="212"/>
      <c r="O47" s="141"/>
      <c r="P47" s="211"/>
      <c r="Q47" s="211"/>
      <c r="R47" s="211"/>
      <c r="S47" s="211"/>
    </row>
    <row s="2669" customFormat="1" customHeight="1" ht="10.5">
      <c r="B48" s="844"/>
      <c r="D48" s="168"/>
      <c r="J48" s="141"/>
      <c r="K48" s="141"/>
      <c r="L48" s="141"/>
      <c r="M48" s="141"/>
      <c r="N48" s="212"/>
      <c r="O48" s="141"/>
      <c r="P48" s="211"/>
      <c r="Q48" s="211"/>
      <c r="R48" s="211"/>
      <c r="S48" s="211"/>
    </row>
    <row s="2669" customFormat="1" customHeight="1" ht="10.5">
      <c r="B49" s="844"/>
      <c r="D49" s="168"/>
      <c r="J49" s="141"/>
      <c r="K49" s="141"/>
      <c r="L49" s="141"/>
      <c r="M49" s="141"/>
      <c r="N49" s="212"/>
      <c r="O49" s="141"/>
      <c r="P49" s="211"/>
      <c r="Q49" s="211"/>
      <c r="R49" s="211"/>
      <c r="S49" s="211"/>
    </row>
    <row r="53" customHeight="1" ht="14.25">
      <c r="H53" s="48"/>
    </row>
    <row r="57" customHeight="1" ht="14.25">
      <c r="J57" s="68"/>
      <c r="K57" s="68"/>
      <c r="L57" s="68"/>
    </row>
  </sheetData>
  <sheetProtection formatColumns="0" formatRows="0" autoFilter="0" sort="0" insertRows="0" insertColumns="1" deleteRows="0" deleteColumns="0"/>
  <mergeCells count="4">
    <mergeCell ref="A12:A4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01775-09A5-DF2C-1057-A9C6D2846633}"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55" width="6.421875" hidden="1" customWidth="1"/>
    <col min="2" max="2" style="2755" width="2.00390625" hidden="1" customWidth="1"/>
    <col min="3" max="3" style="2755" width="3.7109375" customWidth="1"/>
    <col min="4" max="4" style="2755" width="4.28125" customWidth="1"/>
    <col min="5" max="5" style="2755" width="45.00390625" customWidth="1"/>
    <col min="6" max="6" style="2755" width="6.421875" customWidth="1"/>
    <col min="7" max="7" style="2755" width="4.421875" customWidth="1"/>
    <col min="8" max="8" style="2755" width="5.57421875" customWidth="1"/>
    <col min="9" max="9" style="2755" width="52.8515625" customWidth="1"/>
    <col min="10" max="10" style="2755" width="7.00390625" customWidth="1"/>
    <col min="11" max="11" style="2755" width="3.7109375" customWidth="1"/>
    <col min="12" max="12" style="2755" width="6.28125" customWidth="1"/>
    <col min="13" max="13" style="2755" width="56.28125" customWidth="1"/>
    <col min="14" max="14" style="2677" width="9.140625"/>
    <col min="15" max="20" style="2714" width="9.140625" hidden="1"/>
    <col min="21" max="24" style="2756" width="9.140625" hidden="1"/>
    <col min="25" max="37" style="2677" width="9.140625" hidden="1"/>
    <col min="38" max="38" style="2677"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8" customFormat="1" customHeight="1" ht="15">
      <c r="A5" s="593"/>
      <c r="B5" s="593"/>
      <c r="C5" s="593"/>
      <c r="D5" s="1961" t="str">
        <f>IF(org=0,"Не определено",org)</f>
        <v>ГУП СК "Ставрополькрайводоканал"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5"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8"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217</v>
      </c>
      <c r="E9" s="1966"/>
      <c r="F9" s="1967" t="s">
        <v>218</v>
      </c>
      <c r="G9" s="1968"/>
      <c r="H9" s="1968"/>
      <c r="I9" s="1968"/>
      <c r="J9" s="1971" t="s">
        <v>219</v>
      </c>
      <c r="K9" s="1971"/>
      <c r="L9" s="1971"/>
      <c r="M9" s="1971"/>
    </row>
    <row customHeight="1" ht="22.5">
      <c r="A10" s="1965"/>
      <c r="B10" s="600"/>
      <c r="C10" s="533"/>
      <c r="D10" s="531" t="s">
        <v>88</v>
      </c>
      <c r="E10" s="531" t="s">
        <v>89</v>
      </c>
      <c r="F10" s="531" t="s">
        <v>220</v>
      </c>
      <c r="G10" s="1972" t="s">
        <v>88</v>
      </c>
      <c r="H10" s="1973"/>
      <c r="I10" s="531" t="s">
        <v>89</v>
      </c>
      <c r="J10" s="531" t="s">
        <v>220</v>
      </c>
      <c r="K10" s="1972" t="s">
        <v>88</v>
      </c>
      <c r="L10" s="1973"/>
      <c r="M10" s="531" t="s">
        <v>89</v>
      </c>
      <c r="N10" s="1673"/>
    </row>
    <row s="2706" customFormat="1" customHeight="1" ht="11.25" hidden="1">
      <c r="A11" s="601"/>
      <c r="B11" s="601"/>
      <c r="C11" s="601"/>
      <c r="D11" s="602" t="s">
        <v>159</v>
      </c>
      <c r="E11" s="602" t="s">
        <v>102</v>
      </c>
      <c r="F11" s="602" t="s">
        <v>90</v>
      </c>
      <c r="G11" s="1954" t="s">
        <v>91</v>
      </c>
      <c r="H11" s="1955"/>
      <c r="I11" s="602" t="s">
        <v>113</v>
      </c>
      <c r="J11" s="602" t="s">
        <v>92</v>
      </c>
      <c r="K11" s="1956" t="s">
        <v>93</v>
      </c>
      <c r="L11" s="1957"/>
      <c r="M11" s="602" t="s">
        <v>123</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221</v>
      </c>
      <c r="P12" s="1449" t="s">
        <v>222</v>
      </c>
      <c r="Q12" s="1449" t="s">
        <v>223</v>
      </c>
      <c r="R12" s="1449" t="s">
        <v>224</v>
      </c>
    </row>
    <row s="2726" customFormat="1" customHeight="1" ht="15">
      <c r="A13" s="281"/>
      <c r="B13" s="281"/>
      <c r="C13" s="534"/>
      <c r="D13" s="1947" t="s">
        <v>159</v>
      </c>
      <c r="E13" s="1948" t="str">
        <f>INDEX(VD_NAME_LIST,MATCH("4189677",VD_ID_LIST,0))</f>
        <v>Подключение (технологическое присоединение) к централизованной системе водоснабжения</v>
      </c>
      <c r="F13" s="1951" t="s">
        <v>57</v>
      </c>
      <c r="G13" s="1952"/>
      <c r="H13" s="1953">
        <v>1</v>
      </c>
      <c r="I13" s="2734" t="s">
        <v>18</v>
      </c>
      <c r="J13" s="1946" t="s">
        <v>57</v>
      </c>
      <c r="K13" s="610"/>
      <c r="L13" s="535" t="s">
        <v>159</v>
      </c>
      <c r="M13" s="611" t="s">
        <v>18</v>
      </c>
      <c r="N13" s="822"/>
      <c r="O13" s="1452" t="s">
        <v>225</v>
      </c>
      <c r="P13" s="1449" t="str">
        <f>$E$13</f>
        <v>Подключение (технологическое присоединение) к централизованной системе водоснабжения</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226</v>
      </c>
      <c r="W13" s="1301"/>
      <c r="X13" s="1301"/>
      <c r="Y13" s="612" t="s">
        <v>227</v>
      </c>
      <c r="Z13" s="612">
        <v>1705000</v>
      </c>
      <c r="AA13" s="612"/>
      <c r="AB13" s="612"/>
      <c r="AC13" s="612"/>
      <c r="AD13" s="612"/>
      <c r="AE13" s="612"/>
      <c r="AF13" s="612"/>
      <c r="AG13" s="612"/>
      <c r="AH13" s="612"/>
      <c r="AI13" s="612"/>
      <c r="AJ13" s="612"/>
      <c r="AK13" s="612"/>
      <c r="AL13" s="612"/>
    </row>
    <row s="2726" customFormat="1" customHeight="1" ht="15">
      <c r="A14" s="281"/>
      <c r="B14" s="281"/>
      <c r="C14" s="162"/>
      <c r="D14" s="1947"/>
      <c r="E14" s="1949"/>
      <c r="F14" s="1946"/>
      <c r="G14" s="1952"/>
      <c r="H14" s="1953"/>
      <c r="I14" s="2744" t="s">
        <v>18</v>
      </c>
      <c r="J14" s="1946"/>
      <c r="K14" s="428"/>
      <c r="L14" s="163"/>
      <c r="M14" s="615" t="s">
        <v>228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6" customFormat="1" customHeight="1" ht="15">
      <c r="A15" s="281"/>
      <c r="B15" s="281"/>
      <c r="C15" s="162"/>
      <c r="D15" s="1947"/>
      <c r="E15" s="1950"/>
      <c r="F15" s="1946"/>
      <c r="G15" s="1073"/>
      <c r="H15" s="1074"/>
      <c r="I15" s="588" t="s">
        <v>229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230</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321AD-114B-F704-9C8C-3A48A5B1EC7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8" width="3.7109375" hidden="1" customWidth="1"/>
    <col min="3" max="3" style="2859" width="3.7109375" customWidth="1"/>
    <col min="4" max="4" style="2859" width="6.140625" customWidth="1"/>
    <col min="5" max="5" style="2859" width="43.140625" customWidth="1"/>
    <col min="6" max="6" style="2833" width="15.00390625" customWidth="1"/>
    <col min="7" max="7" style="2859" width="43.140625" customWidth="1"/>
    <col min="8" max="8" style="2859" width="3.7109375" customWidth="1"/>
    <col min="9" max="9" style="2859" width="5.421875" customWidth="1"/>
    <col min="10" max="10" style="2859" width="47.8515625" customWidth="1"/>
    <col min="11" max="12" style="2859" width="3.7109375" customWidth="1"/>
    <col min="13" max="13" style="2859" width="5.7109375" customWidth="1"/>
    <col min="14" max="14" style="2859" width="28.140625" customWidth="1"/>
    <col min="15" max="16" style="2859" width="3.7109375" customWidth="1"/>
    <col min="17" max="17" style="2859" width="5.7109375" customWidth="1"/>
    <col min="18" max="18" style="2859" width="34.421875" customWidth="1"/>
    <col min="19" max="20" style="2860" width="3.7109375" hidden="1" customWidth="1"/>
    <col min="21" max="21" style="2860" width="5.7109375" hidden="1" customWidth="1"/>
    <col min="22" max="22" style="2860" width="34.421875" hidden="1" customWidth="1"/>
    <col min="23" max="23" style="2859" width="30.7109375" customWidth="1"/>
    <col min="24" max="24" style="2859" width="3.7109375" customWidth="1"/>
    <col min="25" max="28" style="2781" width="9.8515625" hidden="1" customWidth="1"/>
    <col min="29" max="29" style="2781" width="27.00390625" hidden="1" customWidth="1"/>
    <col min="30" max="30" style="2781" width="10.57421875" hidden="1" customWidth="1"/>
    <col min="31" max="31" style="2781" width="10.7109375" hidden="1" customWidth="1"/>
    <col min="32" max="32" style="2781" width="10.00390625" hidden="1" customWidth="1"/>
    <col min="33" max="33" style="2781" width="12.8515625" hidden="1" customWidth="1"/>
    <col min="34" max="34" style="2781" width="10.28125" hidden="1" customWidth="1"/>
    <col min="35" max="35" style="2781" width="15.8515625" hidden="1" customWidth="1"/>
    <col min="36" max="36" style="2781" width="19.421875" hidden="1" customWidth="1"/>
    <col min="37" max="37" style="2781" width="11.00390625" hidden="1" customWidth="1"/>
    <col min="38" max="38" style="2781" width="23.57421875" hidden="1" customWidth="1"/>
    <col min="39" max="39" style="2781" width="23.8515625" hidden="1" customWidth="1"/>
    <col min="40" max="40" style="2781" width="25.28125" hidden="1" customWidth="1"/>
    <col min="41" max="41" style="2781" width="16.8515625" hidden="1" customWidth="1"/>
    <col min="42" max="42" style="2781" width="29.57421875" hidden="1" customWidth="1"/>
    <col min="43" max="43" style="2781" width="29.8515625" hidden="1" customWidth="1"/>
    <col min="44" max="44" style="2859" width="9.140625" hidden="1"/>
  </cols>
  <sheetData>
    <row customHeight="1" ht="11.25" hidden="1">
      <c r="A1" s="142"/>
    </row>
    <row customHeight="1" ht="11.25" hidden="1"/>
    <row customHeight="1" ht="11.25" hidden="1"/>
    <row customHeight="1" ht="3"/>
    <row s="2758"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8" customFormat="1" customHeight="1" ht="15">
      <c r="A6" s="593"/>
      <c r="B6" s="593"/>
      <c r="C6" s="593"/>
      <c r="D6" s="2002" t="str">
        <f>IF(org=0,"Не определено",org)</f>
        <v>ГУП СК "Ставрополькрайводоканал"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8"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231</v>
      </c>
      <c r="F9" s="1942"/>
      <c r="G9" s="1966" t="s">
        <v>217</v>
      </c>
      <c r="H9" s="1966" t="s">
        <v>88</v>
      </c>
      <c r="I9" s="1966"/>
      <c r="J9" s="1966" t="s">
        <v>232</v>
      </c>
      <c r="K9" s="1994" t="s">
        <v>233</v>
      </c>
      <c r="L9" s="1994"/>
      <c r="M9" s="1994"/>
      <c r="N9" s="1994"/>
      <c r="O9" s="1994" t="s">
        <v>234</v>
      </c>
      <c r="P9" s="1994"/>
      <c r="Q9" s="1994"/>
      <c r="R9" s="1994"/>
      <c r="S9" s="1994" t="s">
        <v>235</v>
      </c>
      <c r="T9" s="1994"/>
      <c r="U9" s="1994"/>
      <c r="V9" s="1994"/>
      <c r="W9" s="1966" t="s">
        <v>236</v>
      </c>
    </row>
    <row customHeight="1" ht="30">
      <c r="D10" s="1966"/>
      <c r="E10" s="1320" t="s">
        <v>89</v>
      </c>
      <c r="F10" s="1320" t="s">
        <v>237</v>
      </c>
      <c r="G10" s="1966"/>
      <c r="H10" s="1966"/>
      <c r="I10" s="1966"/>
      <c r="J10" s="1966"/>
      <c r="K10" s="96" t="s">
        <v>220</v>
      </c>
      <c r="L10" s="1966" t="s">
        <v>88</v>
      </c>
      <c r="M10" s="1966"/>
      <c r="N10" s="96" t="s">
        <v>238</v>
      </c>
      <c r="O10" s="96" t="s">
        <v>220</v>
      </c>
      <c r="P10" s="1966" t="s">
        <v>88</v>
      </c>
      <c r="Q10" s="1966"/>
      <c r="R10" s="96" t="s">
        <v>238</v>
      </c>
      <c r="S10" s="271" t="s">
        <v>220</v>
      </c>
      <c r="T10" s="1966" t="s">
        <v>88</v>
      </c>
      <c r="U10" s="1966"/>
      <c r="V10" s="271" t="s">
        <v>89</v>
      </c>
      <c r="W10" s="1966"/>
      <c r="Z10" s="1294" t="s">
        <v>239</v>
      </c>
      <c r="AA10" s="1294" t="s">
        <v>240</v>
      </c>
      <c r="AB10" s="1294" t="s">
        <v>241</v>
      </c>
      <c r="AC10" s="1294" t="s">
        <v>242</v>
      </c>
      <c r="AD10" s="1294" t="s">
        <v>243</v>
      </c>
      <c r="AE10" s="1294" t="s">
        <v>244</v>
      </c>
      <c r="AF10" s="1294" t="s">
        <v>245</v>
      </c>
      <c r="AG10" s="1294" t="s">
        <v>246</v>
      </c>
      <c r="AH10" s="1294" t="s">
        <v>247</v>
      </c>
      <c r="AI10" s="1294" t="s">
        <v>248</v>
      </c>
      <c r="AJ10" s="1294" t="s">
        <v>249</v>
      </c>
      <c r="AK10" s="1294" t="s">
        <v>250</v>
      </c>
      <c r="AL10" s="1294" t="s">
        <v>251</v>
      </c>
      <c r="AM10" s="1294" t="s">
        <v>252</v>
      </c>
      <c r="AN10" s="1294" t="s">
        <v>253</v>
      </c>
      <c r="AO10" s="1294" t="s">
        <v>254</v>
      </c>
      <c r="AP10" s="1294" t="s">
        <v>255</v>
      </c>
      <c r="AQ10" s="1294" t="s">
        <v>256</v>
      </c>
    </row>
    <row s="2782" customFormat="1" customHeight="1" ht="12" hidden="1">
      <c r="D11" s="1274" t="s">
        <v>159</v>
      </c>
      <c r="E11" s="1274" t="s">
        <v>102</v>
      </c>
      <c r="F11" s="1274"/>
      <c r="G11" s="1274" t="s">
        <v>90</v>
      </c>
      <c r="H11" s="1995" t="s">
        <v>113</v>
      </c>
      <c r="I11" s="1995"/>
      <c r="J11" s="1274" t="s">
        <v>92</v>
      </c>
      <c r="K11" s="1274" t="s">
        <v>93</v>
      </c>
      <c r="L11" s="1995" t="s">
        <v>123</v>
      </c>
      <c r="M11" s="1995"/>
      <c r="N11" s="1274" t="s">
        <v>127</v>
      </c>
      <c r="O11" s="1274" t="s">
        <v>131</v>
      </c>
      <c r="P11" s="1995" t="s">
        <v>135</v>
      </c>
      <c r="Q11" s="1995"/>
      <c r="R11" s="1274" t="s">
        <v>139</v>
      </c>
      <c r="S11" s="1274" t="s">
        <v>135</v>
      </c>
      <c r="T11" s="1995" t="s">
        <v>139</v>
      </c>
      <c r="U11" s="1995"/>
      <c r="V11" s="1274" t="s">
        <v>142</v>
      </c>
      <c r="W11" s="1274" t="s">
        <v>146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7" customFormat="1" customHeight="1" ht="17.25" hidden="1">
      <c r="A13" s="314"/>
      <c r="C13" s="195"/>
      <c r="D13" s="1980">
        <v>1</v>
      </c>
      <c r="E13" s="1982" t="s">
        <v>257</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258</v>
      </c>
      <c r="AD13" s="1302" t="s">
        <v>259</v>
      </c>
      <c r="AE13" s="1302" t="s">
        <v>260</v>
      </c>
      <c r="AF13" s="1302" t="s">
        <v>261</v>
      </c>
      <c r="AG13" s="1302" t="s">
        <v>262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7"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2"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2"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7"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3" customFormat="1" customHeight="1" ht="17.25" hidden="1">
      <c r="A18" s="314"/>
      <c r="C18" s="195"/>
      <c r="D18" s="1980">
        <v>2</v>
      </c>
      <c r="E18" s="1982" t="s">
        <v>263</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264</v>
      </c>
      <c r="AD18" s="1302" t="s">
        <v>265</v>
      </c>
      <c r="AE18" s="1302" t="s">
        <v>266</v>
      </c>
      <c r="AF18" s="1302" t="s">
        <v>267</v>
      </c>
      <c r="AG18" s="1302" t="s">
        <v>268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3"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3"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3"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3"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3" customFormat="1" customHeight="1" ht="17.25" hidden="1">
      <c r="A23" s="314"/>
      <c r="C23" s="195"/>
      <c r="D23" s="1980">
        <v>3</v>
      </c>
      <c r="E23" s="1982" t="s">
        <v>269</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270</v>
      </c>
      <c r="AD23" s="1302" t="s">
        <v>271</v>
      </c>
      <c r="AE23" s="1302" t="s">
        <v>272</v>
      </c>
      <c r="AF23" s="1302" t="s">
        <v>273</v>
      </c>
      <c r="AG23" s="1302" t="s">
        <v>274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3"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3"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3"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3"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3" customFormat="1" customHeight="1" ht="17.25" hidden="1">
      <c r="A28" s="314"/>
      <c r="C28" s="195"/>
      <c r="D28" s="1980">
        <v>4</v>
      </c>
      <c r="E28" s="1982" t="s">
        <v>275</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276</v>
      </c>
      <c r="AD28" s="1302" t="s">
        <v>277</v>
      </c>
      <c r="AE28" s="1302" t="s">
        <v>278</v>
      </c>
      <c r="AF28" s="1302" t="s">
        <v>279</v>
      </c>
      <c r="AG28" s="1302" t="s">
        <v>280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3"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3"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3"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3"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3" customFormat="1" customHeight="1" ht="17.25" hidden="1">
      <c r="A33" s="314"/>
      <c r="C33" s="195"/>
      <c r="D33" s="1980">
        <v>5</v>
      </c>
      <c r="E33" s="1982" t="s">
        <v>281</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282</v>
      </c>
      <c r="AD33" s="1302" t="s">
        <v>283</v>
      </c>
      <c r="AE33" s="1302" t="s">
        <v>284</v>
      </c>
      <c r="AF33" s="1302" t="s">
        <v>285</v>
      </c>
      <c r="AG33" s="1302" t="s">
        <v>286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3"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3"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3"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3"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3" customFormat="1" customHeight="1" ht="17.25" hidden="1">
      <c r="A38" s="314"/>
      <c r="C38" s="195"/>
      <c r="D38" s="1980">
        <v>6</v>
      </c>
      <c r="E38" s="1982" t="s">
        <v>287</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288</v>
      </c>
      <c r="AD38" s="1302" t="s">
        <v>289</v>
      </c>
      <c r="AE38" s="1302" t="s">
        <v>290</v>
      </c>
      <c r="AF38" s="1302" t="s">
        <v>291</v>
      </c>
      <c r="AG38" s="1302" t="s">
        <v>292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3"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3"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5"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3"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6" customFormat="1" customHeight="1" ht="17.25" hidden="1">
      <c r="A43" s="314"/>
      <c r="C43" s="195"/>
      <c r="D43" s="2003">
        <v>7</v>
      </c>
      <c r="E43" s="2006" t="s">
        <v>293</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294</v>
      </c>
      <c r="AD43" s="1302" t="s">
        <v>295</v>
      </c>
      <c r="AE43" s="1302" t="s">
        <v>296</v>
      </c>
      <c r="AF43" s="1302" t="s">
        <v>297</v>
      </c>
      <c r="AG43" s="1302" t="s">
        <v>298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6"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6"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5"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6"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6" customFormat="1" customHeight="1" ht="17.25" hidden="1">
      <c r="A48" s="314"/>
      <c r="C48" s="195"/>
      <c r="D48" s="1980">
        <v>8</v>
      </c>
      <c r="E48" s="1982" t="s">
        <v>299</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300</v>
      </c>
      <c r="AD48" s="1302" t="s">
        <v>301</v>
      </c>
      <c r="AE48" s="1302" t="s">
        <v>302</v>
      </c>
      <c r="AF48" s="1302" t="s">
        <v>303</v>
      </c>
      <c r="AG48" s="1302" t="s">
        <v>304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6"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6"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5"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6"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305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306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307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308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309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310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311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312</v>
      </c>
      <c r="F62" s="2009"/>
      <c r="G62" s="2010"/>
      <c r="H62" s="2010"/>
      <c r="I62" s="2010"/>
      <c r="J62" s="2010"/>
      <c r="K62" s="2010"/>
      <c r="L62" s="2010"/>
      <c r="M62" s="2010"/>
      <c r="N62" s="2010"/>
      <c r="O62" s="2010"/>
      <c r="P62" s="2010"/>
      <c r="Q62" s="2010"/>
      <c r="R62" s="2010"/>
      <c r="S62" s="2010"/>
      <c r="T62" s="2010"/>
      <c r="U62" s="2010"/>
      <c r="V62" s="2010"/>
      <c r="W62" s="2010"/>
    </row>
    <row s="2852"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2" customFormat="1" customHeight="1" ht="17.25" hidden="1">
      <c r="A64" s="314"/>
      <c r="C64" s="195"/>
      <c r="D64" s="1980">
        <v>1</v>
      </c>
      <c r="E64" s="1982" t="s">
        <v>313</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314</v>
      </c>
      <c r="AD64" s="1302" t="s">
        <v>315</v>
      </c>
      <c r="AE64" s="1302" t="s">
        <v>316</v>
      </c>
      <c r="AF64" s="1302" t="s">
        <v>317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2"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3"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3"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2"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2" customFormat="1" customHeight="1" ht="17.25" hidden="1">
      <c r="A69" s="314"/>
      <c r="C69" s="195"/>
      <c r="D69" s="1980">
        <v>2</v>
      </c>
      <c r="E69" s="1982" t="s">
        <v>318</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319</v>
      </c>
      <c r="AD69" s="1302" t="s">
        <v>320</v>
      </c>
      <c r="AE69" s="1302" t="s">
        <v>321</v>
      </c>
      <c r="AF69" s="1302" t="s">
        <v>322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2"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2"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2"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2"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2" customFormat="1" customHeight="1" ht="17.25" hidden="1">
      <c r="A74" s="314"/>
      <c r="C74" s="195"/>
      <c r="D74" s="1980">
        <v>3</v>
      </c>
      <c r="E74" s="1982" t="s">
        <v>323</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324</v>
      </c>
      <c r="AD74" s="1302" t="s">
        <v>325</v>
      </c>
      <c r="AE74" s="1302" t="s">
        <v>326</v>
      </c>
      <c r="AF74" s="1302" t="s">
        <v>327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2"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2"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2"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2"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2" customFormat="1" customHeight="1" ht="17.25" hidden="1">
      <c r="A79" s="314"/>
      <c r="C79" s="195"/>
      <c r="D79" s="1980">
        <v>4</v>
      </c>
      <c r="E79" s="1982" t="s">
        <v>328</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329</v>
      </c>
      <c r="AD79" s="1302" t="s">
        <v>330</v>
      </c>
      <c r="AE79" s="1302" t="s">
        <v>331</v>
      </c>
      <c r="AF79" s="1302" t="s">
        <v>332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2"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2"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2"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2"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2" customFormat="1" customHeight="1" ht="17.25" hidden="1">
      <c r="A84" s="314"/>
      <c r="C84" s="195"/>
      <c r="D84" s="1980">
        <v>5</v>
      </c>
      <c r="E84" s="1982" t="s">
        <v>333</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334</v>
      </c>
      <c r="AD84" s="1302" t="s">
        <v>335</v>
      </c>
      <c r="AE84" s="1302" t="s">
        <v>336</v>
      </c>
      <c r="AF84" s="1302" t="s">
        <v>337</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2"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2"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2"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2"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7" customFormat="1" customHeight="1" ht="17.25" hidden="1">
      <c r="A90" s="314"/>
      <c r="C90" s="195"/>
      <c r="D90" s="1980">
        <v>1</v>
      </c>
      <c r="E90" s="1982" t="s">
        <v>338</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339</v>
      </c>
      <c r="AD90" s="1302" t="s">
        <v>340</v>
      </c>
      <c r="AE90" s="1302" t="s">
        <v>341</v>
      </c>
      <c r="AF90" s="1302" t="s">
        <v>342</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7" customFormat="1" customHeight="1" ht="17.25" hidden="1">
      <c r="A95" s="314"/>
      <c r="C95" s="195"/>
      <c r="D95" s="1980">
        <v>2</v>
      </c>
      <c r="E95" s="1982" t="s">
        <v>343</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344</v>
      </c>
      <c r="AD95" s="1302" t="s">
        <v>345</v>
      </c>
      <c r="AE95" s="1302" t="s">
        <v>346</v>
      </c>
      <c r="AF95" s="1302" t="s">
        <v>347</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7" customFormat="1" customHeight="1" ht="17.25" hidden="1">
      <c r="A100" s="314"/>
      <c r="C100" s="195"/>
      <c r="D100" s="1980">
        <v>3</v>
      </c>
      <c r="E100" s="1982" t="s">
        <v>348</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349</v>
      </c>
      <c r="AD100" s="1302" t="s">
        <v>350</v>
      </c>
      <c r="AE100" s="1302" t="s">
        <v>351</v>
      </c>
      <c r="AF100" s="1302" t="s">
        <v>352</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7" customFormat="1" customHeight="1" ht="17.25" hidden="1">
      <c r="A106" s="314"/>
      <c r="C106" s="195"/>
      <c r="D106" s="1980">
        <v>1</v>
      </c>
      <c r="E106" s="1982" t="s">
        <v>353</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354</v>
      </c>
      <c r="AD106" s="1302" t="s">
        <v>355</v>
      </c>
      <c r="AE106" s="1302" t="s">
        <v>356</v>
      </c>
      <c r="AF106" s="1302" t="s">
        <v>357</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7" customFormat="1" customHeight="1" ht="17.25" hidden="1">
      <c r="A111" s="314"/>
      <c r="C111" s="195"/>
      <c r="D111" s="1980">
        <v>2</v>
      </c>
      <c r="E111" s="1982" t="s">
        <v>358</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359</v>
      </c>
      <c r="AD111" s="1302" t="s">
        <v>360</v>
      </c>
      <c r="AE111" s="1302" t="s">
        <v>361</v>
      </c>
      <c r="AF111" s="1302" t="s">
        <v>362</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7" customFormat="1" customHeight="1" ht="17.25" hidden="1">
      <c r="A116" s="314"/>
      <c r="C116" s="195"/>
      <c r="D116" s="1980">
        <v>3</v>
      </c>
      <c r="E116" s="1982" t="s">
        <v>363</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364</v>
      </c>
      <c r="AD116" s="1302" t="s">
        <v>365</v>
      </c>
      <c r="AE116" s="1302" t="s">
        <v>366</v>
      </c>
      <c r="AF116" s="1302" t="s">
        <v>367</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B85B-1AEB-9424-93A9-2EB290D6787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7" width="9.140625" hidden="1"/>
    <col min="3" max="4" style="2727" width="3.7109375" customWidth="1"/>
    <col min="5" max="6" style="2727" width="16.00390625" customWidth="1"/>
    <col min="7" max="7" style="2727" width="11.57421875" customWidth="1"/>
    <col min="8" max="9" style="2727" width="3.7109375" customWidth="1"/>
    <col min="10" max="10" style="2727" width="13.140625" customWidth="1"/>
    <col min="11" max="11" style="2727" width="0.28125" customWidth="1"/>
    <col min="12" max="13" style="2727" width="10.7109375" customWidth="1"/>
    <col min="14" max="15" style="2727" width="3.7109375" customWidth="1"/>
    <col min="16" max="16" style="2727" width="19.7109375" customWidth="1"/>
    <col min="17" max="17" style="2727" width="0.28125" customWidth="1"/>
    <col min="18" max="19" style="2727" width="10.7109375" customWidth="1"/>
    <col min="20" max="21" style="2727" width="3.7109375" customWidth="1"/>
    <col min="22" max="22" style="2727" width="25.7109375" customWidth="1"/>
    <col min="23" max="23" style="2727" width="0.28125" customWidth="1"/>
    <col min="24" max="25" style="2727" width="10.7109375" customWidth="1"/>
    <col min="26" max="27" style="2727" width="3.7109375" customWidth="1"/>
    <col min="28" max="28" style="2727" width="16.421875" customWidth="1"/>
    <col min="29" max="29" style="2727" width="0.28125" customWidth="1"/>
    <col min="30" max="31" style="2727" width="10.7109375" customWidth="1"/>
    <col min="32" max="33" style="2727" width="3.7109375" customWidth="1"/>
    <col min="34" max="34" style="2727" width="8.7109375" customWidth="1"/>
    <col min="35" max="35" style="2727" width="21.7109375" customWidth="1"/>
    <col min="36" max="36" style="2640" width="9.140625"/>
    <col min="37" max="37" style="2865"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1" customFormat="1" customHeight="1" ht="11.25" hidden="1">
      <c r="L2" s="1599" t="s">
        <v>368</v>
      </c>
      <c r="M2" s="1599" t="s">
        <v>369</v>
      </c>
      <c r="R2" s="1599" t="s">
        <v>370</v>
      </c>
      <c r="S2" s="1599" t="s">
        <v>369</v>
      </c>
      <c r="X2" s="1599" t="s">
        <v>368</v>
      </c>
      <c r="Y2" s="1599" t="s">
        <v>369</v>
      </c>
      <c r="AD2" s="1599" t="s">
        <v>368</v>
      </c>
      <c r="AE2" s="1599" t="s">
        <v>369</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371</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4" customFormat="1" customHeight="1" ht="14.25">
      <c r="A5" s="1678"/>
      <c r="B5" s="1677"/>
      <c r="C5" s="1551"/>
      <c r="D5" s="2013" t="str">
        <f>IF(org=0,"Не определено",org)</f>
        <v>ГУП СК "Ставрополькрайводоканал"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217</v>
      </c>
      <c r="F8" s="2029" t="s">
        <v>231</v>
      </c>
      <c r="G8" s="2030"/>
      <c r="H8" s="2029" t="s">
        <v>88</v>
      </c>
      <c r="I8" s="2030"/>
      <c r="J8" s="1966" t="s">
        <v>232</v>
      </c>
      <c r="K8" s="1602"/>
      <c r="L8" s="2033" t="s">
        <v>372</v>
      </c>
      <c r="M8" s="2033"/>
      <c r="N8" s="2033"/>
      <c r="O8" s="2033"/>
      <c r="P8" s="2033"/>
      <c r="Q8" s="1603"/>
      <c r="R8" s="1935" t="s">
        <v>373</v>
      </c>
      <c r="S8" s="2034"/>
      <c r="T8" s="2034"/>
      <c r="U8" s="2034"/>
      <c r="V8" s="2034"/>
      <c r="W8" s="1603"/>
      <c r="X8" s="2035" t="s">
        <v>374</v>
      </c>
      <c r="Y8" s="2035"/>
      <c r="Z8" s="2035"/>
      <c r="AA8" s="2035"/>
      <c r="AB8" s="2035"/>
      <c r="AC8" s="1604"/>
      <c r="AD8" s="1966" t="s">
        <v>375</v>
      </c>
      <c r="AE8" s="1966"/>
      <c r="AF8" s="1966"/>
      <c r="AG8" s="1966"/>
      <c r="AH8" s="1940"/>
      <c r="AI8" s="1966" t="s">
        <v>376</v>
      </c>
      <c r="AJ8" s="1620"/>
    </row>
    <row customHeight="1" ht="22.5">
      <c r="D9" s="1966"/>
      <c r="E9" s="1966"/>
      <c r="F9" s="2012" t="s">
        <v>89</v>
      </c>
      <c r="G9" s="2012" t="s">
        <v>237</v>
      </c>
      <c r="H9" s="2031"/>
      <c r="I9" s="2032"/>
      <c r="J9" s="1940"/>
      <c r="K9" s="1605"/>
      <c r="L9" s="1966" t="s">
        <v>377</v>
      </c>
      <c r="M9" s="1940"/>
      <c r="N9" s="2029" t="s">
        <v>88</v>
      </c>
      <c r="O9" s="2030"/>
      <c r="P9" s="1966" t="s">
        <v>238</v>
      </c>
      <c r="Q9" s="1602"/>
      <c r="R9" s="1966" t="s">
        <v>377</v>
      </c>
      <c r="S9" s="1940"/>
      <c r="T9" s="2029" t="s">
        <v>88</v>
      </c>
      <c r="U9" s="2030"/>
      <c r="V9" s="1966" t="s">
        <v>238</v>
      </c>
      <c r="W9" s="1602"/>
      <c r="X9" s="1966" t="s">
        <v>377</v>
      </c>
      <c r="Y9" s="1940"/>
      <c r="Z9" s="2029" t="s">
        <v>88</v>
      </c>
      <c r="AA9" s="2030"/>
      <c r="AB9" s="1966" t="s">
        <v>378</v>
      </c>
      <c r="AC9" s="1602"/>
      <c r="AD9" s="1966" t="s">
        <v>377</v>
      </c>
      <c r="AE9" s="1940"/>
      <c r="AF9" s="2029" t="s">
        <v>88</v>
      </c>
      <c r="AG9" s="2030"/>
      <c r="AH9" s="1940" t="s">
        <v>378</v>
      </c>
      <c r="AI9" s="1966"/>
      <c r="AJ9" s="1620"/>
    </row>
    <row customHeight="1" ht="22.5">
      <c r="D10" s="2012"/>
      <c r="E10" s="2012"/>
      <c r="F10" s="2036"/>
      <c r="G10" s="2036"/>
      <c r="H10" s="2037"/>
      <c r="I10" s="2038"/>
      <c r="J10" s="2029"/>
      <c r="K10" s="1605"/>
      <c r="L10" s="1624" t="s">
        <v>379</v>
      </c>
      <c r="M10" s="1619" t="s">
        <v>380</v>
      </c>
      <c r="N10" s="2031"/>
      <c r="O10" s="2032"/>
      <c r="P10" s="2012"/>
      <c r="Q10" s="1602"/>
      <c r="R10" s="1624" t="s">
        <v>379</v>
      </c>
      <c r="S10" s="1619" t="s">
        <v>380</v>
      </c>
      <c r="T10" s="2031"/>
      <c r="U10" s="2032"/>
      <c r="V10" s="2012"/>
      <c r="W10" s="1602"/>
      <c r="X10" s="1624" t="s">
        <v>379</v>
      </c>
      <c r="Y10" s="1619" t="s">
        <v>380</v>
      </c>
      <c r="Z10" s="2031"/>
      <c r="AA10" s="2032"/>
      <c r="AB10" s="2012"/>
      <c r="AC10" s="1602"/>
      <c r="AD10" s="1624" t="s">
        <v>379</v>
      </c>
      <c r="AE10" s="1619" t="s">
        <v>380</v>
      </c>
      <c r="AF10" s="2031"/>
      <c r="AG10" s="2032"/>
      <c r="AH10" s="2029"/>
      <c r="AI10" s="2012"/>
      <c r="AJ10" s="1620"/>
      <c r="AK10" s="240" t="s">
        <v>381</v>
      </c>
      <c r="AL10" s="240" t="s">
        <v>239</v>
      </c>
    </row>
    <row customHeight="1" ht="14.25">
      <c r="D11" s="2020" t="s">
        <v>159</v>
      </c>
      <c r="E11" s="2016" t="s">
        <v>382</v>
      </c>
      <c r="F11" s="2016" t="s">
        <v>383</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102</v>
      </c>
      <c r="E17" s="2016" t="s">
        <v>382</v>
      </c>
      <c r="F17" s="2016" t="s">
        <v>384</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382</v>
      </c>
      <c r="F23" s="2016" t="s">
        <v>385</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382</v>
      </c>
      <c r="F29" s="2016" t="s">
        <v>386</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113</v>
      </c>
      <c r="E35" s="2016" t="s">
        <v>382</v>
      </c>
      <c r="F35" s="2016" t="s">
        <v>387</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4F1E7-C39B-E5AD-C8EF-86F7AAAA109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34" width="15.00390625" hidden="1" customWidth="1"/>
    <col min="2" max="2" style="2936" width="15.00390625" hidden="1" customWidth="1"/>
    <col min="3" max="3" style="3015" width="3.7109375" customWidth="1"/>
    <col min="4" max="4" style="3016" width="6.8515625" customWidth="1"/>
    <col min="5" max="5" style="3015" width="52.28125" customWidth="1"/>
    <col min="6" max="6" style="3015" width="48.8515625" customWidth="1"/>
    <col min="7" max="7" style="3015" width="121.7109375" customWidth="1"/>
    <col min="8" max="8" style="3015" width="9.140625"/>
    <col min="9" max="9" style="3015" width="65.00390625" customWidth="1"/>
  </cols>
  <sheetData>
    <row customHeight="1" ht="11.25" hidden="1">
      <c r="A1" s="1732" t="s">
        <v>388</v>
      </c>
    </row>
    <row customHeight="1" ht="11.25" hidden="1"/>
    <row s="2935"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ГУП СК "Ставрополькрайводоканал"</v>
      </c>
      <c r="E5" s="2049"/>
      <c r="F5" s="2049"/>
      <c r="I5" s="723"/>
    </row>
    <row s="293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389</v>
      </c>
      <c r="E8" s="2042"/>
      <c r="F8" s="2042"/>
      <c r="G8" s="2046" t="s">
        <v>390</v>
      </c>
    </row>
    <row customHeight="1" ht="11.25">
      <c r="A9" s="465"/>
      <c r="B9" s="510"/>
      <c r="C9" s="465"/>
      <c r="D9" s="480" t="s">
        <v>88</v>
      </c>
      <c r="E9" s="454" t="s">
        <v>391</v>
      </c>
      <c r="F9" s="454" t="s">
        <v>392</v>
      </c>
      <c r="G9" s="2047"/>
    </row>
    <row customHeight="1" ht="12" hidden="1">
      <c r="A10" s="465"/>
      <c r="B10" s="510"/>
      <c r="C10" s="465"/>
      <c r="D10" s="472"/>
      <c r="E10" s="472"/>
      <c r="F10" s="472"/>
      <c r="G10" s="472"/>
    </row>
    <row customHeight="1" ht="22.5" hidden="1">
      <c r="A11" s="465"/>
      <c r="B11" s="510"/>
      <c r="C11" s="465"/>
      <c r="D11" s="1022" t="s">
        <v>159</v>
      </c>
      <c r="E11" s="1025" t="s">
        <v>393</v>
      </c>
      <c r="F11" s="1024" t="str">
        <f>IF(region_name="","",region_name)</f>
        <v>Ставропольский край</v>
      </c>
      <c r="G11" s="1025" t="s">
        <v>394</v>
      </c>
      <c r="H11" s="483"/>
    </row>
    <row customHeight="1" ht="22.5" hidden="1">
      <c r="A12" s="465"/>
      <c r="B12" s="510"/>
      <c r="C12" s="465"/>
      <c r="D12" s="453" t="s">
        <v>159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395</v>
      </c>
      <c r="G12" s="482"/>
      <c r="H12" s="483"/>
    </row>
    <row customHeight="1" ht="22.5">
      <c r="A13" s="465"/>
      <c r="B13" s="510"/>
      <c r="C13" s="465"/>
      <c r="D13" s="453" t="s">
        <v>159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396</v>
      </c>
      <c r="E14" s="1023" t="s">
        <v>397</v>
      </c>
      <c r="F14" s="1024" t="str">
        <f>IF(inn="","",inn)</f>
        <v>2635040105</v>
      </c>
      <c r="G14" s="1025" t="s">
        <v>398</v>
      </c>
      <c r="H14" s="483"/>
    </row>
    <row customHeight="1" ht="22.5" hidden="1">
      <c r="A15" s="465"/>
      <c r="B15" s="510"/>
      <c r="C15" s="465"/>
      <c r="D15" s="1022" t="s">
        <v>399</v>
      </c>
      <c r="E15" s="1023" t="s">
        <v>400</v>
      </c>
      <c r="F15" s="1024" t="str">
        <f>IF(kpp="","",kpp)</f>
        <v>263501001</v>
      </c>
      <c r="G15" s="1025" t="s">
        <v>401</v>
      </c>
      <c r="H15" s="483"/>
    </row>
    <row customHeight="1" ht="36.75">
      <c r="A16" s="465"/>
      <c r="B16" s="510"/>
      <c r="C16" s="465"/>
      <c r="D16" s="453" t="s">
        <v>102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402</v>
      </c>
      <c r="F19" s="451" t="s">
        <v>395</v>
      </c>
      <c r="G19" s="452" t="s">
        <v>403</v>
      </c>
      <c r="H19" s="483"/>
      <c r="I19" s="862"/>
    </row>
    <row customHeight="1" ht="33.75" hidden="1">
      <c r="A20" s="2043"/>
      <c r="B20" s="510"/>
      <c r="C20" s="2048"/>
      <c r="D20" s="453" t="s">
        <v>404</v>
      </c>
      <c r="E20" s="447" t="s">
        <v>405</v>
      </c>
      <c r="F20" s="891" t="s">
        <v>18</v>
      </c>
      <c r="G20" s="482"/>
      <c r="H20" s="483"/>
      <c r="I20" s="862"/>
    </row>
    <row customHeight="1" ht="22.5" hidden="1">
      <c r="A21" s="2043"/>
      <c r="B21" s="510"/>
      <c r="C21" s="2048"/>
      <c r="D21" s="453" t="s">
        <v>406</v>
      </c>
      <c r="E21" s="447" t="s">
        <v>407</v>
      </c>
      <c r="F21" s="1779" t="s">
        <v>18</v>
      </c>
      <c r="G21" s="452" t="s">
        <v>408</v>
      </c>
      <c r="H21" s="483"/>
      <c r="I21" s="862"/>
    </row>
    <row customHeight="1" ht="22.5" hidden="1">
      <c r="A22" s="2043"/>
      <c r="B22" s="510"/>
      <c r="C22" s="2048"/>
      <c r="D22" s="453" t="s">
        <v>409</v>
      </c>
      <c r="E22" s="447" t="s">
        <v>410</v>
      </c>
      <c r="F22" s="891" t="s">
        <v>18</v>
      </c>
      <c r="G22" s="482"/>
      <c r="H22" s="483"/>
      <c r="I22" s="862"/>
    </row>
    <row customHeight="1" ht="22.5" hidden="1">
      <c r="A23" s="2043"/>
      <c r="B23" s="510"/>
      <c r="C23" s="2048"/>
      <c r="D23" s="453" t="s">
        <v>411</v>
      </c>
      <c r="E23" s="447" t="s">
        <v>412</v>
      </c>
      <c r="F23" s="891" t="s">
        <v>18</v>
      </c>
      <c r="G23" s="452" t="s">
        <v>413</v>
      </c>
      <c r="H23" s="483"/>
      <c r="I23" s="862"/>
    </row>
    <row s="2936" customFormat="1" customHeight="1" ht="24.75" hidden="1">
      <c r="A24" s="465"/>
      <c r="B24" s="510"/>
      <c r="C24" s="510"/>
      <c r="D24" s="1019" t="s">
        <v>90</v>
      </c>
      <c r="E24" s="1021" t="s">
        <v>414</v>
      </c>
      <c r="F24" s="1026" t="s">
        <v>395</v>
      </c>
      <c r="G24" s="1021"/>
    </row>
    <row s="2936" customFormat="1" customHeight="1" ht="11.25" hidden="1">
      <c r="A25" s="465"/>
      <c r="B25" s="510"/>
      <c r="C25" s="510"/>
      <c r="D25" s="1019" t="s">
        <v>415</v>
      </c>
      <c r="E25" s="1020" t="s">
        <v>416</v>
      </c>
      <c r="F25" s="1026" t="s">
        <v>395</v>
      </c>
      <c r="G25" s="1021"/>
    </row>
    <row s="2936" customFormat="1" customHeight="1" ht="11.25" hidden="1">
      <c r="A26" s="465"/>
      <c r="B26" s="510"/>
      <c r="C26" s="510"/>
      <c r="D26" s="1019" t="s">
        <v>417</v>
      </c>
      <c r="E26" s="1027" t="s">
        <v>418</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6" customFormat="1" customHeight="1" ht="11.25" hidden="1">
      <c r="A27" s="465"/>
      <c r="B27" s="510"/>
      <c r="C27" s="510"/>
      <c r="D27" s="1019" t="s">
        <v>419</v>
      </c>
      <c r="E27" s="1027" t="s">
        <v>420</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6" customFormat="1" customHeight="1" ht="11.25" hidden="1">
      <c r="A28" s="465"/>
      <c r="B28" s="510"/>
      <c r="C28" s="510"/>
      <c r="D28" s="1019" t="s">
        <v>421</v>
      </c>
      <c r="E28" s="1027" t="s">
        <v>422</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6" customFormat="1" customHeight="1" ht="11.25" hidden="1">
      <c r="A29" s="465"/>
      <c r="B29" s="510"/>
      <c r="C29" s="510"/>
      <c r="D29" s="1019" t="s">
        <v>423</v>
      </c>
      <c r="E29" s="1020" t="s">
        <v>424</v>
      </c>
      <c r="F29" s="1028"/>
      <c r="G29" s="1021"/>
    </row>
    <row s="2936" customFormat="1" customHeight="1" ht="11.25" hidden="1">
      <c r="A30" s="465"/>
      <c r="B30" s="510"/>
      <c r="C30" s="510"/>
      <c r="D30" s="1019" t="s">
        <v>425</v>
      </c>
      <c r="E30" s="1020" t="s">
        <v>426</v>
      </c>
      <c r="F30" s="1028"/>
      <c r="G30" s="1021"/>
    </row>
    <row s="2936" customFormat="1" customHeight="1" ht="11.25" hidden="1">
      <c r="A31" s="465"/>
      <c r="B31" s="510"/>
      <c r="C31" s="510"/>
      <c r="D31" s="1019" t="s">
        <v>427</v>
      </c>
      <c r="E31" s="1020" t="s">
        <v>428</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395</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429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429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395</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430</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431</v>
      </c>
      <c r="H43" s="483"/>
    </row>
    <row customHeight="1" ht="22.5">
      <c r="A44" s="465"/>
      <c r="B44" s="510"/>
      <c r="C44" s="465"/>
      <c r="D44" s="448">
        <f>D43+1</f>
        <v>11</v>
      </c>
      <c r="E44" s="446" t="s">
        <v>432</v>
      </c>
      <c r="F44" s="451" t="s">
        <v>395</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433</v>
      </c>
      <c r="H45" s="483"/>
    </row>
    <row customHeight="1" ht="22.5">
      <c r="A46" s="2039"/>
      <c r="B46" s="510"/>
      <c r="C46" s="500"/>
      <c r="D46" s="448" t="str">
        <f>D44&amp;".2"</f>
        <v>11.2</v>
      </c>
      <c r="E46" s="450" t="s">
        <v>434</v>
      </c>
      <c r="F46" s="498"/>
      <c r="G46" s="445" t="s">
        <v>435</v>
      </c>
      <c r="H46" s="483"/>
    </row>
    <row customHeight="1" ht="22.5">
      <c r="A47" s="2039"/>
      <c r="B47" s="510"/>
      <c r="C47" s="500"/>
      <c r="D47" s="448" t="str">
        <f>D44&amp;".3"</f>
        <v>11.3</v>
      </c>
      <c r="E47" s="450" t="s">
        <v>436</v>
      </c>
      <c r="F47" s="498"/>
      <c r="G47" s="445" t="s">
        <v>437</v>
      </c>
      <c r="H47" s="483"/>
    </row>
    <row customHeight="1" ht="22.5">
      <c r="A48" s="2039"/>
      <c r="B48" s="510"/>
      <c r="C48" s="500"/>
      <c r="D48" s="448" t="str">
        <f>IF(TEMPLATE_SPHERE="TKO",D44&amp;".0",D44&amp;".4")</f>
        <v>11.4</v>
      </c>
      <c r="E48" s="444" t="s">
        <v>438</v>
      </c>
      <c r="F48" s="1731"/>
      <c r="G48" s="1808" t="s">
        <v>439</v>
      </c>
      <c r="H48" s="483"/>
    </row>
    <row customHeight="1" ht="22.5">
      <c r="A49" s="465"/>
      <c r="B49" s="510"/>
      <c r="C49" s="465"/>
      <c r="D49" s="475"/>
      <c r="E49" s="422" t="s">
        <v>440</v>
      </c>
      <c r="F49" s="476"/>
      <c r="G49" s="1808" t="s">
        <v>441</v>
      </c>
      <c r="H49" s="484"/>
    </row>
    <row customHeight="1" ht="22.5">
      <c r="A50" s="868"/>
      <c r="B50" s="510"/>
      <c r="C50" s="500"/>
      <c r="D50" s="448">
        <f>D44+1</f>
        <v>12</v>
      </c>
      <c r="E50" s="536" t="s">
        <v>442</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B7EB2-48ED-3973-E4D1-48F9520199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8" width="9.140625" hidden="1" customWidth="1"/>
    <col min="2" max="2" style="3057" width="9.140625" hidden="1" customWidth="1"/>
    <col min="3" max="3" style="3079" width="3.7109375" customWidth="1"/>
    <col min="4" max="4" style="3057" width="5.57421875" customWidth="1"/>
    <col min="5" max="5" style="3057" width="48.421875" customWidth="1"/>
    <col min="6" max="6" style="3057" width="38.140625" customWidth="1"/>
    <col min="7" max="7" style="2598" width="1.7109375" hidden="1" customWidth="1"/>
    <col min="8" max="11" style="3057" width="19.8515625" hidden="1" customWidth="1"/>
    <col min="12" max="12" style="3057" width="9.7109375" hidden="1" customWidth="1"/>
    <col min="13" max="18" style="3057" width="19.8515625" hidden="1" customWidth="1"/>
    <col min="19" max="19" style="2598" width="1.7109375" hidden="1" customWidth="1"/>
    <col min="20" max="22" style="3080" width="19.8515625" hidden="1" customWidth="1"/>
    <col min="23" max="23" style="2598" width="1.7109375" hidden="1" customWidth="1"/>
    <col min="24" max="26" style="3080" width="19.8515625" customWidth="1"/>
    <col min="27" max="27" style="2598" width="1.7109375" hidden="1" customWidth="1"/>
    <col min="28" max="29" style="3080" width="19.8515625" hidden="1" customWidth="1"/>
    <col min="30" max="30" style="2598" width="1.7109375" hidden="1" customWidth="1"/>
    <col min="31" max="31" style="3057" width="103.7109375" hidden="1" customWidth="1"/>
    <col min="32" max="32" style="3080" width="103.7109375" hidden="1" customWidth="1"/>
    <col min="33" max="33" style="3080" width="103.7109375" customWidth="1"/>
    <col min="34" max="34" style="3080" width="103.7109375" hidden="1" customWidth="1"/>
    <col min="35" max="35" style="3081" width="3.7109375" customWidth="1"/>
    <col min="36" max="38" style="3034" width="10.57421875"/>
    <col min="39" max="39" style="3034" width="13.7109375" hidden="1" customWidth="1"/>
    <col min="40" max="40" style="3034" width="15.421875" customWidth="1"/>
    <col min="41" max="41" style="3034" width="16.28125" customWidth="1"/>
    <col min="42" max="45" style="3034" width="10.57421875"/>
  </cols>
  <sheetData>
    <row customHeight="1" ht="14.25" hidden="1">
      <c r="E1" s="419"/>
      <c r="F1" s="419"/>
      <c r="G1" s="419"/>
      <c r="H1" s="2056" t="s">
        <v>443</v>
      </c>
      <c r="I1" s="2056"/>
      <c r="J1" s="2056"/>
      <c r="K1" s="2056"/>
      <c r="L1" s="2056"/>
      <c r="M1" s="2056"/>
      <c r="N1" s="2056"/>
      <c r="O1" s="2056"/>
      <c r="P1" s="2056"/>
      <c r="Q1" s="2056"/>
      <c r="R1" s="2056"/>
      <c r="T1" s="2056" t="s">
        <v>444</v>
      </c>
      <c r="U1" s="2056"/>
      <c r="V1" s="2056"/>
      <c r="X1" s="2056" t="s">
        <v>445</v>
      </c>
      <c r="Y1" s="2056"/>
      <c r="Z1" s="2056"/>
      <c r="AB1" s="2056" t="s">
        <v>446</v>
      </c>
      <c r="AC1" s="2056"/>
    </row>
    <row customHeight="1" ht="14.25" hidden="1"/>
    <row s="3017" customFormat="1" customHeight="1" ht="6">
      <c r="C3" s="709"/>
      <c r="D3" s="710"/>
      <c r="E3" s="710"/>
      <c r="F3" s="710"/>
      <c r="G3" s="710"/>
      <c r="H3" s="710" t="s">
        <v>447</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ГУП СК "Ставрополькрайводоканал"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389</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390</v>
      </c>
      <c r="AF7" s="2062" t="s">
        <v>390</v>
      </c>
      <c r="AG7" s="2062" t="s">
        <v>390</v>
      </c>
      <c r="AH7" s="2062" t="s">
        <v>390</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448</v>
      </c>
      <c r="I8" s="2065" t="s">
        <v>449</v>
      </c>
      <c r="J8" s="2062" t="s">
        <v>450</v>
      </c>
      <c r="K8" s="2062"/>
      <c r="L8" s="2062"/>
      <c r="M8" s="2057"/>
      <c r="N8" s="2062" t="s">
        <v>451</v>
      </c>
      <c r="O8" s="2062"/>
      <c r="P8" s="2062" t="s">
        <v>452</v>
      </c>
      <c r="Q8" s="2062"/>
      <c r="R8" s="2069" t="s">
        <v>453</v>
      </c>
      <c r="S8" s="834"/>
      <c r="T8" s="2067" t="s">
        <v>454</v>
      </c>
      <c r="U8" s="2067" t="s">
        <v>455</v>
      </c>
      <c r="V8" s="2067" t="s">
        <v>456</v>
      </c>
      <c r="W8" s="836"/>
      <c r="X8" s="2067" t="s">
        <v>457</v>
      </c>
      <c r="Y8" s="2067" t="s">
        <v>458</v>
      </c>
      <c r="Z8" s="2067" t="s">
        <v>459</v>
      </c>
      <c r="AA8" s="836"/>
      <c r="AB8" s="2067" t="s">
        <v>460</v>
      </c>
      <c r="AC8" s="2067" t="s">
        <v>453</v>
      </c>
      <c r="AD8" s="836"/>
      <c r="AE8" s="2062"/>
      <c r="AF8" s="2062"/>
      <c r="AG8" s="2062"/>
      <c r="AH8" s="2062"/>
    </row>
    <row customHeight="1" ht="33.75">
      <c r="C9" s="458"/>
      <c r="D9" s="1966"/>
      <c r="E9" s="2062"/>
      <c r="F9" s="2062"/>
      <c r="G9" s="839"/>
      <c r="H9" s="2064"/>
      <c r="I9" s="2066"/>
      <c r="J9" s="432" t="s">
        <v>461</v>
      </c>
      <c r="K9" s="432" t="s">
        <v>462</v>
      </c>
      <c r="L9" s="432" t="s">
        <v>463</v>
      </c>
      <c r="M9" s="438" t="s">
        <v>464</v>
      </c>
      <c r="N9" s="432" t="s">
        <v>465</v>
      </c>
      <c r="O9" s="432" t="s">
        <v>464</v>
      </c>
      <c r="P9" s="432" t="s">
        <v>466</v>
      </c>
      <c r="Q9" s="432" t="s">
        <v>464</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467</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159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468</v>
      </c>
      <c r="AF12" s="2060" t="s">
        <v>469</v>
      </c>
      <c r="AG12" s="2060" t="s">
        <v>470</v>
      </c>
      <c r="AH12" s="2060" t="s">
        <v>471</v>
      </c>
      <c r="AI12" s="455"/>
      <c r="AM12" s="519"/>
      <c r="AP12" s="508" t="s">
        <v>472</v>
      </c>
      <c r="AQ12" s="508" t="s">
        <v>472</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D14AA-3335-6A98-3129-5643A4AE65D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03" width="9.140625" hidden="1" customWidth="1"/>
    <col min="2" max="2" style="3100" width="9.140625" hidden="1" customWidth="1"/>
    <col min="3" max="3" style="3079" width="3.7109375" customWidth="1"/>
    <col min="4" max="4" style="3100" width="5.57421875" customWidth="1"/>
    <col min="5" max="5" style="3100" width="38.140625" customWidth="1"/>
    <col min="6" max="7" style="3100" width="3.7109375" customWidth="1"/>
    <col min="8" max="8" style="3100" width="38.28125" customWidth="1"/>
    <col min="9" max="9" style="3100" width="35.7109375" customWidth="1"/>
    <col min="10" max="10" style="3100" width="103.7109375" customWidth="1"/>
    <col min="11" max="11" style="2874" width="3.7109375" customWidth="1"/>
    <col min="12" max="14" style="3094" width="10.57421875"/>
    <col min="15" max="15" style="3094" width="13.7109375" customWidth="1"/>
    <col min="16" max="16" style="3094" width="15.421875" customWidth="1"/>
    <col min="17" max="17" style="3094" width="16.28125" customWidth="1"/>
    <col min="18" max="21" style="3094" width="10.57421875"/>
  </cols>
  <sheetData>
    <row customHeight="1" ht="14.25" hidden="1">
      <c r="E1" s="419"/>
      <c r="F1" s="419"/>
      <c r="G1" s="419"/>
      <c r="H1" s="2056" t="s">
        <v>443</v>
      </c>
      <c r="I1" s="2056"/>
    </row>
    <row s="3082" customFormat="1" customHeight="1" ht="14.25" hidden="1">
      <c r="C2" s="1665"/>
      <c r="D2" s="2072" t="s">
        <v>159</v>
      </c>
      <c r="E2" s="2074"/>
      <c r="F2" s="1671"/>
      <c r="G2" s="1666" t="s">
        <v>159</v>
      </c>
      <c r="H2" s="1669"/>
      <c r="I2" s="1667"/>
      <c r="L2" s="1668"/>
      <c r="M2" s="1668"/>
      <c r="N2" s="1668"/>
      <c r="O2" s="1668" t="s">
        <v>473</v>
      </c>
      <c r="P2" s="1668"/>
      <c r="Q2" s="1668"/>
      <c r="R2" s="1670" t="s">
        <v>472</v>
      </c>
      <c r="S2" s="1670" t="s">
        <v>472</v>
      </c>
      <c r="T2" s="1668"/>
      <c r="U2" s="1668"/>
    </row>
    <row s="3082" customFormat="1" customHeight="1" ht="14.25" hidden="1">
      <c r="C3" s="1665"/>
      <c r="D3" s="2073"/>
      <c r="E3" s="2075"/>
      <c r="F3" s="412"/>
      <c r="G3" s="879"/>
      <c r="H3" s="879" t="s">
        <v>474</v>
      </c>
      <c r="I3" s="303"/>
      <c r="L3" s="1668"/>
      <c r="M3" s="1668"/>
      <c r="N3" s="1668"/>
      <c r="O3" s="1668"/>
      <c r="P3" s="1668"/>
      <c r="Q3" s="1668"/>
      <c r="R3" s="1670"/>
      <c r="S3" s="1670"/>
      <c r="T3" s="1668"/>
      <c r="U3" s="1668"/>
    </row>
    <row customHeight="1" ht="14.25" hidden="1"/>
    <row s="3093" customFormat="1" customHeight="1" ht="6">
      <c r="C5" s="709"/>
      <c r="D5" s="710"/>
      <c r="E5" s="710"/>
      <c r="F5" s="710"/>
      <c r="G5" s="710"/>
      <c r="H5" s="710" t="s">
        <v>447</v>
      </c>
      <c r="I5" s="710"/>
      <c r="J5" s="710"/>
      <c r="L5" s="1660"/>
      <c r="M5" s="1660"/>
      <c r="N5" s="1660"/>
      <c r="O5" s="1660"/>
      <c r="P5" s="1660"/>
      <c r="Q5" s="1660"/>
      <c r="R5" s="1660"/>
      <c r="S5" s="1660"/>
      <c r="T5" s="1660"/>
      <c r="U5" s="1660"/>
    </row>
    <row customHeight="1" ht="17.25">
      <c r="C6" s="1552"/>
      <c r="D6" s="1996" t="s">
        <v>475</v>
      </c>
      <c r="E6" s="1997"/>
      <c r="F6" s="1997"/>
      <c r="G6" s="1997"/>
      <c r="H6" s="1997"/>
      <c r="I6" s="1997"/>
      <c r="J6" s="499"/>
      <c r="K6" s="1661"/>
    </row>
    <row customHeight="1" ht="17.25">
      <c r="C7" s="1552"/>
      <c r="D7" s="2053" t="str">
        <f>IF(org=0,"Не определено",org)</f>
        <v>ГУП СК "Ставрополькрайводоканал"</v>
      </c>
      <c r="E7" s="2054"/>
      <c r="F7" s="2054"/>
      <c r="G7" s="2054"/>
      <c r="H7" s="2054"/>
      <c r="I7" s="2054"/>
      <c r="J7" s="499"/>
      <c r="K7" s="1661"/>
    </row>
    <row s="3097" customFormat="1" customHeight="1" ht="6">
      <c r="A8" s="1657"/>
      <c r="C8" s="494"/>
      <c r="D8" s="493"/>
      <c r="E8" s="493"/>
      <c r="F8" s="493"/>
      <c r="G8" s="493"/>
      <c r="H8" s="493"/>
      <c r="I8" s="493"/>
      <c r="J8" s="493"/>
      <c r="L8" s="1660"/>
      <c r="M8" s="1660"/>
      <c r="N8" s="1660"/>
      <c r="O8" s="1660"/>
      <c r="P8" s="1660"/>
      <c r="Q8" s="1660"/>
      <c r="R8" s="1660"/>
      <c r="S8" s="1660"/>
      <c r="T8" s="1660"/>
      <c r="U8" s="1660"/>
    </row>
    <row s="309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389</v>
      </c>
      <c r="E10" s="2058"/>
      <c r="F10" s="2058"/>
      <c r="G10" s="2058"/>
      <c r="H10" s="2058"/>
      <c r="I10" s="2058"/>
      <c r="J10" s="2062" t="s">
        <v>390</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476</v>
      </c>
      <c r="I11" s="2012" t="s">
        <v>477</v>
      </c>
      <c r="J11" s="2062"/>
    </row>
    <row customHeight="1" ht="14.25">
      <c r="C12" s="1552"/>
      <c r="D12" s="1966"/>
      <c r="E12" s="2062"/>
      <c r="F12" s="2037"/>
      <c r="G12" s="2038"/>
      <c r="H12" s="2071"/>
      <c r="I12" s="2071"/>
      <c r="J12" s="2062"/>
    </row>
    <row s="2585" customFormat="1" customHeight="1" ht="11.25">
      <c r="C13" s="506"/>
      <c r="D13" s="507" t="s">
        <v>467</v>
      </c>
      <c r="E13" s="507"/>
      <c r="F13" s="507"/>
      <c r="G13" s="507"/>
      <c r="H13" s="505"/>
      <c r="I13" s="505"/>
      <c r="J13" s="443"/>
      <c r="L13" s="1660"/>
      <c r="M13" s="1660"/>
      <c r="N13" s="1660"/>
      <c r="O13" s="1660"/>
      <c r="P13" s="1660"/>
      <c r="Q13" s="1660"/>
      <c r="R13" s="1660"/>
      <c r="S13" s="1660"/>
      <c r="T13" s="1660"/>
      <c r="U13" s="1660"/>
    </row>
    <row customHeight="1" ht="14.25">
      <c r="A14" s="1653"/>
      <c r="C14" s="1552"/>
      <c r="D14" s="2072" t="s">
        <v>159</v>
      </c>
      <c r="E14" s="2074"/>
      <c r="F14" s="1663"/>
      <c r="G14" s="1662" t="s">
        <v>159</v>
      </c>
      <c r="H14" s="1669"/>
      <c r="I14" s="1667"/>
      <c r="J14" s="2006" t="s">
        <v>478</v>
      </c>
      <c r="K14" s="1653"/>
      <c r="R14" s="508" t="s">
        <v>472</v>
      </c>
      <c r="S14" s="508" t="s">
        <v>472</v>
      </c>
    </row>
    <row customHeight="1" ht="14.25">
      <c r="A15" s="1653"/>
      <c r="C15" s="1552"/>
      <c r="D15" s="2073"/>
      <c r="E15" s="2075"/>
      <c r="F15" s="412"/>
      <c r="G15" s="879"/>
      <c r="H15" s="879" t="s">
        <v>474</v>
      </c>
      <c r="I15" s="303"/>
      <c r="J15" s="2007"/>
      <c r="K15" s="1653"/>
      <c r="R15" s="508"/>
      <c r="S15" s="508"/>
    </row>
    <row customHeight="1" ht="14.25">
      <c r="A16" s="1653"/>
      <c r="C16" s="1552"/>
      <c r="D16" s="412"/>
      <c r="E16" s="879" t="s">
        <v>230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12994-6EEE-50D1-06E1-39D23B4F23D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8" width="9.140625" hidden="1" customWidth="1"/>
    <col min="2" max="2" style="3057" width="9.140625" hidden="1" customWidth="1"/>
    <col min="3" max="3" style="2598" width="9.140625" hidden="1" customWidth="1"/>
    <col min="4" max="4" style="3079" width="3.7109375" customWidth="1"/>
    <col min="5" max="5" style="3057" width="6.28125" customWidth="1"/>
    <col min="6" max="6" style="2598" width="1.7109375" hidden="1" customWidth="1"/>
    <col min="7" max="8" style="3057" width="30.7109375" customWidth="1"/>
    <col min="9" max="9" style="3057" width="9.00390625" customWidth="1"/>
    <col min="10" max="10" style="3057" width="12.140625" customWidth="1"/>
    <col min="11" max="11" style="3057" width="46.7109375" customWidth="1"/>
    <col min="12" max="12" style="3057" width="100.28125" customWidth="1"/>
    <col min="13" max="13" style="3081" width="7.57421875" customWidth="1"/>
    <col min="14" max="22" style="3057" width="10.57421875"/>
  </cols>
  <sheetData>
    <row s="3034" customFormat="1" customHeight="1" ht="5.25" hidden="1">
      <c r="C1" s="519"/>
      <c r="D1" s="502"/>
      <c r="F1" s="519"/>
      <c r="G1" s="497" t="s">
        <v>83</v>
      </c>
      <c r="H1" s="497" t="s">
        <v>84</v>
      </c>
      <c r="I1" s="497" t="s">
        <v>85</v>
      </c>
      <c r="P1" s="497" t="s">
        <v>83</v>
      </c>
      <c r="Q1" s="497" t="s">
        <v>84</v>
      </c>
      <c r="R1" s="497" t="s">
        <v>85</v>
      </c>
    </row>
    <row s="3034" customFormat="1" customHeight="1" ht="5.25" hidden="1">
      <c r="C2" s="519"/>
      <c r="D2" s="502"/>
      <c r="F2" s="519"/>
    </row>
    <row s="3029" customFormat="1" customHeight="1" ht="6">
      <c r="A3" s="487"/>
      <c r="D3" s="494"/>
      <c r="E3" s="489"/>
      <c r="F3" s="489"/>
      <c r="G3" s="489"/>
      <c r="H3" s="489"/>
      <c r="I3" s="490"/>
      <c r="J3" s="491"/>
      <c r="K3" s="491"/>
      <c r="L3" s="491"/>
    </row>
    <row customHeight="1" ht="22.5">
      <c r="D4" s="458"/>
      <c r="E4" s="1996" t="s">
        <v>479</v>
      </c>
      <c r="F4" s="1996"/>
      <c r="G4" s="1997"/>
      <c r="H4" s="1997"/>
      <c r="I4" s="1998"/>
      <c r="J4" s="499"/>
      <c r="K4" s="461"/>
      <c r="L4" s="461"/>
    </row>
    <row s="2598" customFormat="1" customHeight="1" ht="17.25">
      <c r="A5" s="769"/>
      <c r="D5" s="832"/>
      <c r="E5" s="2053" t="str">
        <f>IF(org=0,"Не определено",org)</f>
        <v>ГУП СК "Ставрополькрайводоканал"</v>
      </c>
      <c r="F5" s="2053"/>
      <c r="G5" s="2054"/>
      <c r="H5" s="2054"/>
      <c r="I5" s="2055"/>
      <c r="J5" s="499"/>
      <c r="K5" s="461"/>
      <c r="L5" s="461"/>
      <c r="M5" s="515"/>
    </row>
    <row s="3029" customFormat="1" customHeight="1" ht="11.25">
      <c r="A6" s="487"/>
      <c r="D6" s="494"/>
      <c r="E6" s="489"/>
      <c r="F6" s="489"/>
      <c r="G6" s="492"/>
      <c r="H6" s="492"/>
      <c r="I6" s="493"/>
      <c r="J6" s="493"/>
      <c r="K6" s="762"/>
      <c r="L6" s="493"/>
    </row>
    <row customHeight="1" ht="14.25">
      <c r="D7" s="458"/>
      <c r="E7" s="2046" t="s">
        <v>389</v>
      </c>
      <c r="F7" s="2046"/>
      <c r="G7" s="2047"/>
      <c r="H7" s="2047"/>
      <c r="I7" s="2047"/>
      <c r="J7" s="2047"/>
      <c r="K7" s="2047"/>
      <c r="L7" s="2062" t="s">
        <v>390</v>
      </c>
    </row>
    <row customHeight="1" ht="45">
      <c r="D8" s="458"/>
      <c r="E8" s="481" t="s">
        <v>88</v>
      </c>
      <c r="F8" s="833"/>
      <c r="G8" s="473" t="s">
        <v>86</v>
      </c>
      <c r="H8" s="473" t="s">
        <v>87</v>
      </c>
      <c r="I8" s="421" t="s">
        <v>85</v>
      </c>
      <c r="J8" s="421" t="s">
        <v>480</v>
      </c>
      <c r="K8" s="421" t="s">
        <v>481</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482</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9" customFormat="1" customHeight="1" ht="14.25">
      <c r="A12" s="1938"/>
      <c r="B12" s="512"/>
      <c r="C12" s="512"/>
      <c r="D12" s="876"/>
      <c r="E12" s="833">
        <v>1</v>
      </c>
      <c r="F12" s="874">
        <v>23</v>
      </c>
      <c r="G12" s="873"/>
      <c r="H12" s="803"/>
      <c r="I12" s="801"/>
      <c r="J12" s="528" t="s">
        <v>59</v>
      </c>
      <c r="K12" s="1178" t="s">
        <v>18</v>
      </c>
      <c r="L12" s="2076"/>
      <c r="M12" s="519"/>
      <c r="N12" s="519"/>
      <c r="O12" s="519"/>
      <c r="P12" s="524" t="s">
        <v>483</v>
      </c>
      <c r="Q12" s="524" t="s">
        <v>484</v>
      </c>
      <c r="R12" s="525" t="s">
        <v>485</v>
      </c>
      <c r="S12" s="519" t="s">
        <v>486</v>
      </c>
      <c r="T12" s="519"/>
      <c r="U12" s="519"/>
      <c r="V12" s="519"/>
    </row>
    <row customHeight="1" ht="15">
      <c r="A13" s="1938"/>
      <c r="B13" s="513"/>
      <c r="D13" s="514"/>
      <c r="E13" s="412"/>
      <c r="F13" s="537"/>
      <c r="G13" s="423" t="s">
        <v>214</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B880D-7091-5A6F-9A7A-D84892414B8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3" width="26.57421875" customWidth="1"/>
    <col min="2" max="2" style="3173" width="10.00390625" customWidth="1"/>
    <col min="3" max="3" style="3173" width="9.140625"/>
    <col min="4" max="4" style="3173" width="11.140625" customWidth="1"/>
    <col min="5" max="5" style="3173" width="16.57421875" customWidth="1"/>
    <col min="6" max="6" style="3173" width="16.28125" customWidth="1"/>
    <col min="7" max="7" style="3173" width="19.140625" customWidth="1"/>
    <col min="8" max="11" style="3173" width="10.00390625" customWidth="1"/>
    <col min="12" max="12" style="3173" width="12.7109375" customWidth="1"/>
    <col min="13" max="13" style="3173" width="61.28125" customWidth="1"/>
    <col min="14" max="14" style="3173" width="10.00390625" customWidth="1"/>
    <col min="15" max="17" style="3173" width="23.7109375" customWidth="1"/>
    <col min="18" max="18" style="3173" width="11.7109375" customWidth="1"/>
    <col min="19" max="19" style="3173" width="8.57421875" customWidth="1"/>
    <col min="20" max="20" style="3173" width="11.7109375" customWidth="1"/>
    <col min="21" max="21" style="3173" width="8.57421875" customWidth="1"/>
    <col min="22" max="22" style="3173" width="4.7109375" customWidth="1"/>
    <col min="23" max="23" style="3173" width="115.7109375" customWidth="1"/>
    <col min="24" max="24" style="3173" width="115.28125" customWidth="1"/>
    <col min="25" max="27" style="3173" width="9.140625"/>
    <col min="28" max="28" style="3173" width="115.7109375" customWidth="1"/>
    <col min="29" max="29" style="3173" width="9.140625"/>
    <col min="30" max="90" style="3173" width="115.7109375" customWidth="1"/>
    <col min="91" max="184" style="3173" width="9.140625"/>
  </cols>
  <sheetData>
    <row r="2" s="3140" customFormat="1" customHeight="1" ht="17.25">
      <c r="A2" s="1866" t="s">
        <v>487</v>
      </c>
    </row>
    <row r="4" s="3141" customFormat="1" customHeight="1" ht="15">
      <c r="C4" s="1867"/>
      <c r="D4" s="99"/>
      <c r="E4" s="380"/>
    </row>
    <row r="6" s="3140" customFormat="1" customHeight="1" ht="17.25">
      <c r="A6" s="1866" t="s">
        <v>488</v>
      </c>
    </row>
    <row r="8" s="3141" customFormat="1" customHeight="1" ht="17.25">
      <c r="C8" s="1868"/>
      <c r="D8" s="99"/>
      <c r="E8" s="100"/>
    </row>
    <row r="11" s="3140" customFormat="1" customHeight="1" ht="17.25">
      <c r="A11" s="1866" t="s">
        <v>489</v>
      </c>
    </row>
    <row r="13" s="3147" customFormat="1" customHeight="1" ht="15">
      <c r="A13" s="2056">
        <v>1</v>
      </c>
      <c r="B13" s="1174"/>
      <c r="C13" s="811" t="s">
        <v>103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103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214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490</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53" customFormat="1" customHeight="1" ht="15">
      <c r="A19" s="430"/>
      <c r="B19" s="430"/>
      <c r="C19" s="1774" t="s">
        <v>103</v>
      </c>
      <c r="D19" s="1947" t="s">
        <v>159</v>
      </c>
      <c r="E19" s="2128"/>
      <c r="F19" s="1946" t="s">
        <v>57</v>
      </c>
      <c r="G19" s="2129"/>
      <c r="H19" s="1966">
        <v>1</v>
      </c>
      <c r="I19" s="2131" t="str">
        <f>IF(U19="","",INDEX(TERRITORY_MR_LIST,MATCH(U19,TERRITORY_LIST_ID,0)))</f>
        <v/>
      </c>
      <c r="J19" s="1946" t="s">
        <v>57</v>
      </c>
      <c r="K19" s="842"/>
      <c r="L19" s="1832" t="s">
        <v>159</v>
      </c>
      <c r="M19" s="611"/>
      <c r="N19" s="612"/>
      <c r="O19" s="612"/>
      <c r="P19" s="612"/>
      <c r="Q19" s="612"/>
      <c r="R19" s="612"/>
      <c r="S19" s="612"/>
      <c r="T19" s="612"/>
      <c r="U19" s="613"/>
      <c r="V19" s="612"/>
      <c r="W19" s="612"/>
      <c r="X19" s="603"/>
      <c r="Y19" s="603" t="s">
        <v>227</v>
      </c>
      <c r="Z19" s="603">
        <v>1705000</v>
      </c>
      <c r="AA19" s="603"/>
      <c r="AB19" s="603"/>
      <c r="AC19" s="603"/>
      <c r="AD19" s="603"/>
      <c r="AE19" s="603"/>
      <c r="AF19" s="603"/>
      <c r="AG19" s="603"/>
      <c r="AH19" s="603"/>
      <c r="AI19" s="603"/>
      <c r="AJ19" s="603"/>
      <c r="AK19" s="603"/>
      <c r="AL19" s="603"/>
    </row>
    <row s="3153" customFormat="1" customHeight="1" ht="15">
      <c r="A20" s="430"/>
      <c r="B20" s="430"/>
      <c r="C20" s="162"/>
      <c r="D20" s="1947"/>
      <c r="E20" s="2128"/>
      <c r="F20" s="1946"/>
      <c r="G20" s="2130"/>
      <c r="H20" s="1966"/>
      <c r="I20" s="2132"/>
      <c r="J20" s="1946"/>
      <c r="K20" s="428"/>
      <c r="L20" s="163"/>
      <c r="M20" s="615" t="s">
        <v>228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3" customFormat="1" customHeight="1" ht="15">
      <c r="A21" s="430"/>
      <c r="B21" s="430"/>
      <c r="C21" s="162"/>
      <c r="D21" s="1947"/>
      <c r="E21" s="2128"/>
      <c r="F21" s="1946"/>
      <c r="G21" s="428"/>
      <c r="H21" s="163"/>
      <c r="I21" s="588" t="s">
        <v>229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491</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53" customFormat="1" customHeight="1" ht="15">
      <c r="A25" s="430"/>
      <c r="B25" s="430"/>
      <c r="C25" s="162"/>
      <c r="D25" s="1872"/>
      <c r="E25" s="1872"/>
      <c r="F25" s="1872"/>
      <c r="G25" s="2133" t="s">
        <v>103</v>
      </c>
      <c r="H25" s="1942">
        <v>1</v>
      </c>
      <c r="I25" s="2134" t="str">
        <f>IF(U25="","",INDEX(TERRITORY_MR_LIST,MATCH(U25,TERRITORY_LIST_ID,0)))</f>
        <v/>
      </c>
      <c r="J25" s="1946" t="s">
        <v>57</v>
      </c>
      <c r="K25" s="842"/>
      <c r="L25" s="1832" t="s">
        <v>159</v>
      </c>
      <c r="M25" s="611"/>
      <c r="N25" s="612"/>
      <c r="O25" s="612"/>
      <c r="P25" s="612"/>
      <c r="Q25" s="612"/>
      <c r="R25" s="612"/>
      <c r="S25" s="612"/>
      <c r="T25" s="612"/>
      <c r="U25" s="613"/>
      <c r="V25" s="612"/>
      <c r="W25" s="612"/>
      <c r="X25" s="603"/>
      <c r="Y25" s="603" t="s">
        <v>227</v>
      </c>
      <c r="Z25" s="603">
        <v>1705000</v>
      </c>
      <c r="AA25" s="603"/>
      <c r="AB25" s="603"/>
      <c r="AC25" s="603"/>
      <c r="AD25" s="603"/>
      <c r="AE25" s="603"/>
      <c r="AF25" s="603"/>
      <c r="AG25" s="603"/>
      <c r="AH25" s="603"/>
      <c r="AI25" s="603"/>
      <c r="AJ25" s="603"/>
      <c r="AK25" s="603"/>
      <c r="AL25" s="603"/>
    </row>
    <row s="3153" customFormat="1" customHeight="1" ht="15">
      <c r="A26" s="430"/>
      <c r="B26" s="430"/>
      <c r="C26" s="162"/>
      <c r="D26" s="1872"/>
      <c r="E26" s="1872"/>
      <c r="F26" s="1872"/>
      <c r="G26" s="2133"/>
      <c r="H26" s="1942"/>
      <c r="I26" s="2134"/>
      <c r="J26" s="1946"/>
      <c r="K26" s="428"/>
      <c r="L26" s="163"/>
      <c r="M26" s="615" t="s">
        <v>228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492</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53" customFormat="1" customHeight="1" ht="15">
      <c r="A30" s="430"/>
      <c r="B30" s="430"/>
      <c r="C30" s="162"/>
      <c r="D30" s="1872"/>
      <c r="E30" s="1872"/>
      <c r="F30" s="1872"/>
      <c r="G30" s="1872"/>
      <c r="H30" s="1872"/>
      <c r="I30" s="1872"/>
      <c r="J30" s="1872"/>
      <c r="K30" s="1850" t="s">
        <v>103</v>
      </c>
      <c r="L30" s="1775" t="s">
        <v>159</v>
      </c>
      <c r="M30" s="821"/>
      <c r="N30" s="822"/>
      <c r="O30" s="612"/>
      <c r="P30" s="612"/>
      <c r="Q30" s="612"/>
      <c r="R30" s="612"/>
      <c r="S30" s="612"/>
      <c r="T30" s="612"/>
      <c r="U30" s="613"/>
      <c r="V30" s="612"/>
      <c r="W30" s="612"/>
      <c r="X30" s="603"/>
      <c r="Y30" s="603" t="s">
        <v>227</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40" customFormat="1" customHeight="1" ht="11.25">
      <c r="A33" s="1866" t="s">
        <v>493</v>
      </c>
    </row>
    <row customHeight="1" ht="11.25"/>
    <row s="3015" customFormat="1" customHeight="1" ht="22.5">
      <c r="A35" s="1841"/>
      <c r="B35" s="465"/>
      <c r="C35" s="869"/>
      <c r="D35" s="448"/>
      <c r="E35" s="870"/>
      <c r="F35" s="1863"/>
      <c r="G35" s="1873"/>
      <c r="H35" s="483"/>
    </row>
    <row customHeight="1" ht="11.25"/>
    <row s="3140" customFormat="1" customHeight="1" ht="11.25">
      <c r="A37" s="1866" t="s">
        <v>494</v>
      </c>
    </row>
    <row customHeight="1" ht="11.25"/>
    <row s="3015" customFormat="1" customHeight="1" ht="22.5">
      <c r="A39" s="465"/>
      <c r="B39" s="465"/>
      <c r="C39" s="465"/>
      <c r="D39" s="448"/>
      <c r="E39" s="870"/>
      <c r="F39" s="871"/>
      <c r="G39" s="1873"/>
      <c r="H39" s="483"/>
    </row>
    <row r="42" s="3140" customFormat="1" customHeight="1" ht="17.25">
      <c r="A42" s="1866" t="s">
        <v>495</v>
      </c>
    </row>
    <row r="44" s="3097" customFormat="1" customHeight="1" ht="18.75">
      <c r="A44" s="74"/>
      <c r="B44" s="1874"/>
      <c r="C44" s="1874"/>
      <c r="D44" s="1875"/>
      <c r="E44" s="1860"/>
      <c r="F44" s="878">
        <v>13</v>
      </c>
      <c r="G44" s="877"/>
      <c r="H44" s="803"/>
      <c r="I44" s="801"/>
      <c r="J44" s="528" t="s">
        <v>59</v>
      </c>
      <c r="K44" s="1876" t="s">
        <v>18</v>
      </c>
      <c r="L44" s="74"/>
      <c r="M44" s="1682"/>
      <c r="N44" s="1682"/>
      <c r="O44" s="1682"/>
      <c r="P44" s="524" t="s">
        <v>483</v>
      </c>
      <c r="Q44" s="524" t="s">
        <v>484</v>
      </c>
      <c r="R44" s="525" t="s">
        <v>485</v>
      </c>
      <c r="S44" s="1682" t="s">
        <v>486</v>
      </c>
      <c r="T44" s="1682"/>
      <c r="U44" s="1682"/>
      <c r="V44" s="1682"/>
    </row>
    <row r="46" s="3140" customFormat="1" customHeight="1" ht="11.25">
      <c r="A46" s="1866" t="s">
        <v>496</v>
      </c>
    </row>
    <row r="48" s="287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472</v>
      </c>
      <c r="AQ48" s="1670" t="s">
        <v>472</v>
      </c>
      <c r="AR48" s="1682"/>
      <c r="AS48" s="1682"/>
    </row>
    <row r="50" s="3140" customFormat="1" customHeight="1" ht="11.25">
      <c r="A50" s="1866" t="s">
        <v>497</v>
      </c>
    </row>
    <row r="52" s="3184" customFormat="1" customHeight="1" ht="15">
      <c r="A52" s="131" t="s">
        <v>90</v>
      </c>
      <c r="B52" s="111" t="s">
        <v>18</v>
      </c>
      <c r="C52" s="1878"/>
      <c r="D52" s="114"/>
      <c r="E52" s="387"/>
      <c r="F52" s="387"/>
      <c r="G52" s="1854"/>
      <c r="H52" s="1876"/>
      <c r="I52" s="1855"/>
      <c r="K52" s="258"/>
      <c r="L52" s="259"/>
    </row>
    <row r="54" s="3140" customFormat="1" customHeight="1" ht="11.25">
      <c r="A54" s="1866" t="s">
        <v>498</v>
      </c>
    </row>
    <row r="56" s="2876" customFormat="1" customHeight="1" ht="14.25">
      <c r="A56" s="339"/>
      <c r="B56" s="1174"/>
      <c r="C56" s="377"/>
      <c r="D56" s="1861"/>
      <c r="E56" s="897"/>
      <c r="F56" s="1876"/>
      <c r="G56" s="74"/>
      <c r="I56" s="1670"/>
      <c r="J56" s="1670"/>
    </row>
    <row r="58" s="3140" customFormat="1" customHeight="1" ht="11.25">
      <c r="A58" s="1866" t="s">
        <v>499</v>
      </c>
    </row>
    <row r="60" s="2876"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500</v>
      </c>
    </row>
    <row s="287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501</v>
      </c>
    </row>
    <row r="63" s="3140" customFormat="1" customHeight="1" ht="11.25">
      <c r="A63" s="1866" t="s">
        <v>502</v>
      </c>
    </row>
    <row r="65" s="287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500</v>
      </c>
    </row>
    <row r="67" s="3140" customFormat="1" customHeight="1" ht="11.25">
      <c r="A67" s="1866" t="s">
        <v>503</v>
      </c>
    </row>
    <row customHeight="1" ht="17.25"/>
    <row s="287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6" customFormat="1" customHeight="1" ht="11.25">
      <c r="A70" s="1180"/>
      <c r="B70" s="1180"/>
      <c r="C70" s="1180"/>
      <c r="D70" s="1174"/>
      <c r="E70" s="1184"/>
      <c r="F70" s="2114"/>
      <c r="G70" s="2094"/>
      <c r="H70" s="2094" t="s">
        <v>159</v>
      </c>
      <c r="I70" s="2095"/>
      <c r="J70" s="2096"/>
      <c r="K70" s="2097"/>
      <c r="L70" s="2086" t="s">
        <v>57</v>
      </c>
      <c r="M70" s="1947"/>
      <c r="N70" s="1193"/>
      <c r="O70" s="1192" t="s">
        <v>467</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6"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504</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6" customFormat="1" customHeight="1" ht="11.25">
      <c r="A74" s="1180"/>
      <c r="B74" s="1180"/>
      <c r="C74" s="1180"/>
      <c r="D74" s="1174"/>
      <c r="E74" s="1184"/>
      <c r="F74" s="2114"/>
      <c r="G74" s="2094"/>
      <c r="H74" s="2094"/>
      <c r="I74" s="2095"/>
      <c r="J74" s="2096"/>
      <c r="K74" s="2097"/>
      <c r="L74" s="2086"/>
      <c r="M74" s="1947"/>
      <c r="N74" s="1191"/>
      <c r="O74" s="1191"/>
      <c r="P74" s="1182" t="s">
        <v>505</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6" customFormat="1" customHeight="1" ht="12">
      <c r="A75" s="1180"/>
      <c r="B75" s="1180"/>
      <c r="C75" s="1180"/>
      <c r="D75" s="1174"/>
      <c r="E75" s="1184"/>
      <c r="F75" s="2115"/>
      <c r="G75" s="1206"/>
      <c r="H75" s="1206"/>
      <c r="I75" s="2113" t="s">
        <v>506</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40" customFormat="1" customHeight="1" ht="11.25">
      <c r="A77" s="1866" t="s">
        <v>507</v>
      </c>
    </row>
    <row r="79" s="2876"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504</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40" customFormat="1" customHeight="1" ht="11.25">
      <c r="A83" s="1866" t="s">
        <v>508</v>
      </c>
    </row>
    <row r="85" s="287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40" customFormat="1" customHeight="1" ht="11.25">
      <c r="A87" s="1866" t="s">
        <v>509</v>
      </c>
    </row>
    <row r="89" s="2876" customFormat="1" customHeight="1" ht="11.25">
      <c r="A89" s="1180"/>
      <c r="B89" s="1180"/>
      <c r="C89" s="1180"/>
      <c r="D89" s="1174"/>
      <c r="E89" s="1184"/>
      <c r="F89" s="1881"/>
      <c r="G89" s="1882"/>
      <c r="H89" s="2094" t="s">
        <v>159</v>
      </c>
      <c r="I89" s="2095"/>
      <c r="J89" s="2096"/>
      <c r="K89" s="2097"/>
      <c r="L89" s="2086" t="s">
        <v>57</v>
      </c>
      <c r="M89" s="1947"/>
      <c r="N89" s="1193"/>
      <c r="O89" s="1192" t="s">
        <v>467</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6"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504</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6" customFormat="1" customHeight="1" ht="11.25">
      <c r="A93" s="1180"/>
      <c r="B93" s="1180"/>
      <c r="C93" s="1180"/>
      <c r="D93" s="1174"/>
      <c r="E93" s="1184"/>
      <c r="F93" s="1881"/>
      <c r="G93" s="1882"/>
      <c r="H93" s="2094"/>
      <c r="I93" s="2095"/>
      <c r="J93" s="2096"/>
      <c r="K93" s="2097"/>
      <c r="L93" s="2086"/>
      <c r="M93" s="1947"/>
      <c r="N93" s="1191"/>
      <c r="O93" s="1191"/>
      <c r="P93" s="1182" t="s">
        <v>505</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40" customFormat="1" customHeight="1" ht="11.25">
      <c r="A95" s="1866" t="s">
        <v>510</v>
      </c>
    </row>
    <row customHeight="1" ht="17.25"/>
    <row s="3288"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8"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8" customFormat="1" customHeight="1" ht="12">
      <c r="A99" s="936"/>
      <c r="B99" s="935"/>
      <c r="C99" s="936"/>
      <c r="D99" s="936"/>
      <c r="E99" s="936"/>
      <c r="F99" s="1230"/>
      <c r="G99" s="1851" t="s">
        <v>511</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40" customFormat="1" customHeight="1" ht="11.25">
      <c r="A101" s="1866" t="s">
        <v>512</v>
      </c>
    </row>
    <row r="103" s="2640" customFormat="1" customHeight="1" ht="15">
      <c r="A103" s="631"/>
      <c r="B103" s="632"/>
      <c r="C103" s="632"/>
      <c r="D103" s="2157" t="s">
        <v>159</v>
      </c>
      <c r="E103" s="2142" t="s">
        <v>217</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513</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514</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515</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516</v>
      </c>
      <c r="F106" s="2155"/>
      <c r="G106" s="2155"/>
      <c r="H106" s="2155"/>
      <c r="I106" s="2155"/>
      <c r="J106" s="2155"/>
      <c r="K106" s="2155"/>
      <c r="L106" s="2155"/>
      <c r="M106" s="2155"/>
      <c r="N106" s="2155"/>
      <c r="O106" s="2155"/>
      <c r="P106" s="2155"/>
      <c r="Q106" s="566">
        <f>SUMIF(T107:T108,"i",Q107:Q108)</f>
        <v>0</v>
      </c>
      <c r="R106" s="1030"/>
      <c r="S106" s="1849" t="s">
        <v>517</v>
      </c>
      <c r="T106" s="725" t="s">
        <v>518</v>
      </c>
      <c r="U106" s="2156">
        <v>1</v>
      </c>
      <c r="V106" s="2156" t="s">
        <v>519</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18</v>
      </c>
      <c r="F108" s="1182" t="s">
        <v>18</v>
      </c>
      <c r="G108" s="1182" t="s">
        <v>520</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521</v>
      </c>
      <c r="F109" s="2155"/>
      <c r="G109" s="2155"/>
      <c r="H109" s="2155"/>
      <c r="I109" s="2155"/>
      <c r="J109" s="2155"/>
      <c r="K109" s="2155"/>
      <c r="L109" s="2155"/>
      <c r="M109" s="2155"/>
      <c r="N109" s="2155"/>
      <c r="O109" s="2155"/>
      <c r="P109" s="2155"/>
      <c r="Q109" s="566">
        <f>SUMIF(T110:T111,"i",Q110:Q111)</f>
        <v>0</v>
      </c>
      <c r="R109" s="1030"/>
      <c r="S109" s="1849" t="s">
        <v>522</v>
      </c>
      <c r="T109" s="725" t="s">
        <v>518</v>
      </c>
      <c r="U109" s="2156">
        <v>1</v>
      </c>
      <c r="V109" s="2156" t="s">
        <v>519</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18</v>
      </c>
      <c r="F111" s="1182" t="s">
        <v>18</v>
      </c>
      <c r="G111" s="1182" t="s">
        <v>520</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40" customFormat="1" customHeight="1" ht="11.25">
      <c r="A113" s="1866" t="s">
        <v>523</v>
      </c>
    </row>
    <row r="115" s="2640" customFormat="1" customHeight="1" ht="15">
      <c r="A115" s="631"/>
      <c r="B115" s="632"/>
      <c r="C115" s="632"/>
      <c r="D115" s="2157" t="s">
        <v>159</v>
      </c>
      <c r="E115" s="2142" t="s">
        <v>217</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513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514</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515</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516</v>
      </c>
      <c r="F118" s="2155"/>
      <c r="G118" s="2155"/>
      <c r="H118" s="2155"/>
      <c r="I118" s="2155"/>
      <c r="J118" s="2155"/>
      <c r="K118" s="2155"/>
      <c r="L118" s="2155"/>
      <c r="M118" s="2155"/>
      <c r="N118" s="2155"/>
      <c r="O118" s="2155"/>
      <c r="P118" s="2155"/>
      <c r="Q118" s="566">
        <f>SUMIF(T119:T120,"i",Q119:Q120)</f>
        <v>0</v>
      </c>
      <c r="R118" s="1030"/>
      <c r="S118" s="1849" t="s">
        <v>517</v>
      </c>
      <c r="T118" s="725" t="s">
        <v>518</v>
      </c>
      <c r="U118" s="2156">
        <v>1</v>
      </c>
      <c r="V118" s="2156" t="s">
        <v>519</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520</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518</v>
      </c>
      <c r="U121" s="2156">
        <v>1</v>
      </c>
      <c r="V121" s="2156" t="s">
        <v>519</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40" customFormat="1" customHeight="1" ht="11.25">
      <c r="A125" s="1866" t="s">
        <v>524</v>
      </c>
    </row>
    <row r="127" s="2640" customFormat="1" customHeight="1" ht="45">
      <c r="A127" s="1857"/>
      <c r="B127" s="1174"/>
      <c r="C127" s="419"/>
      <c r="D127" s="74"/>
      <c r="E127" s="2146"/>
      <c r="F127" s="1947" t="s">
        <v>159</v>
      </c>
      <c r="G127" s="2149" t="s">
        <v>18</v>
      </c>
      <c r="H127" s="277"/>
      <c r="I127" s="645" t="s">
        <v>159</v>
      </c>
      <c r="J127" s="1858" t="s">
        <v>525</v>
      </c>
      <c r="K127" s="646" t="s">
        <v>526</v>
      </c>
      <c r="L127" s="2063" t="s">
        <v>526</v>
      </c>
      <c r="M127" s="2151"/>
      <c r="N127" s="646" t="s">
        <v>526</v>
      </c>
      <c r="O127" s="646" t="s">
        <v>526</v>
      </c>
      <c r="P127" s="646" t="s">
        <v>526</v>
      </c>
      <c r="Q127" s="647">
        <f>SUM(Q128:Q130)</f>
        <v>0</v>
      </c>
      <c r="R127" s="647">
        <f>IF(R124=0,0,(Q124/R124)*100)</f>
        <v>0</v>
      </c>
      <c r="S127" s="2016"/>
      <c r="T127" s="725" t="s">
        <v>518</v>
      </c>
      <c r="U127" s="74"/>
      <c r="V127" s="74"/>
      <c r="AC127" s="74"/>
    </row>
    <row s="2640" customFormat="1" customHeight="1" ht="11.25">
      <c r="A128" s="1857"/>
      <c r="B128" s="1174"/>
      <c r="C128" s="419"/>
      <c r="D128" s="74"/>
      <c r="E128" s="2147"/>
      <c r="F128" s="1947"/>
      <c r="G128" s="2149"/>
      <c r="H128" s="1966"/>
      <c r="I128" s="2094" t="s">
        <v>527</v>
      </c>
      <c r="J128" s="2152"/>
      <c r="K128" s="2153"/>
      <c r="L128" s="648"/>
      <c r="M128" s="649" t="s">
        <v>159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528</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529</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527</v>
      </c>
      <c r="J135" s="2152"/>
      <c r="K135" s="2153"/>
      <c r="L135" s="648"/>
      <c r="M135" s="649" t="s">
        <v>159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528</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159</v>
      </c>
      <c r="N138" s="1846"/>
      <c r="O138" s="650"/>
      <c r="P138" s="651"/>
      <c r="Q138" s="650"/>
      <c r="R138" s="652">
        <v>0</v>
      </c>
      <c r="S138" s="74"/>
      <c r="T138" s="725"/>
      <c r="U138" s="74"/>
      <c r="V138" s="74"/>
      <c r="AC138" s="74"/>
    </row>
    <row r="140" s="3140" customFormat="1" customHeight="1" ht="17.25">
      <c r="A140" s="1866" t="s">
        <v>530</v>
      </c>
    </row>
    <row customHeight="1" ht="17.25">
      <c r="G141" s="1891"/>
      <c r="H141" s="1891"/>
      <c r="I141" s="1891"/>
      <c r="M141" s="1887"/>
    </row>
    <row s="3389" customFormat="1" customHeight="1" ht="17.25">
      <c r="A142" s="1892"/>
      <c r="C142" s="1894"/>
      <c r="D142" s="2083"/>
      <c r="E142" s="1982"/>
      <c r="F142" s="1984"/>
      <c r="G142" s="2111"/>
      <c r="H142" s="2083"/>
      <c r="I142" s="2083">
        <v>1</v>
      </c>
      <c r="J142" s="2079"/>
      <c r="K142" s="2022" t="s">
        <v>59</v>
      </c>
      <c r="L142" s="1947"/>
      <c r="M142" s="1947" t="s">
        <v>159</v>
      </c>
      <c r="N142" s="2081" t="str">
        <f>IF(Z142="","",INDEX(TERRITORY_MR_LIST,MATCH(Z142,TERRITORY_LIST_ID,0)))</f>
        <v/>
      </c>
      <c r="O142" s="2022" t="s">
        <v>59</v>
      </c>
      <c r="P142" s="1947"/>
      <c r="Q142" s="1947" t="s">
        <v>159</v>
      </c>
      <c r="R142" s="2077" t="s">
        <v>18</v>
      </c>
      <c r="S142" s="1946" t="s">
        <v>59</v>
      </c>
      <c r="T142" s="1862"/>
      <c r="U142" s="1862" t="s">
        <v>159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9"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531</v>
      </c>
      <c r="W143" s="312"/>
      <c r="Y143" s="1294"/>
      <c r="Z143" s="1294"/>
      <c r="AA143" s="1294"/>
      <c r="AB143" s="1294"/>
      <c r="AC143" s="1294"/>
      <c r="AD143" s="1294"/>
      <c r="AE143" s="1294"/>
      <c r="AF143" s="1294"/>
      <c r="AG143" s="1294"/>
      <c r="AH143" s="1294"/>
      <c r="AI143" s="1294"/>
      <c r="AJ143" s="1294"/>
      <c r="AK143" s="1294"/>
    </row>
    <row s="3389" customFormat="1" customHeight="1" ht="17.25">
      <c r="A144" s="1892"/>
      <c r="C144" s="1897"/>
      <c r="D144" s="2080"/>
      <c r="E144" s="2110"/>
      <c r="F144" s="1985"/>
      <c r="G144" s="2112"/>
      <c r="H144" s="2080"/>
      <c r="I144" s="2080"/>
      <c r="J144" s="2084"/>
      <c r="K144" s="2023"/>
      <c r="L144" s="2080"/>
      <c r="M144" s="2080"/>
      <c r="N144" s="2082"/>
      <c r="O144" s="1951"/>
      <c r="P144" s="310"/>
      <c r="Q144" s="311"/>
      <c r="R144" s="311" t="s">
        <v>532</v>
      </c>
      <c r="S144" s="1898"/>
      <c r="T144" s="1898"/>
      <c r="U144" s="1898"/>
      <c r="V144" s="1898"/>
      <c r="W144" s="312"/>
      <c r="Y144" s="1294"/>
      <c r="Z144" s="1294"/>
      <c r="AA144" s="1294"/>
      <c r="AB144" s="1294"/>
      <c r="AC144" s="1294"/>
      <c r="AD144" s="1294"/>
      <c r="AE144" s="1294"/>
      <c r="AF144" s="1294"/>
      <c r="AG144" s="1294"/>
      <c r="AH144" s="1294"/>
      <c r="AI144" s="1294"/>
      <c r="AJ144" s="1294"/>
      <c r="AK144" s="1294"/>
    </row>
    <row s="3389" customFormat="1" customHeight="1" ht="17.25">
      <c r="A145" s="1892"/>
      <c r="C145" s="1897"/>
      <c r="D145" s="2080"/>
      <c r="E145" s="2110"/>
      <c r="F145" s="1985"/>
      <c r="G145" s="2112"/>
      <c r="H145" s="2080"/>
      <c r="I145" s="2080"/>
      <c r="J145" s="2084"/>
      <c r="K145" s="1951"/>
      <c r="L145" s="310"/>
      <c r="M145" s="311"/>
      <c r="N145" s="311" t="s">
        <v>533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9" customFormat="1" customHeight="1" ht="17.25">
      <c r="A146" s="1892"/>
      <c r="C146" s="1897"/>
      <c r="D146" s="2080"/>
      <c r="E146" s="2110"/>
      <c r="F146" s="1986"/>
      <c r="G146" s="2112"/>
      <c r="H146" s="310"/>
      <c r="I146" s="311"/>
      <c r="J146" s="311" t="s">
        <v>534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9" customFormat="1" customHeight="1" ht="17.25">
      <c r="A148" s="1892"/>
      <c r="C148" s="1894"/>
      <c r="D148" s="1882"/>
      <c r="E148" s="1899"/>
      <c r="F148" s="1834"/>
      <c r="G148" s="1900"/>
      <c r="H148" s="2083"/>
      <c r="I148" s="2083">
        <v>1</v>
      </c>
      <c r="J148" s="2079"/>
      <c r="K148" s="2022" t="s">
        <v>59</v>
      </c>
      <c r="L148" s="1947"/>
      <c r="M148" s="1947" t="s">
        <v>159</v>
      </c>
      <c r="N148" s="2081" t="str">
        <f>IF(Z148="","",INDEX(TERRITORY_MR_LIST,MATCH(Z148,TERRITORY_LIST_ID,0)))</f>
        <v/>
      </c>
      <c r="O148" s="2022" t="s">
        <v>59</v>
      </c>
      <c r="P148" s="1947"/>
      <c r="Q148" s="1947" t="s">
        <v>159</v>
      </c>
      <c r="R148" s="2077" t="s">
        <v>18</v>
      </c>
      <c r="S148" s="1946" t="s">
        <v>59</v>
      </c>
      <c r="T148" s="1862"/>
      <c r="U148" s="1862" t="s">
        <v>159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9"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531</v>
      </c>
      <c r="W149" s="312"/>
      <c r="Y149" s="1294"/>
      <c r="Z149" s="1294"/>
      <c r="AA149" s="1294"/>
      <c r="AB149" s="1294"/>
      <c r="AC149" s="1294"/>
      <c r="AD149" s="1294"/>
      <c r="AE149" s="1294"/>
      <c r="AF149" s="1294"/>
      <c r="AG149" s="1294"/>
      <c r="AH149" s="1294"/>
      <c r="AI149" s="1294"/>
      <c r="AJ149" s="1294"/>
      <c r="AK149" s="1294"/>
    </row>
    <row s="3389" customFormat="1" customHeight="1" ht="17.25">
      <c r="A150" s="1892"/>
      <c r="C150" s="1897"/>
      <c r="D150" s="1882"/>
      <c r="E150" s="1899"/>
      <c r="F150" s="1834"/>
      <c r="G150" s="1900"/>
      <c r="H150" s="2080"/>
      <c r="I150" s="2080"/>
      <c r="J150" s="2084"/>
      <c r="K150" s="2023"/>
      <c r="L150" s="2080"/>
      <c r="M150" s="2080"/>
      <c r="N150" s="2082"/>
      <c r="O150" s="1951"/>
      <c r="P150" s="310"/>
      <c r="Q150" s="311"/>
      <c r="R150" s="311" t="s">
        <v>532</v>
      </c>
      <c r="S150" s="1898"/>
      <c r="T150" s="1898"/>
      <c r="U150" s="1898"/>
      <c r="V150" s="1898"/>
      <c r="W150" s="312"/>
      <c r="Y150" s="1294"/>
      <c r="Z150" s="1294"/>
      <c r="AA150" s="1294"/>
      <c r="AB150" s="1294"/>
      <c r="AC150" s="1294"/>
      <c r="AD150" s="1294"/>
      <c r="AE150" s="1294"/>
      <c r="AF150" s="1294"/>
      <c r="AG150" s="1294"/>
      <c r="AH150" s="1294"/>
      <c r="AI150" s="1294"/>
      <c r="AJ150" s="1294"/>
      <c r="AK150" s="1294"/>
    </row>
    <row s="3389" customFormat="1" customHeight="1" ht="17.25">
      <c r="A151" s="1892"/>
      <c r="C151" s="1897"/>
      <c r="D151" s="1882"/>
      <c r="E151" s="1899"/>
      <c r="F151" s="1834"/>
      <c r="G151" s="1900"/>
      <c r="H151" s="2080"/>
      <c r="I151" s="2080"/>
      <c r="J151" s="2084"/>
      <c r="K151" s="1951"/>
      <c r="L151" s="310"/>
      <c r="M151" s="311"/>
      <c r="N151" s="311" t="s">
        <v>533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9" customFormat="1" customHeight="1" ht="17.25">
      <c r="A153" s="1892"/>
      <c r="C153" s="1894"/>
      <c r="D153" s="1882"/>
      <c r="E153" s="1899"/>
      <c r="F153" s="1834"/>
      <c r="G153" s="1900"/>
      <c r="H153" s="1882"/>
      <c r="I153" s="1882"/>
      <c r="J153" s="1901"/>
      <c r="K153" s="1806"/>
      <c r="L153" s="1947"/>
      <c r="M153" s="1947" t="s">
        <v>159</v>
      </c>
      <c r="N153" s="2081" t="str">
        <f>IF(Z153="","",INDEX(TERRITORY_MR_LIST,MATCH(Z153,TERRITORY_LIST_ID,0)))</f>
        <v/>
      </c>
      <c r="O153" s="2022" t="s">
        <v>59</v>
      </c>
      <c r="P153" s="1947"/>
      <c r="Q153" s="1947" t="s">
        <v>159</v>
      </c>
      <c r="R153" s="2077" t="s">
        <v>18</v>
      </c>
      <c r="S153" s="1946" t="s">
        <v>59</v>
      </c>
      <c r="T153" s="1862"/>
      <c r="U153" s="1862" t="s">
        <v>159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9"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531</v>
      </c>
      <c r="W154" s="312"/>
      <c r="Y154" s="1294"/>
      <c r="Z154" s="1294"/>
      <c r="AA154" s="1294"/>
      <c r="AB154" s="1294"/>
      <c r="AC154" s="1294"/>
      <c r="AD154" s="1294"/>
      <c r="AE154" s="1294"/>
      <c r="AF154" s="1294"/>
      <c r="AG154" s="1294"/>
      <c r="AH154" s="1294"/>
      <c r="AI154" s="1294"/>
      <c r="AJ154" s="1294"/>
      <c r="AK154" s="1294"/>
    </row>
    <row s="3389" customFormat="1" customHeight="1" ht="17.25">
      <c r="A155" s="1892"/>
      <c r="C155" s="1897"/>
      <c r="D155" s="1882"/>
      <c r="E155" s="1899"/>
      <c r="F155" s="1834"/>
      <c r="G155" s="1900"/>
      <c r="H155" s="1882"/>
      <c r="I155" s="1882"/>
      <c r="J155" s="1901"/>
      <c r="K155" s="1806"/>
      <c r="L155" s="2080"/>
      <c r="M155" s="2080"/>
      <c r="N155" s="2082"/>
      <c r="O155" s="1951"/>
      <c r="P155" s="310"/>
      <c r="Q155" s="311"/>
      <c r="R155" s="311" t="s">
        <v>532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9" customFormat="1" customHeight="1" ht="17.25">
      <c r="A157" s="1892"/>
      <c r="C157" s="1894"/>
      <c r="D157" s="1882"/>
      <c r="E157" s="1899"/>
      <c r="F157" s="1834"/>
      <c r="G157" s="1900"/>
      <c r="H157" s="1882"/>
      <c r="I157" s="1882"/>
      <c r="J157" s="1901"/>
      <c r="K157" s="1806"/>
      <c r="L157" s="1802"/>
      <c r="M157" s="1802"/>
      <c r="N157" s="1902"/>
      <c r="O157" s="1837"/>
      <c r="P157" s="1947"/>
      <c r="Q157" s="1947" t="s">
        <v>159</v>
      </c>
      <c r="R157" s="2077" t="s">
        <v>18</v>
      </c>
      <c r="S157" s="1946" t="s">
        <v>59</v>
      </c>
      <c r="T157" s="1862"/>
      <c r="U157" s="1862" t="s">
        <v>159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9"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531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9"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159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40" customFormat="1" customHeight="1" ht="17.25">
      <c r="A162" s="1866" t="s">
        <v>535</v>
      </c>
    </row>
    <row customHeight="1" ht="17.25">
      <c r="G163" s="1891"/>
      <c r="H163" s="1891"/>
      <c r="I163" s="1891"/>
      <c r="M163" s="1887"/>
    </row>
    <row s="3389" customFormat="1" customHeight="1" ht="17.25">
      <c r="A164" s="1892"/>
      <c r="C164" s="1894"/>
      <c r="D164" s="2083"/>
      <c r="E164" s="1982"/>
      <c r="F164" s="1984"/>
      <c r="G164" s="2111"/>
      <c r="H164" s="2083"/>
      <c r="I164" s="2083">
        <v>1</v>
      </c>
      <c r="J164" s="2079"/>
      <c r="K164" s="2022" t="s">
        <v>59</v>
      </c>
      <c r="L164" s="1947"/>
      <c r="M164" s="1947" t="s">
        <v>159</v>
      </c>
      <c r="N164" s="2081" t="str">
        <f>IF(Z164="","",INDEX(TERRITORY_MR_LIST,MATCH(Z164,TERRITORY_LIST_ID,0)))</f>
        <v/>
      </c>
      <c r="O164" s="2022" t="s">
        <v>59</v>
      </c>
      <c r="P164" s="1947"/>
      <c r="Q164" s="1947" t="s">
        <v>159</v>
      </c>
      <c r="R164" s="2077" t="s">
        <v>18</v>
      </c>
      <c r="S164" s="2078" t="s">
        <v>57</v>
      </c>
      <c r="T164" s="1853"/>
      <c r="U164" s="1853" t="s">
        <v>159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9"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9" customFormat="1" customHeight="1" ht="17.25">
      <c r="A166" s="1892"/>
      <c r="C166" s="1897"/>
      <c r="D166" s="2080"/>
      <c r="E166" s="2110"/>
      <c r="F166" s="1985"/>
      <c r="G166" s="2112"/>
      <c r="H166" s="2080"/>
      <c r="I166" s="2080"/>
      <c r="J166" s="2084"/>
      <c r="K166" s="2023"/>
      <c r="L166" s="2080"/>
      <c r="M166" s="2080"/>
      <c r="N166" s="2082"/>
      <c r="O166" s="1951"/>
      <c r="P166" s="310"/>
      <c r="Q166" s="311"/>
      <c r="R166" s="311" t="s">
        <v>532</v>
      </c>
      <c r="S166" s="1898"/>
      <c r="T166" s="1898"/>
      <c r="U166" s="1898"/>
      <c r="V166" s="1898"/>
      <c r="W166" s="1469"/>
      <c r="Y166" s="1294"/>
      <c r="Z166" s="1294"/>
      <c r="AA166" s="1294"/>
      <c r="AB166" s="1294"/>
      <c r="AC166" s="1294"/>
      <c r="AD166" s="1294"/>
      <c r="AE166" s="1294"/>
      <c r="AF166" s="1294"/>
      <c r="AG166" s="1294"/>
      <c r="AH166" s="1294"/>
      <c r="AI166" s="1294"/>
      <c r="AJ166" s="1294"/>
      <c r="AK166" s="1294"/>
    </row>
    <row s="3389" customFormat="1" customHeight="1" ht="17.25">
      <c r="A167" s="1892"/>
      <c r="C167" s="1897"/>
      <c r="D167" s="2080"/>
      <c r="E167" s="2110"/>
      <c r="F167" s="1985"/>
      <c r="G167" s="2112"/>
      <c r="H167" s="2080"/>
      <c r="I167" s="2080"/>
      <c r="J167" s="2084"/>
      <c r="K167" s="1951"/>
      <c r="L167" s="310"/>
      <c r="M167" s="311"/>
      <c r="N167" s="311" t="s">
        <v>533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9" customFormat="1" customHeight="1" ht="17.25">
      <c r="A168" s="1892"/>
      <c r="C168" s="1897"/>
      <c r="D168" s="2080"/>
      <c r="E168" s="2110"/>
      <c r="F168" s="1986"/>
      <c r="G168" s="2112"/>
      <c r="H168" s="310"/>
      <c r="I168" s="311"/>
      <c r="J168" s="311" t="s">
        <v>534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9" customFormat="1" customHeight="1" ht="17.25">
      <c r="A170" s="1892"/>
      <c r="C170" s="1894"/>
      <c r="D170" s="1882"/>
      <c r="E170" s="1899"/>
      <c r="F170" s="1834"/>
      <c r="G170" s="1900"/>
      <c r="H170" s="2083"/>
      <c r="I170" s="2083">
        <v>1</v>
      </c>
      <c r="J170" s="2079"/>
      <c r="K170" s="2022" t="s">
        <v>59</v>
      </c>
      <c r="L170" s="1947"/>
      <c r="M170" s="1947" t="s">
        <v>159</v>
      </c>
      <c r="N170" s="2081" t="str">
        <f>IF(Z170="","",INDEX(TERRITORY_MR_LIST,MATCH(Z170,TERRITORY_LIST_ID,0)))</f>
        <v/>
      </c>
      <c r="O170" s="2022" t="s">
        <v>59</v>
      </c>
      <c r="P170" s="1947"/>
      <c r="Q170" s="1947" t="s">
        <v>159</v>
      </c>
      <c r="R170" s="2077" t="s">
        <v>18</v>
      </c>
      <c r="S170" s="2078" t="s">
        <v>57</v>
      </c>
      <c r="T170" s="1853"/>
      <c r="U170" s="1853" t="s">
        <v>159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9"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9" customFormat="1" customHeight="1" ht="17.25">
      <c r="A172" s="1892"/>
      <c r="C172" s="1897"/>
      <c r="D172" s="1882"/>
      <c r="E172" s="1899"/>
      <c r="F172" s="1834"/>
      <c r="G172" s="1900"/>
      <c r="H172" s="2080"/>
      <c r="I172" s="2080"/>
      <c r="J172" s="2084"/>
      <c r="K172" s="2023"/>
      <c r="L172" s="2080"/>
      <c r="M172" s="2080"/>
      <c r="N172" s="2082"/>
      <c r="O172" s="1951"/>
      <c r="P172" s="310"/>
      <c r="Q172" s="311"/>
      <c r="R172" s="311" t="s">
        <v>532</v>
      </c>
      <c r="S172" s="1898"/>
      <c r="T172" s="1898"/>
      <c r="U172" s="1898"/>
      <c r="V172" s="1898"/>
      <c r="W172" s="1469"/>
      <c r="Y172" s="1294"/>
      <c r="Z172" s="1294"/>
      <c r="AA172" s="1294"/>
      <c r="AB172" s="1294"/>
      <c r="AC172" s="1294"/>
      <c r="AD172" s="1294"/>
      <c r="AE172" s="1294"/>
      <c r="AF172" s="1294"/>
      <c r="AG172" s="1294"/>
      <c r="AH172" s="1294"/>
      <c r="AI172" s="1294"/>
      <c r="AJ172" s="1294"/>
      <c r="AK172" s="1294"/>
    </row>
    <row s="3389" customFormat="1" customHeight="1" ht="17.25">
      <c r="A173" s="1892"/>
      <c r="C173" s="1897"/>
      <c r="D173" s="1882"/>
      <c r="E173" s="1899"/>
      <c r="F173" s="1834"/>
      <c r="G173" s="1900"/>
      <c r="H173" s="2080"/>
      <c r="I173" s="2080"/>
      <c r="J173" s="2084"/>
      <c r="K173" s="1951"/>
      <c r="L173" s="310"/>
      <c r="M173" s="311"/>
      <c r="N173" s="311" t="s">
        <v>533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9" customFormat="1" customHeight="1" ht="17.25">
      <c r="A175" s="1892"/>
      <c r="C175" s="1894"/>
      <c r="D175" s="1882"/>
      <c r="E175" s="1899"/>
      <c r="F175" s="1834"/>
      <c r="G175" s="1900"/>
      <c r="H175" s="1882"/>
      <c r="I175" s="1882"/>
      <c r="J175" s="1904"/>
      <c r="K175" s="1900"/>
      <c r="L175" s="1947"/>
      <c r="M175" s="1947" t="s">
        <v>159</v>
      </c>
      <c r="N175" s="2081" t="str">
        <f>IF(Z175="","",INDEX(TERRITORY_MR_LIST,MATCH(Z175,TERRITORY_LIST_ID,0)))</f>
        <v/>
      </c>
      <c r="O175" s="2022" t="s">
        <v>59</v>
      </c>
      <c r="P175" s="1947"/>
      <c r="Q175" s="1947" t="s">
        <v>159</v>
      </c>
      <c r="R175" s="2077" t="s">
        <v>18</v>
      </c>
      <c r="S175" s="2078" t="s">
        <v>57</v>
      </c>
      <c r="T175" s="1853"/>
      <c r="U175" s="1853" t="s">
        <v>159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9"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9" customFormat="1" customHeight="1" ht="17.25">
      <c r="A177" s="1892"/>
      <c r="C177" s="1897"/>
      <c r="D177" s="1882"/>
      <c r="E177" s="1899"/>
      <c r="F177" s="1834"/>
      <c r="G177" s="1900"/>
      <c r="H177" s="1882"/>
      <c r="I177" s="1882"/>
      <c r="J177" s="1904"/>
      <c r="K177" s="1900"/>
      <c r="L177" s="2080"/>
      <c r="M177" s="2080"/>
      <c r="N177" s="2082"/>
      <c r="O177" s="1951"/>
      <c r="P177" s="310"/>
      <c r="Q177" s="311"/>
      <c r="R177" s="311" t="s">
        <v>532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9" customFormat="1" customHeight="1" ht="17.25">
      <c r="A179" s="1892"/>
      <c r="C179" s="1894"/>
      <c r="D179" s="1882"/>
      <c r="E179" s="1899"/>
      <c r="F179" s="1834"/>
      <c r="G179" s="1900"/>
      <c r="H179" s="1882"/>
      <c r="I179" s="1882"/>
      <c r="J179" s="1904"/>
      <c r="K179" s="1900"/>
      <c r="L179" s="1882"/>
      <c r="M179" s="1882"/>
      <c r="N179" s="1902"/>
      <c r="O179" s="1837"/>
      <c r="P179" s="1947"/>
      <c r="Q179" s="1947" t="s">
        <v>159</v>
      </c>
      <c r="R179" s="2077" t="s">
        <v>18</v>
      </c>
      <c r="S179" s="2078" t="s">
        <v>57</v>
      </c>
      <c r="T179" s="1853"/>
      <c r="U179" s="1853" t="s">
        <v>159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9"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40" customFormat="1" customHeight="1" ht="17.25">
      <c r="A188" s="1866" t="s">
        <v>536</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159</v>
      </c>
      <c r="P190" s="2097"/>
      <c r="Q190" s="1626"/>
      <c r="R190" s="2022" t="s">
        <v>59</v>
      </c>
      <c r="S190" s="2022" t="s">
        <v>59</v>
      </c>
      <c r="T190" s="1908"/>
      <c r="U190" s="1947" t="s">
        <v>159</v>
      </c>
      <c r="V190" s="2104" t="str">
        <f>IF(AK190="","",INDEX(TERRITORY_MR_LIST,MATCH(AK190,TERRITORY_LIST_ID,0)))</f>
        <v/>
      </c>
      <c r="W190" s="1627"/>
      <c r="X190" s="2022" t="s">
        <v>59</v>
      </c>
      <c r="Y190" s="2022" t="s">
        <v>57</v>
      </c>
      <c r="Z190" s="1610"/>
      <c r="AA190" s="1947" t="s">
        <v>159</v>
      </c>
      <c r="AB190" s="2106"/>
      <c r="AC190" s="1628"/>
      <c r="AD190" s="2022" t="s">
        <v>59</v>
      </c>
      <c r="AE190" s="2022" t="s">
        <v>57</v>
      </c>
      <c r="AF190" s="1608"/>
      <c r="AG190" s="1862" t="s">
        <v>159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537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538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215</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539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3" customFormat="1" customHeight="1" ht="11.25">
      <c r="D195" s="2103"/>
      <c r="E195" s="2036"/>
      <c r="F195" s="2036"/>
      <c r="G195" s="1951"/>
      <c r="H195" s="1616"/>
      <c r="I195" s="1617"/>
      <c r="J195" s="2098" t="s">
        <v>534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6C417-1C39-8334-A88F-242924EB713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0" width="9.140625" hidden="1" customWidth="1"/>
    <col min="2" max="2" style="3518" width="9.140625" hidden="1" customWidth="1"/>
    <col min="3" max="3" style="3541" width="3.7109375" customWidth="1"/>
    <col min="4" max="4" style="2668" width="6.28125" customWidth="1"/>
    <col min="5" max="6" style="2668" width="64.140625" customWidth="1"/>
    <col min="7" max="7" style="2668" width="141.140625" customWidth="1"/>
    <col min="8" max="8" style="2668" width="10.57421875"/>
    <col min="9" max="10" style="2604" width="10.57421875"/>
    <col min="11" max="16" style="2668"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ГУП СК "Ставрополькрайводоканал"</v>
      </c>
      <c r="E6" s="2172"/>
      <c r="F6" s="2172"/>
      <c r="G6" s="2173"/>
      <c r="I6" s="508"/>
      <c r="J6" s="508"/>
    </row>
    <row customHeight="1" ht="14.25">
      <c r="C7" s="82"/>
      <c r="D7" s="69"/>
      <c r="E7" s="81"/>
      <c r="F7" s="762"/>
      <c r="G7" s="179"/>
    </row>
    <row s="2876" customFormat="1" customHeight="1" ht="0.75">
      <c r="A8" s="1715"/>
      <c r="B8" s="1174"/>
      <c r="C8" s="377"/>
      <c r="D8" s="361"/>
      <c r="E8" s="395"/>
      <c r="F8" s="762"/>
      <c r="G8" s="179"/>
      <c r="I8" s="1670"/>
      <c r="J8" s="1670"/>
    </row>
    <row customHeight="1" ht="14.25">
      <c r="C9" s="82"/>
      <c r="D9" s="2047" t="s">
        <v>389</v>
      </c>
      <c r="E9" s="2047"/>
      <c r="F9" s="2047"/>
      <c r="G9" s="2174" t="s">
        <v>390</v>
      </c>
    </row>
    <row customHeight="1" ht="14.25">
      <c r="C10" s="82"/>
      <c r="D10" s="91" t="s">
        <v>88</v>
      </c>
      <c r="E10" s="94" t="s">
        <v>391</v>
      </c>
      <c r="F10" s="94" t="s">
        <v>481</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395</v>
      </c>
      <c r="G12" s="137"/>
    </row>
    <row customHeight="1" ht="22.5">
      <c r="A13" s="178"/>
      <c r="C13" s="82"/>
      <c r="D13" s="133" t="s">
        <v>527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395</v>
      </c>
      <c r="G13" s="137"/>
    </row>
    <row customHeight="1" ht="14.25">
      <c r="A14" s="178"/>
      <c r="C14" s="82"/>
      <c r="D14" s="133" t="s">
        <v>540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541</v>
      </c>
      <c r="F15" s="187"/>
      <c r="G15" s="2008"/>
    </row>
    <row customHeight="1" ht="14.25">
      <c r="A16" s="178"/>
      <c r="C16" s="82"/>
      <c r="D16" s="133" t="s">
        <v>542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395</v>
      </c>
      <c r="G16" s="333"/>
    </row>
    <row customHeight="1" ht="14.25">
      <c r="A17" s="178"/>
      <c r="C17" s="82"/>
      <c r="D17" s="133" t="s">
        <v>543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7" customFormat="1" customHeight="1" ht="21">
      <c r="A18" s="339"/>
      <c r="B18" s="132"/>
      <c r="C18" s="296"/>
      <c r="D18" s="343"/>
      <c r="E18" s="345" t="s">
        <v>544</v>
      </c>
      <c r="F18" s="334"/>
      <c r="G18" s="2008"/>
      <c r="I18" s="346"/>
      <c r="J18" s="346"/>
    </row>
    <row s="2598" customFormat="1" customHeight="1" ht="256.5" hidden="1">
      <c r="A19" s="339"/>
      <c r="B19" s="424"/>
      <c r="C19" s="377"/>
      <c r="D19" s="895" t="s">
        <v>545</v>
      </c>
      <c r="E19" s="894" t="s">
        <v>546</v>
      </c>
      <c r="F19" s="391"/>
      <c r="G19" s="333" t="s">
        <v>547</v>
      </c>
      <c r="I19" s="508"/>
      <c r="J19" s="508"/>
    </row>
    <row s="3517" customFormat="1" customHeight="1" ht="14.25">
      <c r="A20" s="339"/>
      <c r="B20" s="132"/>
      <c r="C20" s="296"/>
      <c r="D20" s="896">
        <v>2</v>
      </c>
      <c r="E20" s="326" t="s">
        <v>548</v>
      </c>
      <c r="F20" s="184" t="s">
        <v>395</v>
      </c>
      <c r="G20" s="333"/>
      <c r="I20" s="346"/>
      <c r="J20" s="346"/>
    </row>
    <row s="3517" customFormat="1" customHeight="1" ht="18.75" hidden="1">
      <c r="A21" s="339"/>
      <c r="B21" s="132"/>
      <c r="C21" s="296"/>
      <c r="D21" s="329" t="s">
        <v>549</v>
      </c>
      <c r="E21" s="328"/>
      <c r="F21" s="327"/>
      <c r="G21" s="337"/>
      <c r="H21" s="330"/>
      <c r="I21" s="346"/>
      <c r="J21" s="346"/>
    </row>
    <row customHeight="1" ht="15">
      <c r="A22" s="178"/>
      <c r="C22" s="82"/>
      <c r="D22" s="95"/>
      <c r="E22" s="189" t="s">
        <v>550</v>
      </c>
      <c r="F22" s="334"/>
      <c r="G22" s="335"/>
    </row>
    <row s="2876" customFormat="1" customHeight="1" ht="22.5" hidden="1">
      <c r="A23" s="339"/>
      <c r="B23" s="1174"/>
      <c r="C23" s="377"/>
      <c r="D23" s="1719" t="s">
        <v>102</v>
      </c>
      <c r="E23" s="183" t="s">
        <v>551</v>
      </c>
      <c r="F23" s="1716" t="s">
        <v>395</v>
      </c>
      <c r="G23" s="341"/>
      <c r="I23" s="1670"/>
      <c r="J23" s="1670"/>
    </row>
    <row s="2876" customFormat="1" customHeight="1" ht="14.25" hidden="1">
      <c r="A24" s="339"/>
      <c r="B24" s="1174"/>
      <c r="C24" s="377"/>
      <c r="D24" s="1719" t="s">
        <v>552</v>
      </c>
      <c r="E24" s="1718" t="s">
        <v>553</v>
      </c>
      <c r="F24" s="1716" t="s">
        <v>395</v>
      </c>
      <c r="G24" s="333"/>
      <c r="I24" s="1670"/>
      <c r="J24" s="1670"/>
    </row>
    <row s="2876" customFormat="1" customHeight="1" ht="14.25" hidden="1">
      <c r="A25" s="339"/>
      <c r="B25" s="1174"/>
      <c r="C25" s="377"/>
      <c r="D25" s="1719" t="s">
        <v>554</v>
      </c>
      <c r="E25" s="181"/>
      <c r="F25" s="391"/>
      <c r="G25" s="2006" t="s">
        <v>555</v>
      </c>
      <c r="I25" s="1670"/>
      <c r="J25" s="1670"/>
    </row>
    <row s="2876" customFormat="1" customHeight="1" ht="22.5" hidden="1">
      <c r="A26" s="339"/>
      <c r="B26" s="1174"/>
      <c r="C26" s="377"/>
      <c r="D26" s="343"/>
      <c r="E26" s="345" t="s">
        <v>556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77FB4-64B8-6E62-AB14-29E4FB228F8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91" width="3.7109375" customWidth="1"/>
    <col min="17" max="18" style="3692" width="3.7109375" customWidth="1"/>
    <col min="19" max="19" style="3693" width="12.7109375" customWidth="1"/>
    <col min="20" max="20" style="2867" width="35.7109375" customWidth="1"/>
    <col min="21" max="21" style="2867" width="0.140625" customWidth="1"/>
    <col min="22" max="22" style="2867" width="24.7109375" hidden="1" customWidth="1"/>
    <col min="23" max="23" style="2867" width="0.140625" hidden="1" customWidth="1"/>
    <col min="24" max="25" style="2867" width="24.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24.7109375" customWidth="1"/>
    <col min="31" max="31" style="2867" width="0.140625" customWidth="1"/>
    <col min="32" max="33" style="2867" width="24.710937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564</v>
      </c>
      <c r="M6" s="545"/>
      <c r="P6" s="2190">
        <v>1</v>
      </c>
      <c r="Q6" s="1341"/>
      <c r="R6" s="352"/>
      <c r="S6" s="1345">
        <f>$I6</f>
      </c>
      <c r="T6" s="273" t="s">
        <v>565</v>
      </c>
      <c r="U6" s="288"/>
      <c r="V6" s="2178"/>
      <c r="W6" s="2179"/>
      <c r="X6" s="2179"/>
      <c r="Y6" s="2179"/>
      <c r="Z6" s="2179"/>
      <c r="AA6" s="2179"/>
      <c r="AB6" s="2179"/>
      <c r="AC6" s="2180"/>
      <c r="AD6" s="2178"/>
      <c r="AE6" s="2179"/>
      <c r="AF6" s="2179"/>
      <c r="AG6" s="2179"/>
      <c r="AH6" s="2179"/>
      <c r="AI6" s="2179"/>
      <c r="AJ6" s="2179"/>
      <c r="AK6" s="2179"/>
      <c r="AL6" s="2180"/>
      <c r="AM6" s="1292" t="s">
        <v>566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45">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08"/>
      <c r="Y39" s="2208"/>
      <c r="Z39" s="2208"/>
      <c r="AA39" s="2208"/>
      <c r="AB39" s="2209"/>
      <c r="AC39" s="2210" t="s">
        <v>588</v>
      </c>
      <c r="AD39" s="2207" t="s">
        <v>587</v>
      </c>
      <c r="AE39" s="2208"/>
      <c r="AF39" s="2208"/>
      <c r="AG39" s="2208"/>
      <c r="AH39" s="2208"/>
      <c r="AI39" s="2208"/>
      <c r="AJ39" s="2209"/>
      <c r="AK39" s="2210" t="s">
        <v>589</v>
      </c>
      <c r="AL39" s="2213" t="s">
        <v>590</v>
      </c>
      <c r="AM39" s="1966"/>
    </row>
    <row customHeight="1" ht="33.75">
      <c r="Q40" s="377"/>
      <c r="R40" s="377"/>
      <c r="S40" s="2206"/>
      <c r="T40" s="2047"/>
      <c r="U40" s="1044"/>
      <c r="V40" s="2193" t="s">
        <v>591</v>
      </c>
      <c r="W40" s="2216" t="s">
        <v>592</v>
      </c>
      <c r="X40" s="2195" t="s">
        <v>593</v>
      </c>
      <c r="Y40" s="2196"/>
      <c r="Z40" s="2195" t="s">
        <v>594</v>
      </c>
      <c r="AA40" s="2202"/>
      <c r="AB40" s="2196"/>
      <c r="AC40" s="2211"/>
      <c r="AD40" s="2193" t="s">
        <v>591</v>
      </c>
      <c r="AE40" s="2216" t="s">
        <v>592</v>
      </c>
      <c r="AF40" s="2195" t="s">
        <v>593</v>
      </c>
      <c r="AG40" s="2196"/>
      <c r="AH40" s="2195" t="s">
        <v>594</v>
      </c>
      <c r="AI40" s="2202"/>
      <c r="AJ40" s="2196"/>
      <c r="AK40" s="2211"/>
      <c r="AL40" s="2214"/>
      <c r="AM40" s="1966"/>
    </row>
    <row customHeight="1" ht="33.7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Q41" s="377"/>
      <c r="R41" s="377"/>
      <c r="S41" s="2206"/>
      <c r="T41" s="2047"/>
      <c r="U41" s="290"/>
      <c r="V41" s="2194"/>
      <c r="W41" s="2217"/>
      <c r="X41" s="1243" t="s">
        <v>602</v>
      </c>
      <c r="Y41" s="1243" t="s">
        <v>603</v>
      </c>
      <c r="Z41" s="1242" t="s">
        <v>604</v>
      </c>
      <c r="AA41" s="2203" t="s">
        <v>605</v>
      </c>
      <c r="AB41" s="2204"/>
      <c r="AC41" s="2212"/>
      <c r="AD41" s="2194"/>
      <c r="AE41" s="2217"/>
      <c r="AF41" s="1243" t="s">
        <v>602</v>
      </c>
      <c r="AG41" s="1243" t="s">
        <v>603</v>
      </c>
      <c r="AH41" s="1349" t="s">
        <v>604</v>
      </c>
      <c r="AI41" s="2203" t="s">
        <v>605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259</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259</v>
      </c>
      <c r="B44" s="1399" t="s">
        <v>260</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259</v>
      </c>
      <c r="B45" s="1399" t="s">
        <v>260</v>
      </c>
      <c r="C45" s="1399" t="s">
        <v>261</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3.25">
      <c r="A46" s="1399" t="s">
        <v>259</v>
      </c>
      <c r="B46" s="1399" t="s">
        <v>260</v>
      </c>
      <c r="C46" s="1399" t="s">
        <v>261</v>
      </c>
      <c r="D46" s="1399" t="s">
        <v>262</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customHeight="1" ht="47.25">
      <c r="A47" s="1399" t="s">
        <v>259</v>
      </c>
      <c r="B47" s="1399" t="s">
        <v>260</v>
      </c>
      <c r="C47" s="1399" t="s">
        <v>261</v>
      </c>
      <c r="D47" s="1399" t="s">
        <v>262</v>
      </c>
      <c r="E47" s="2192"/>
      <c r="F47" s="2192"/>
      <c r="G47" s="2192"/>
      <c r="H47" s="2192"/>
      <c r="I47" s="2189" t="str">
        <f>S46&amp;".1"</f>
        <v>....1</v>
      </c>
      <c r="J47" s="1399"/>
      <c r="K47" s="1399"/>
      <c r="L47" s="1400" t="s">
        <v>564</v>
      </c>
      <c r="P47" s="2190">
        <v>1</v>
      </c>
      <c r="Q47" s="1241"/>
      <c r="R47" s="352"/>
      <c r="S47" s="1247" t="str">
        <f>$I47</f>
        <v>....1</v>
      </c>
      <c r="T47" s="273" t="s">
        <v>565</v>
      </c>
      <c r="U47" s="288"/>
      <c r="V47" s="2178"/>
      <c r="W47" s="2179"/>
      <c r="X47" s="2179"/>
      <c r="Y47" s="2179"/>
      <c r="Z47" s="2179"/>
      <c r="AA47" s="2179"/>
      <c r="AB47" s="2179"/>
      <c r="AC47" s="2180"/>
      <c r="AD47" s="2178"/>
      <c r="AE47" s="2179"/>
      <c r="AF47" s="2179"/>
      <c r="AG47" s="2179"/>
      <c r="AH47" s="2179"/>
      <c r="AI47" s="2179"/>
      <c r="AJ47" s="2179"/>
      <c r="AK47" s="2179"/>
      <c r="AL47" s="2180"/>
      <c r="AM47" s="1292" t="s">
        <v>566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259</v>
      </c>
      <c r="B48" s="1399" t="s">
        <v>260</v>
      </c>
      <c r="C48" s="1399" t="s">
        <v>261</v>
      </c>
      <c r="D48" s="1399" t="s">
        <v>262</v>
      </c>
      <c r="E48" s="2192"/>
      <c r="F48" s="2192"/>
      <c r="G48" s="2192"/>
      <c r="H48" s="2192"/>
      <c r="I48" s="2219"/>
      <c r="J48" s="2189" t="str">
        <f>I47&amp;".1"</f>
        <v>....1.1</v>
      </c>
      <c r="K48" s="1399"/>
      <c r="L48" s="1400" t="s">
        <v>567</v>
      </c>
      <c r="P48" s="2190"/>
      <c r="Q48" s="2190">
        <v>1</v>
      </c>
      <c r="R48" s="353"/>
      <c r="S48" s="1247" t="str">
        <f>$J48</f>
        <v>....1.1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3.25">
      <c r="A49" s="1399" t="s">
        <v>259</v>
      </c>
      <c r="B49" s="1399" t="s">
        <v>260</v>
      </c>
      <c r="C49" s="1399" t="s">
        <v>261</v>
      </c>
      <c r="D49" s="1399" t="s">
        <v>262</v>
      </c>
      <c r="E49" s="2192"/>
      <c r="F49" s="2192"/>
      <c r="G49" s="2192"/>
      <c r="H49" s="2192"/>
      <c r="I49" s="2219"/>
      <c r="J49" s="2219"/>
      <c r="K49" s="2189" t="str">
        <f>J48&amp;".1"</f>
        <v>....1.1.1</v>
      </c>
      <c r="L49" s="1400" t="s">
        <v>570</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571</v>
      </c>
      <c r="AN49" s="519">
        <f>STRCHECKDATE(V50:AL50)</f>
      </c>
      <c r="AO49" s="508"/>
      <c r="AP49" s="508" t="str">
        <f>IF(T49="","",T49)</f>
        <v/>
      </c>
      <c r="AQ49" s="508"/>
      <c r="AR49" s="508"/>
    </row>
    <row customHeight="1" ht="0.75">
      <c r="A50" s="1399" t="s">
        <v>259</v>
      </c>
      <c r="B50" s="1399" t="s">
        <v>260</v>
      </c>
      <c r="C50" s="1399" t="s">
        <v>261</v>
      </c>
      <c r="D50" s="1399" t="s">
        <v>262</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259</v>
      </c>
      <c r="B51" s="1399" t="s">
        <v>260</v>
      </c>
      <c r="C51" s="1399" t="s">
        <v>261</v>
      </c>
      <c r="D51" s="1399" t="s">
        <v>262</v>
      </c>
      <c r="E51" s="2192"/>
      <c r="F51" s="2192"/>
      <c r="G51" s="2192"/>
      <c r="H51" s="2192"/>
      <c r="I51" s="2219"/>
      <c r="J51" s="2189"/>
      <c r="K51" s="1399"/>
      <c r="L51" s="1400"/>
      <c r="P51" s="2190"/>
      <c r="Q51" s="2190"/>
      <c r="R51" s="352"/>
      <c r="S51" s="1314"/>
      <c r="T51" s="276"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259</v>
      </c>
      <c r="B52" s="1399" t="s">
        <v>260</v>
      </c>
      <c r="C52" s="1399" t="s">
        <v>261</v>
      </c>
      <c r="D52" s="1399" t="s">
        <v>262</v>
      </c>
      <c r="E52" s="2192"/>
      <c r="F52" s="2192"/>
      <c r="G52" s="2192"/>
      <c r="H52" s="2192"/>
      <c r="I52" s="2189"/>
      <c r="J52" s="1399"/>
      <c r="K52" s="1399"/>
      <c r="L52" s="1400"/>
      <c r="P52" s="2190"/>
      <c r="Q52" s="1241"/>
      <c r="R52" s="352"/>
      <c r="S52" s="1314"/>
      <c r="T52" s="275"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259</v>
      </c>
      <c r="B53" s="1399" t="s">
        <v>260</v>
      </c>
      <c r="C53" s="1399" t="s">
        <v>261</v>
      </c>
      <c r="D53" s="1399" t="s">
        <v>262</v>
      </c>
      <c r="E53" s="2192"/>
      <c r="F53" s="2192"/>
      <c r="G53" s="2192"/>
      <c r="H53" s="2191"/>
      <c r="I53" s="1399"/>
      <c r="J53" s="1399"/>
      <c r="K53" s="1399"/>
      <c r="L53" s="1400"/>
      <c r="M53" s="1401"/>
      <c r="N53" s="1401"/>
      <c r="O53" s="545"/>
      <c r="P53" s="356"/>
      <c r="Q53" s="376"/>
      <c r="R53" s="351"/>
      <c r="S53" s="1314"/>
      <c r="T53" s="364" t="s">
        <v>574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259</v>
      </c>
      <c r="B54" s="1379" t="s">
        <v>260</v>
      </c>
      <c r="C54" s="1379" t="s">
        <v>261</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259</v>
      </c>
      <c r="B55" s="1379" t="s">
        <v>260</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259</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606</v>
      </c>
      <c r="T59" s="2218" t="s">
        <v>607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608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606</v>
      </c>
      <c r="T62" s="2218" t="s">
        <v>609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610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611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4D333-1B13-C586-1ABF-69309D2A458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7" width="32.00390625" customWidth="1"/>
    <col min="21" max="21" style="2867" width="0.140625" customWidth="1"/>
    <col min="22" max="22" style="2867" width="24.7109375" hidden="1" customWidth="1"/>
    <col min="23" max="23" style="2867" width="0.140625" hidden="1" customWidth="1"/>
    <col min="24" max="25" style="2867" width="24.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24.7109375" customWidth="1"/>
    <col min="31" max="31" style="2867" width="0.140625" customWidth="1"/>
    <col min="32" max="33" style="2867" width="24.710937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564</v>
      </c>
      <c r="M6" s="545"/>
      <c r="P6" s="2190">
        <v>1</v>
      </c>
      <c r="Q6" s="1367"/>
      <c r="R6" s="352"/>
      <c r="S6" s="1372">
        <f>$I6</f>
      </c>
      <c r="T6" s="273" t="s">
        <v>565</v>
      </c>
      <c r="U6" s="288"/>
      <c r="V6" s="2178"/>
      <c r="W6" s="2179"/>
      <c r="X6" s="2179"/>
      <c r="Y6" s="2179"/>
      <c r="Z6" s="2179"/>
      <c r="AA6" s="2179"/>
      <c r="AB6" s="2179"/>
      <c r="AC6" s="2180"/>
      <c r="AD6" s="2178"/>
      <c r="AE6" s="2179"/>
      <c r="AF6" s="2179"/>
      <c r="AG6" s="2179"/>
      <c r="AH6" s="2179"/>
      <c r="AI6" s="2179"/>
      <c r="AJ6" s="2179"/>
      <c r="AK6" s="2179"/>
      <c r="AL6" s="2180"/>
      <c r="AM6" s="1292" t="s">
        <v>566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72">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08"/>
      <c r="Y39" s="2208"/>
      <c r="Z39" s="2208"/>
      <c r="AA39" s="2208"/>
      <c r="AB39" s="2209"/>
      <c r="AC39" s="2210" t="s">
        <v>588</v>
      </c>
      <c r="AD39" s="2207" t="s">
        <v>587</v>
      </c>
      <c r="AE39" s="2208"/>
      <c r="AF39" s="2208"/>
      <c r="AG39" s="2208"/>
      <c r="AH39" s="2208"/>
      <c r="AI39" s="2208"/>
      <c r="AJ39" s="2209"/>
      <c r="AK39" s="2210" t="s">
        <v>589</v>
      </c>
      <c r="AL39" s="2213" t="s">
        <v>590</v>
      </c>
      <c r="AM39" s="1966"/>
    </row>
    <row customHeight="1" ht="33.75">
      <c r="Q40" s="377"/>
      <c r="R40" s="377"/>
      <c r="S40" s="2206"/>
      <c r="T40" s="2047"/>
      <c r="U40" s="1044"/>
      <c r="V40" s="2193" t="s">
        <v>591</v>
      </c>
      <c r="W40" s="2216" t="s">
        <v>592</v>
      </c>
      <c r="X40" s="2195" t="s">
        <v>593</v>
      </c>
      <c r="Y40" s="2196"/>
      <c r="Z40" s="2195" t="s">
        <v>612</v>
      </c>
      <c r="AA40" s="2202"/>
      <c r="AB40" s="2196"/>
      <c r="AC40" s="2211"/>
      <c r="AD40" s="2193" t="s">
        <v>591</v>
      </c>
      <c r="AE40" s="2216" t="s">
        <v>592</v>
      </c>
      <c r="AF40" s="2195" t="s">
        <v>593</v>
      </c>
      <c r="AG40" s="2196"/>
      <c r="AH40" s="2195" t="s">
        <v>594</v>
      </c>
      <c r="AI40" s="2202"/>
      <c r="AJ40" s="2196"/>
      <c r="AK40" s="2211"/>
      <c r="AL40" s="2214"/>
      <c r="AM40" s="1966"/>
    </row>
    <row customHeight="1" ht="33.7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Q41" s="377"/>
      <c r="R41" s="377"/>
      <c r="S41" s="2206"/>
      <c r="T41" s="2047"/>
      <c r="U41" s="290"/>
      <c r="V41" s="2194"/>
      <c r="W41" s="2217"/>
      <c r="X41" s="1243" t="s">
        <v>602</v>
      </c>
      <c r="Y41" s="1243" t="s">
        <v>603</v>
      </c>
      <c r="Z41" s="1374" t="s">
        <v>604</v>
      </c>
      <c r="AA41" s="2203" t="s">
        <v>605</v>
      </c>
      <c r="AB41" s="2204"/>
      <c r="AC41" s="2212"/>
      <c r="AD41" s="2194"/>
      <c r="AE41" s="2217"/>
      <c r="AF41" s="1243" t="s">
        <v>602</v>
      </c>
      <c r="AG41" s="1243" t="s">
        <v>603</v>
      </c>
      <c r="AH41" s="1374" t="s">
        <v>604</v>
      </c>
      <c r="AI41" s="2203" t="s">
        <v>605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265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265</v>
      </c>
      <c r="B44" s="1399" t="s">
        <v>266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265</v>
      </c>
      <c r="B45" s="1399" t="s">
        <v>266</v>
      </c>
      <c r="C45" s="1399" t="s">
        <v>267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1">
      <c r="A46" s="1399" t="s">
        <v>265</v>
      </c>
      <c r="B46" s="1399" t="s">
        <v>266</v>
      </c>
      <c r="C46" s="1399" t="s">
        <v>267</v>
      </c>
      <c r="D46" s="1399" t="s">
        <v>268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customHeight="1" ht="47.25">
      <c r="A47" s="1399" t="s">
        <v>265</v>
      </c>
      <c r="B47" s="1399" t="s">
        <v>266</v>
      </c>
      <c r="C47" s="1399" t="s">
        <v>267</v>
      </c>
      <c r="D47" s="1399" t="s">
        <v>268</v>
      </c>
      <c r="E47" s="2192"/>
      <c r="F47" s="2192"/>
      <c r="G47" s="2192"/>
      <c r="H47" s="2192"/>
      <c r="I47" s="2189" t="str">
        <f>S46&amp;".1"</f>
        <v>....1</v>
      </c>
      <c r="J47" s="1399"/>
      <c r="K47" s="1399"/>
      <c r="L47" s="1400" t="s">
        <v>564</v>
      </c>
      <c r="P47" s="2190">
        <v>1</v>
      </c>
      <c r="Q47" s="1367"/>
      <c r="R47" s="352"/>
      <c r="S47" s="1372" t="str">
        <f>$I47</f>
        <v>....1</v>
      </c>
      <c r="T47" s="273" t="s">
        <v>565</v>
      </c>
      <c r="U47" s="288"/>
      <c r="V47" s="2178"/>
      <c r="W47" s="2179"/>
      <c r="X47" s="2179"/>
      <c r="Y47" s="2179"/>
      <c r="Z47" s="2179"/>
      <c r="AA47" s="2179"/>
      <c r="AB47" s="2179"/>
      <c r="AC47" s="2180"/>
      <c r="AD47" s="2178"/>
      <c r="AE47" s="2179"/>
      <c r="AF47" s="2179"/>
      <c r="AG47" s="2179"/>
      <c r="AH47" s="2179"/>
      <c r="AI47" s="2179"/>
      <c r="AJ47" s="2179"/>
      <c r="AK47" s="2179"/>
      <c r="AL47" s="2180"/>
      <c r="AM47" s="1292" t="s">
        <v>566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265</v>
      </c>
      <c r="B48" s="1399" t="s">
        <v>266</v>
      </c>
      <c r="C48" s="1399" t="s">
        <v>267</v>
      </c>
      <c r="D48" s="1399" t="s">
        <v>268</v>
      </c>
      <c r="E48" s="2192"/>
      <c r="F48" s="2192"/>
      <c r="G48" s="2192"/>
      <c r="H48" s="2192"/>
      <c r="I48" s="2219"/>
      <c r="J48" s="2189" t="str">
        <f>I47&amp;".1"</f>
        <v>....1.1</v>
      </c>
      <c r="K48" s="1399"/>
      <c r="L48" s="1400" t="s">
        <v>567</v>
      </c>
      <c r="P48" s="2190"/>
      <c r="Q48" s="2190">
        <v>1</v>
      </c>
      <c r="R48" s="353"/>
      <c r="S48" s="1372" t="str">
        <f>$J48</f>
        <v>....1.1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1">
      <c r="A49" s="1399" t="s">
        <v>265</v>
      </c>
      <c r="B49" s="1399" t="s">
        <v>266</v>
      </c>
      <c r="C49" s="1399" t="s">
        <v>267</v>
      </c>
      <c r="D49" s="1399" t="s">
        <v>268</v>
      </c>
      <c r="E49" s="2192"/>
      <c r="F49" s="2192"/>
      <c r="G49" s="2192"/>
      <c r="H49" s="2192"/>
      <c r="I49" s="2219"/>
      <c r="J49" s="2219"/>
      <c r="K49" s="2189" t="str">
        <f>J48&amp;".1"</f>
        <v>....1.1.1</v>
      </c>
      <c r="L49" s="1400" t="s">
        <v>570</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571</v>
      </c>
      <c r="AN49" s="519">
        <f>STRCHECKDATE(V50:AL50)</f>
      </c>
      <c r="AO49" s="508"/>
      <c r="AP49" s="508" t="str">
        <f>IF(T49="","",T49)</f>
        <v/>
      </c>
      <c r="AQ49" s="508"/>
      <c r="AR49" s="508"/>
    </row>
    <row customHeight="1" ht="0.75">
      <c r="A50" s="1399" t="s">
        <v>265</v>
      </c>
      <c r="B50" s="1399" t="s">
        <v>266</v>
      </c>
      <c r="C50" s="1399" t="s">
        <v>267</v>
      </c>
      <c r="D50" s="1399" t="s">
        <v>268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265</v>
      </c>
      <c r="B51" s="1399" t="s">
        <v>266</v>
      </c>
      <c r="C51" s="1399" t="s">
        <v>267</v>
      </c>
      <c r="D51" s="1399" t="s">
        <v>268</v>
      </c>
      <c r="E51" s="2192"/>
      <c r="F51" s="2192"/>
      <c r="G51" s="2192"/>
      <c r="H51" s="2192"/>
      <c r="I51" s="2219"/>
      <c r="J51" s="2189"/>
      <c r="K51" s="1399"/>
      <c r="L51" s="1400"/>
      <c r="P51" s="2190"/>
      <c r="Q51" s="2190"/>
      <c r="R51" s="352"/>
      <c r="S51" s="1314"/>
      <c r="T51" s="276"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265</v>
      </c>
      <c r="B52" s="1399" t="s">
        <v>266</v>
      </c>
      <c r="C52" s="1399" t="s">
        <v>267</v>
      </c>
      <c r="D52" s="1399" t="s">
        <v>268</v>
      </c>
      <c r="E52" s="2192"/>
      <c r="F52" s="2192"/>
      <c r="G52" s="2192"/>
      <c r="H52" s="2192"/>
      <c r="I52" s="2189"/>
      <c r="J52" s="1399"/>
      <c r="K52" s="1399"/>
      <c r="L52" s="1400"/>
      <c r="P52" s="2190"/>
      <c r="Q52" s="1367"/>
      <c r="R52" s="352"/>
      <c r="S52" s="1314"/>
      <c r="T52" s="275"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265</v>
      </c>
      <c r="B53" s="1399" t="s">
        <v>266</v>
      </c>
      <c r="C53" s="1399" t="s">
        <v>267</v>
      </c>
      <c r="D53" s="1399" t="s">
        <v>268</v>
      </c>
      <c r="E53" s="2192"/>
      <c r="F53" s="2192"/>
      <c r="G53" s="2192"/>
      <c r="H53" s="2191"/>
      <c r="I53" s="1399"/>
      <c r="J53" s="1399"/>
      <c r="K53" s="1399"/>
      <c r="L53" s="1400"/>
      <c r="M53" s="1401"/>
      <c r="N53" s="1401"/>
      <c r="O53" s="545"/>
      <c r="P53" s="356"/>
      <c r="Q53" s="376"/>
      <c r="R53" s="351"/>
      <c r="S53" s="1314"/>
      <c r="T53" s="364" t="s">
        <v>574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265</v>
      </c>
      <c r="B54" s="1379" t="s">
        <v>266</v>
      </c>
      <c r="C54" s="1379" t="s">
        <v>267</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265</v>
      </c>
      <c r="B55" s="1379" t="s">
        <v>266</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265</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606</v>
      </c>
      <c r="T59" s="2218" t="s">
        <v>613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608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606</v>
      </c>
      <c r="T62" s="2218" t="s">
        <v>609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610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611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28BBB-19E8-373D-BE6F-ACD914ABA9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7" width="32.00390625" customWidth="1"/>
    <col min="21" max="22" style="2867" width="0.140625" customWidth="1"/>
    <col min="23" max="23" style="2867" width="24.7109375" hidden="1" customWidth="1"/>
    <col min="24" max="25" style="2867" width="0.14062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0.140625" customWidth="1"/>
    <col min="31" max="31" style="2867" width="24.7109375" customWidth="1"/>
    <col min="32" max="33" style="2867" width="0.14062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564</v>
      </c>
      <c r="M6" s="545"/>
      <c r="P6" s="2190">
        <v>1</v>
      </c>
      <c r="Q6" s="1367"/>
      <c r="R6" s="352"/>
      <c r="S6" s="1372">
        <f>$I6</f>
      </c>
      <c r="T6" s="273" t="s">
        <v>565</v>
      </c>
      <c r="U6" s="288"/>
      <c r="V6" s="2178"/>
      <c r="W6" s="2179"/>
      <c r="X6" s="2179"/>
      <c r="Y6" s="2179"/>
      <c r="Z6" s="2179"/>
      <c r="AA6" s="2179"/>
      <c r="AB6" s="2179"/>
      <c r="AC6" s="2180"/>
      <c r="AD6" s="2178"/>
      <c r="AE6" s="2179"/>
      <c r="AF6" s="2179"/>
      <c r="AG6" s="2179"/>
      <c r="AH6" s="2179"/>
      <c r="AI6" s="2179"/>
      <c r="AJ6" s="2179"/>
      <c r="AK6" s="2179"/>
      <c r="AL6" s="2180"/>
      <c r="AM6" s="1292" t="s">
        <v>566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72">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571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33.7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22"/>
      <c r="Y39" s="2222"/>
      <c r="Z39" s="2208"/>
      <c r="AA39" s="2208"/>
      <c r="AB39" s="2209"/>
      <c r="AC39" s="2210" t="s">
        <v>588</v>
      </c>
      <c r="AD39" s="2207" t="s">
        <v>587</v>
      </c>
      <c r="AE39" s="2208"/>
      <c r="AF39" s="2222"/>
      <c r="AG39" s="2222"/>
      <c r="AH39" s="2208"/>
      <c r="AI39" s="2208"/>
      <c r="AJ39" s="2209"/>
      <c r="AK39" s="2210" t="s">
        <v>589</v>
      </c>
      <c r="AL39" s="2213" t="s">
        <v>590</v>
      </c>
      <c r="AM39" s="1966"/>
    </row>
    <row customHeight="1" ht="23.25">
      <c r="Q40" s="377"/>
      <c r="R40" s="377"/>
      <c r="S40" s="2206"/>
      <c r="T40" s="2047"/>
      <c r="U40" s="1044"/>
      <c r="V40" s="2223" t="s">
        <v>591</v>
      </c>
      <c r="W40" s="2225" t="s">
        <v>592</v>
      </c>
      <c r="X40" s="1412" t="s">
        <v>593</v>
      </c>
      <c r="Y40" s="1412"/>
      <c r="Z40" s="2202" t="s">
        <v>594</v>
      </c>
      <c r="AA40" s="2202"/>
      <c r="AB40" s="2196"/>
      <c r="AC40" s="2211"/>
      <c r="AD40" s="2223" t="s">
        <v>591</v>
      </c>
      <c r="AE40" s="2225" t="s">
        <v>592</v>
      </c>
      <c r="AF40" s="1412" t="s">
        <v>593</v>
      </c>
      <c r="AG40" s="1412"/>
      <c r="AH40" s="2202" t="s">
        <v>594</v>
      </c>
      <c r="AI40" s="2202"/>
      <c r="AJ40" s="2196"/>
      <c r="AK40" s="2211"/>
      <c r="AL40" s="2214"/>
      <c r="AM40" s="1966"/>
    </row>
    <row s="3539" customFormat="1" customHeight="1" ht="23.2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M41" s="1398"/>
      <c r="N41" s="1398"/>
      <c r="O41" s="1398"/>
      <c r="P41" s="1364"/>
      <c r="Q41" s="377"/>
      <c r="R41" s="377"/>
      <c r="S41" s="2206"/>
      <c r="T41" s="2047"/>
      <c r="U41" s="290"/>
      <c r="V41" s="2224"/>
      <c r="W41" s="2226"/>
      <c r="X41" s="1409" t="s">
        <v>602</v>
      </c>
      <c r="Y41" s="1409" t="s">
        <v>603</v>
      </c>
      <c r="Z41" s="1370" t="s">
        <v>604</v>
      </c>
      <c r="AA41" s="2203" t="s">
        <v>605</v>
      </c>
      <c r="AB41" s="2204"/>
      <c r="AC41" s="2212"/>
      <c r="AD41" s="2224"/>
      <c r="AE41" s="2226"/>
      <c r="AF41" s="1409" t="s">
        <v>602</v>
      </c>
      <c r="AG41" s="1409" t="s">
        <v>603</v>
      </c>
      <c r="AH41" s="1370" t="s">
        <v>604</v>
      </c>
      <c r="AI41" s="2203" t="s">
        <v>605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295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295</v>
      </c>
      <c r="B44" s="1399" t="s">
        <v>296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295</v>
      </c>
      <c r="B45" s="1399" t="s">
        <v>296</v>
      </c>
      <c r="C45" s="1399" t="s">
        <v>297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1">
      <c r="A46" s="1399" t="s">
        <v>295</v>
      </c>
      <c r="B46" s="1399" t="s">
        <v>296</v>
      </c>
      <c r="C46" s="1399" t="s">
        <v>297</v>
      </c>
      <c r="D46" s="1399" t="s">
        <v>298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customHeight="1" ht="47.25">
      <c r="A47" s="1399" t="s">
        <v>295</v>
      </c>
      <c r="B47" s="1399" t="s">
        <v>296</v>
      </c>
      <c r="C47" s="1399" t="s">
        <v>297</v>
      </c>
      <c r="D47" s="1399" t="s">
        <v>298</v>
      </c>
      <c r="E47" s="2192"/>
      <c r="F47" s="2192"/>
      <c r="G47" s="2192"/>
      <c r="H47" s="2192"/>
      <c r="I47" s="2189" t="str">
        <f>S46&amp;".1"</f>
        <v>....1</v>
      </c>
      <c r="J47" s="1399"/>
      <c r="K47" s="1399"/>
      <c r="L47" s="1400" t="s">
        <v>564</v>
      </c>
      <c r="P47" s="2190">
        <v>1</v>
      </c>
      <c r="Q47" s="1367"/>
      <c r="R47" s="352"/>
      <c r="S47" s="1372" t="str">
        <f>$I47</f>
        <v>....1</v>
      </c>
      <c r="T47" s="273" t="s">
        <v>565</v>
      </c>
      <c r="U47" s="288"/>
      <c r="V47" s="2178"/>
      <c r="W47" s="2179"/>
      <c r="X47" s="2179"/>
      <c r="Y47" s="2179"/>
      <c r="Z47" s="2179"/>
      <c r="AA47" s="2179"/>
      <c r="AB47" s="2179"/>
      <c r="AC47" s="2180"/>
      <c r="AD47" s="2178"/>
      <c r="AE47" s="2179"/>
      <c r="AF47" s="2179"/>
      <c r="AG47" s="2179"/>
      <c r="AH47" s="2179"/>
      <c r="AI47" s="2179"/>
      <c r="AJ47" s="2179"/>
      <c r="AK47" s="2179"/>
      <c r="AL47" s="2180"/>
      <c r="AM47" s="1292" t="s">
        <v>566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295</v>
      </c>
      <c r="B48" s="1399" t="s">
        <v>296</v>
      </c>
      <c r="C48" s="1399" t="s">
        <v>297</v>
      </c>
      <c r="D48" s="1399" t="s">
        <v>298</v>
      </c>
      <c r="E48" s="2192"/>
      <c r="F48" s="2192"/>
      <c r="G48" s="2192"/>
      <c r="H48" s="2192"/>
      <c r="I48" s="2219"/>
      <c r="J48" s="2189" t="str">
        <f>I47&amp;".1"</f>
        <v>....1.1</v>
      </c>
      <c r="K48" s="1399"/>
      <c r="L48" s="1400" t="s">
        <v>567</v>
      </c>
      <c r="P48" s="2190"/>
      <c r="Q48" s="2190">
        <v>1</v>
      </c>
      <c r="R48" s="353"/>
      <c r="S48" s="1372" t="str">
        <f>$J48</f>
        <v>....1.1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1">
      <c r="A49" s="1399" t="s">
        <v>295</v>
      </c>
      <c r="B49" s="1399" t="s">
        <v>296</v>
      </c>
      <c r="C49" s="1399" t="s">
        <v>297</v>
      </c>
      <c r="D49" s="1399" t="s">
        <v>298</v>
      </c>
      <c r="E49" s="2192"/>
      <c r="F49" s="2192"/>
      <c r="G49" s="2192"/>
      <c r="H49" s="2192"/>
      <c r="I49" s="2219"/>
      <c r="J49" s="2219"/>
      <c r="K49" s="2189" t="str">
        <f>J48&amp;".1"</f>
        <v>....1.1.1</v>
      </c>
      <c r="L49" s="1400" t="s">
        <v>570</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571</v>
      </c>
      <c r="AN49" s="519">
        <f>STRCHECKDATE(V50:AL50)</f>
      </c>
      <c r="AO49" s="508"/>
      <c r="AP49" s="508" t="str">
        <f>IF(T49="","",T49)</f>
        <v/>
      </c>
      <c r="AQ49" s="508"/>
      <c r="AR49" s="508"/>
    </row>
    <row customHeight="1" ht="0.75">
      <c r="A50" s="1399" t="s">
        <v>295</v>
      </c>
      <c r="B50" s="1399" t="s">
        <v>296</v>
      </c>
      <c r="C50" s="1399" t="s">
        <v>297</v>
      </c>
      <c r="D50" s="1399" t="s">
        <v>298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295</v>
      </c>
      <c r="B51" s="1399" t="s">
        <v>296</v>
      </c>
      <c r="C51" s="1399" t="s">
        <v>297</v>
      </c>
      <c r="D51" s="1399" t="s">
        <v>298</v>
      </c>
      <c r="E51" s="2192"/>
      <c r="F51" s="2192"/>
      <c r="G51" s="2192"/>
      <c r="H51" s="2192"/>
      <c r="I51" s="2219"/>
      <c r="J51" s="2189"/>
      <c r="K51" s="1399"/>
      <c r="L51" s="1400"/>
      <c r="P51" s="2190"/>
      <c r="Q51" s="2190"/>
      <c r="R51" s="352"/>
      <c r="S51" s="1314"/>
      <c r="T51" s="276"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295</v>
      </c>
      <c r="B52" s="1399" t="s">
        <v>296</v>
      </c>
      <c r="C52" s="1399" t="s">
        <v>297</v>
      </c>
      <c r="D52" s="1399" t="s">
        <v>298</v>
      </c>
      <c r="E52" s="2192"/>
      <c r="F52" s="2192"/>
      <c r="G52" s="2192"/>
      <c r="H52" s="2192"/>
      <c r="I52" s="2189"/>
      <c r="J52" s="1399"/>
      <c r="K52" s="1399"/>
      <c r="L52" s="1400"/>
      <c r="P52" s="2190"/>
      <c r="Q52" s="1367"/>
      <c r="R52" s="352"/>
      <c r="S52" s="1314"/>
      <c r="T52" s="275"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295</v>
      </c>
      <c r="B53" s="1399" t="s">
        <v>296</v>
      </c>
      <c r="C53" s="1399" t="s">
        <v>297</v>
      </c>
      <c r="D53" s="1399" t="s">
        <v>298</v>
      </c>
      <c r="E53" s="2192"/>
      <c r="F53" s="2192"/>
      <c r="G53" s="2192"/>
      <c r="H53" s="2191"/>
      <c r="I53" s="1399"/>
      <c r="J53" s="1399"/>
      <c r="K53" s="1399"/>
      <c r="L53" s="1400"/>
      <c r="M53" s="1401"/>
      <c r="N53" s="1401"/>
      <c r="O53" s="545"/>
      <c r="P53" s="356"/>
      <c r="Q53" s="376"/>
      <c r="R53" s="351"/>
      <c r="S53" s="1314"/>
      <c r="T53" s="364" t="s">
        <v>574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295</v>
      </c>
      <c r="B54" s="1379" t="s">
        <v>296</v>
      </c>
      <c r="C54" s="1379" t="s">
        <v>297</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295</v>
      </c>
      <c r="B55" s="1379" t="s">
        <v>296</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295</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606</v>
      </c>
      <c r="T59" s="2218" t="s">
        <v>613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608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606</v>
      </c>
      <c r="T62" s="2218" t="s">
        <v>609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610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611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77AB-2216-D821-614C-A312918430D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7" width="32.00390625" customWidth="1"/>
    <col min="21" max="21" style="2867" width="0.140625" customWidth="1"/>
    <col min="22" max="22" style="2867" width="24.7109375" hidden="1" customWidth="1"/>
    <col min="23" max="23" style="2867" width="0.140625" hidden="1" customWidth="1"/>
    <col min="24" max="25" style="2867" width="24.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24.7109375" customWidth="1"/>
    <col min="31" max="31" style="2867" width="0.140625" customWidth="1"/>
    <col min="32" max="33" style="2867" width="24.710937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72">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08"/>
      <c r="Y39" s="2208"/>
      <c r="Z39" s="2208"/>
      <c r="AA39" s="2208"/>
      <c r="AB39" s="2209"/>
      <c r="AC39" s="2210" t="s">
        <v>588</v>
      </c>
      <c r="AD39" s="2207" t="s">
        <v>587</v>
      </c>
      <c r="AE39" s="2208"/>
      <c r="AF39" s="2208"/>
      <c r="AG39" s="2208"/>
      <c r="AH39" s="2208"/>
      <c r="AI39" s="2208"/>
      <c r="AJ39" s="2209"/>
      <c r="AK39" s="2210" t="s">
        <v>589</v>
      </c>
      <c r="AL39" s="2213" t="s">
        <v>590</v>
      </c>
      <c r="AM39" s="1966"/>
    </row>
    <row customHeight="1" ht="33.75">
      <c r="Q40" s="377"/>
      <c r="R40" s="377"/>
      <c r="S40" s="2206"/>
      <c r="T40" s="2047"/>
      <c r="U40" s="1044"/>
      <c r="V40" s="2193" t="s">
        <v>591</v>
      </c>
      <c r="W40" s="2216"/>
      <c r="X40" s="2195" t="s">
        <v>593</v>
      </c>
      <c r="Y40" s="2196"/>
      <c r="Z40" s="2195" t="s">
        <v>594</v>
      </c>
      <c r="AA40" s="2202"/>
      <c r="AB40" s="2196"/>
      <c r="AC40" s="2211"/>
      <c r="AD40" s="2193" t="s">
        <v>591</v>
      </c>
      <c r="AE40" s="2216"/>
      <c r="AF40" s="2195" t="s">
        <v>593</v>
      </c>
      <c r="AG40" s="2196"/>
      <c r="AH40" s="2195" t="s">
        <v>594</v>
      </c>
      <c r="AI40" s="2202"/>
      <c r="AJ40" s="2196"/>
      <c r="AK40" s="2211"/>
      <c r="AL40" s="2214"/>
      <c r="AM40" s="1966"/>
    </row>
    <row customHeight="1" ht="33.7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Q41" s="377"/>
      <c r="R41" s="377"/>
      <c r="S41" s="2206"/>
      <c r="T41" s="2047"/>
      <c r="U41" s="290"/>
      <c r="V41" s="2194"/>
      <c r="W41" s="2217"/>
      <c r="X41" s="1243" t="s">
        <v>602</v>
      </c>
      <c r="Y41" s="1243" t="s">
        <v>603</v>
      </c>
      <c r="Z41" s="1374" t="s">
        <v>604</v>
      </c>
      <c r="AA41" s="2203" t="s">
        <v>605</v>
      </c>
      <c r="AB41" s="2204"/>
      <c r="AC41" s="2212"/>
      <c r="AD41" s="2194"/>
      <c r="AE41" s="2217"/>
      <c r="AF41" s="1243" t="s">
        <v>602</v>
      </c>
      <c r="AG41" s="1243" t="s">
        <v>603</v>
      </c>
      <c r="AH41" s="1374" t="s">
        <v>604</v>
      </c>
      <c r="AI41" s="2203" t="s">
        <v>605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271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271</v>
      </c>
      <c r="B44" s="1399" t="s">
        <v>272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271</v>
      </c>
      <c r="B45" s="1399" t="s">
        <v>272</v>
      </c>
      <c r="C45" s="1399" t="s">
        <v>273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1">
      <c r="A46" s="1399" t="s">
        <v>271</v>
      </c>
      <c r="B46" s="1399" t="s">
        <v>272</v>
      </c>
      <c r="C46" s="1399" t="s">
        <v>273</v>
      </c>
      <c r="D46" s="1399" t="s">
        <v>274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s="2586" customFormat="1" customHeight="1" ht="0">
      <c r="A47" s="1379" t="s">
        <v>271</v>
      </c>
      <c r="B47" s="1379" t="s">
        <v>272</v>
      </c>
      <c r="C47" s="1379" t="s">
        <v>273</v>
      </c>
      <c r="D47" s="1379" t="s">
        <v>274</v>
      </c>
      <c r="E47" s="2192"/>
      <c r="F47" s="2192"/>
      <c r="G47" s="2192"/>
      <c r="H47" s="2192"/>
      <c r="I47" s="2189" t="str">
        <f>S46&amp;".1"</f>
        <v>....1</v>
      </c>
      <c r="J47" s="1379"/>
      <c r="K47" s="1379"/>
      <c r="L47" s="1382" t="s">
        <v>564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271</v>
      </c>
      <c r="B48" s="1399" t="s">
        <v>272</v>
      </c>
      <c r="C48" s="1399" t="s">
        <v>273</v>
      </c>
      <c r="D48" s="1399" t="s">
        <v>274</v>
      </c>
      <c r="E48" s="2192"/>
      <c r="F48" s="2192"/>
      <c r="G48" s="2192"/>
      <c r="H48" s="2192"/>
      <c r="I48" s="2219"/>
      <c r="J48" s="2189" t="str">
        <f>S46&amp;".1"</f>
        <v>....1</v>
      </c>
      <c r="K48" s="1399"/>
      <c r="L48" s="1400" t="s">
        <v>567</v>
      </c>
      <c r="P48" s="2190"/>
      <c r="Q48" s="2190">
        <v>1</v>
      </c>
      <c r="R48" s="353"/>
      <c r="S48" s="1372" t="str">
        <f>$J48</f>
        <v>....1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1">
      <c r="A49" s="1399" t="s">
        <v>271</v>
      </c>
      <c r="B49" s="1399" t="s">
        <v>272</v>
      </c>
      <c r="C49" s="1399" t="s">
        <v>273</v>
      </c>
      <c r="D49" s="1399" t="s">
        <v>274</v>
      </c>
      <c r="E49" s="2192"/>
      <c r="F49" s="2192"/>
      <c r="G49" s="2192"/>
      <c r="H49" s="2192"/>
      <c r="I49" s="2219"/>
      <c r="J49" s="2219"/>
      <c r="K49" s="2189" t="str">
        <f>J48&amp;".1"</f>
        <v>....1.1</v>
      </c>
      <c r="L49" s="1400" t="s">
        <v>570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614</v>
      </c>
      <c r="AN49" s="519">
        <f>STRCHECKDATE(V50:AL50)</f>
      </c>
      <c r="AO49" s="508"/>
      <c r="AP49" s="508" t="str">
        <f>IF(T49="","",T49)</f>
        <v/>
      </c>
      <c r="AQ49" s="508"/>
      <c r="AR49" s="508"/>
    </row>
    <row customHeight="1" ht="0.75">
      <c r="A50" s="1399" t="s">
        <v>271</v>
      </c>
      <c r="B50" s="1399" t="s">
        <v>272</v>
      </c>
      <c r="C50" s="1399" t="s">
        <v>273</v>
      </c>
      <c r="D50" s="1399" t="s">
        <v>274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271</v>
      </c>
      <c r="B51" s="1399" t="s">
        <v>272</v>
      </c>
      <c r="C51" s="1399" t="s">
        <v>273</v>
      </c>
      <c r="D51" s="1399" t="s">
        <v>274</v>
      </c>
      <c r="E51" s="2192"/>
      <c r="F51" s="2192"/>
      <c r="G51" s="2192"/>
      <c r="H51" s="2192"/>
      <c r="I51" s="2219"/>
      <c r="J51" s="2189"/>
      <c r="K51" s="1399"/>
      <c r="L51" s="1400"/>
      <c r="P51" s="2190"/>
      <c r="Q51" s="2190"/>
      <c r="R51" s="352"/>
      <c r="S51" s="1314"/>
      <c r="T51" s="275"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271</v>
      </c>
      <c r="B52" s="1399" t="s">
        <v>272</v>
      </c>
      <c r="C52" s="1399" t="s">
        <v>273</v>
      </c>
      <c r="D52" s="1399" t="s">
        <v>274</v>
      </c>
      <c r="E52" s="2192"/>
      <c r="F52" s="2192"/>
      <c r="G52" s="2192"/>
      <c r="H52" s="2192"/>
      <c r="I52" s="2189"/>
      <c r="J52" s="1399"/>
      <c r="K52" s="1399"/>
      <c r="L52" s="1400"/>
      <c r="P52" s="2190"/>
      <c r="Q52" s="1367"/>
      <c r="R52" s="352"/>
      <c r="S52" s="1314"/>
      <c r="T52" s="364"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271</v>
      </c>
      <c r="B53" s="1399" t="s">
        <v>272</v>
      </c>
      <c r="C53" s="1399" t="s">
        <v>273</v>
      </c>
      <c r="D53" s="1399" t="s">
        <v>274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271</v>
      </c>
      <c r="B54" s="1379" t="s">
        <v>272</v>
      </c>
      <c r="C54" s="1379" t="s">
        <v>273</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271</v>
      </c>
      <c r="B55" s="1379" t="s">
        <v>272</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271</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606</v>
      </c>
      <c r="T59" s="2218" t="s">
        <v>615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616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617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606</v>
      </c>
      <c r="T63" s="2230" t="s">
        <v>609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618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619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5EAD4-BB15-B945-8158-D524618EC15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7" width="32.00390625" customWidth="1"/>
    <col min="21" max="21" style="2867" width="0.140625" customWidth="1"/>
    <col min="22" max="22" style="2867" width="24.7109375" hidden="1" customWidth="1"/>
    <col min="23" max="23" style="2867" width="0.140625" hidden="1" customWidth="1"/>
    <col min="24" max="25" style="2867" width="24.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24.7109375" customWidth="1"/>
    <col min="31" max="31" style="2867" width="0.140625" customWidth="1"/>
    <col min="32" max="33" style="2867" width="24.710937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72">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08"/>
      <c r="Y39" s="2208"/>
      <c r="Z39" s="2208"/>
      <c r="AA39" s="2208"/>
      <c r="AB39" s="2209"/>
      <c r="AC39" s="2210" t="s">
        <v>588</v>
      </c>
      <c r="AD39" s="2207" t="s">
        <v>587</v>
      </c>
      <c r="AE39" s="2208"/>
      <c r="AF39" s="2208"/>
      <c r="AG39" s="2208"/>
      <c r="AH39" s="2208"/>
      <c r="AI39" s="2208"/>
      <c r="AJ39" s="2209"/>
      <c r="AK39" s="2210" t="s">
        <v>589</v>
      </c>
      <c r="AL39" s="2213" t="s">
        <v>590</v>
      </c>
      <c r="AM39" s="1966"/>
    </row>
    <row customHeight="1" ht="33.75">
      <c r="Q40" s="377"/>
      <c r="R40" s="377"/>
      <c r="S40" s="2206"/>
      <c r="T40" s="2047"/>
      <c r="U40" s="1044"/>
      <c r="V40" s="2193" t="s">
        <v>591</v>
      </c>
      <c r="W40" s="2216"/>
      <c r="X40" s="2195" t="s">
        <v>593</v>
      </c>
      <c r="Y40" s="2196"/>
      <c r="Z40" s="2195" t="s">
        <v>594</v>
      </c>
      <c r="AA40" s="2202"/>
      <c r="AB40" s="2196"/>
      <c r="AC40" s="2211"/>
      <c r="AD40" s="2193" t="s">
        <v>591</v>
      </c>
      <c r="AE40" s="2216"/>
      <c r="AF40" s="2195" t="s">
        <v>593</v>
      </c>
      <c r="AG40" s="2196"/>
      <c r="AH40" s="2195" t="s">
        <v>594</v>
      </c>
      <c r="AI40" s="2202"/>
      <c r="AJ40" s="2196"/>
      <c r="AK40" s="2211"/>
      <c r="AL40" s="2214"/>
      <c r="AM40" s="1966"/>
    </row>
    <row customHeight="1" ht="33.7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Q41" s="377"/>
      <c r="R41" s="377"/>
      <c r="S41" s="2206"/>
      <c r="T41" s="2047"/>
      <c r="U41" s="290"/>
      <c r="V41" s="2194"/>
      <c r="W41" s="2217"/>
      <c r="X41" s="1243" t="s">
        <v>602</v>
      </c>
      <c r="Y41" s="1243" t="s">
        <v>603</v>
      </c>
      <c r="Z41" s="1374" t="s">
        <v>604</v>
      </c>
      <c r="AA41" s="2203" t="s">
        <v>605</v>
      </c>
      <c r="AB41" s="2204"/>
      <c r="AC41" s="2212"/>
      <c r="AD41" s="2194"/>
      <c r="AE41" s="2217"/>
      <c r="AF41" s="1243" t="s">
        <v>602</v>
      </c>
      <c r="AG41" s="1243" t="s">
        <v>603</v>
      </c>
      <c r="AH41" s="1374" t="s">
        <v>604</v>
      </c>
      <c r="AI41" s="2203" t="s">
        <v>605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283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283</v>
      </c>
      <c r="B44" s="1399" t="s">
        <v>284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283</v>
      </c>
      <c r="B45" s="1399" t="s">
        <v>284</v>
      </c>
      <c r="C45" s="1399" t="s">
        <v>285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1">
      <c r="A46" s="1399" t="s">
        <v>283</v>
      </c>
      <c r="B46" s="1399" t="s">
        <v>284</v>
      </c>
      <c r="C46" s="1399" t="s">
        <v>285</v>
      </c>
      <c r="D46" s="1399" t="s">
        <v>286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s="2586" customFormat="1" customHeight="1" ht="0">
      <c r="A47" s="1379" t="s">
        <v>283</v>
      </c>
      <c r="B47" s="1379" t="s">
        <v>284</v>
      </c>
      <c r="C47" s="1379" t="s">
        <v>285</v>
      </c>
      <c r="D47" s="1379" t="s">
        <v>286</v>
      </c>
      <c r="E47" s="2192"/>
      <c r="F47" s="2192"/>
      <c r="G47" s="2192"/>
      <c r="H47" s="2192"/>
      <c r="I47" s="2189" t="str">
        <f>S46&amp;".1"</f>
        <v>....1</v>
      </c>
      <c r="J47" s="1379"/>
      <c r="K47" s="1379"/>
      <c r="L47" s="1382" t="s">
        <v>564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283</v>
      </c>
      <c r="B48" s="1399" t="s">
        <v>284</v>
      </c>
      <c r="C48" s="1399" t="s">
        <v>285</v>
      </c>
      <c r="D48" s="1399" t="s">
        <v>286</v>
      </c>
      <c r="E48" s="2192"/>
      <c r="F48" s="2192"/>
      <c r="G48" s="2192"/>
      <c r="H48" s="2192"/>
      <c r="I48" s="2219"/>
      <c r="J48" s="2189" t="str">
        <f>S46&amp;".1"</f>
        <v>....1</v>
      </c>
      <c r="K48" s="1399"/>
      <c r="L48" s="1400" t="s">
        <v>567</v>
      </c>
      <c r="P48" s="2190"/>
      <c r="Q48" s="2190">
        <v>1</v>
      </c>
      <c r="R48" s="353"/>
      <c r="S48" s="1372" t="str">
        <f>$J48</f>
        <v>....1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1">
      <c r="A49" s="1399" t="s">
        <v>283</v>
      </c>
      <c r="B49" s="1399" t="s">
        <v>284</v>
      </c>
      <c r="C49" s="1399" t="s">
        <v>285</v>
      </c>
      <c r="D49" s="1399" t="s">
        <v>286</v>
      </c>
      <c r="E49" s="2192"/>
      <c r="F49" s="2192"/>
      <c r="G49" s="2192"/>
      <c r="H49" s="2192"/>
      <c r="I49" s="2219"/>
      <c r="J49" s="2219"/>
      <c r="K49" s="2189" t="str">
        <f>J48&amp;".1"</f>
        <v>....1.1</v>
      </c>
      <c r="L49" s="1400" t="s">
        <v>570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614</v>
      </c>
      <c r="AN49" s="519">
        <f>STRCHECKDATE(V50:AL50)</f>
      </c>
      <c r="AO49" s="508"/>
      <c r="AP49" s="508" t="str">
        <f>IF(T49="","",T49)</f>
        <v/>
      </c>
      <c r="AQ49" s="508"/>
      <c r="AR49" s="508"/>
    </row>
    <row customHeight="1" ht="0.75">
      <c r="A50" s="1399" t="s">
        <v>283</v>
      </c>
      <c r="B50" s="1399" t="s">
        <v>284</v>
      </c>
      <c r="C50" s="1399" t="s">
        <v>285</v>
      </c>
      <c r="D50" s="1399" t="s">
        <v>286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283</v>
      </c>
      <c r="B51" s="1399" t="s">
        <v>284</v>
      </c>
      <c r="C51" s="1399" t="s">
        <v>285</v>
      </c>
      <c r="D51" s="1399" t="s">
        <v>286</v>
      </c>
      <c r="E51" s="2192"/>
      <c r="F51" s="2192"/>
      <c r="G51" s="2192"/>
      <c r="H51" s="2192"/>
      <c r="I51" s="2219"/>
      <c r="J51" s="2189"/>
      <c r="K51" s="1399"/>
      <c r="L51" s="1400"/>
      <c r="P51" s="2190"/>
      <c r="Q51" s="2190"/>
      <c r="R51" s="352"/>
      <c r="S51" s="1314"/>
      <c r="T51" s="275"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283</v>
      </c>
      <c r="B52" s="1399" t="s">
        <v>284</v>
      </c>
      <c r="C52" s="1399" t="s">
        <v>285</v>
      </c>
      <c r="D52" s="1399" t="s">
        <v>286</v>
      </c>
      <c r="E52" s="2192"/>
      <c r="F52" s="2192"/>
      <c r="G52" s="2192"/>
      <c r="H52" s="2192"/>
      <c r="I52" s="2189"/>
      <c r="J52" s="1399"/>
      <c r="K52" s="1399"/>
      <c r="L52" s="1400"/>
      <c r="P52" s="2190"/>
      <c r="Q52" s="1367"/>
      <c r="R52" s="352"/>
      <c r="S52" s="1314"/>
      <c r="T52" s="364"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283</v>
      </c>
      <c r="B53" s="1399" t="s">
        <v>284</v>
      </c>
      <c r="C53" s="1399" t="s">
        <v>285</v>
      </c>
      <c r="D53" s="1399" t="s">
        <v>286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283</v>
      </c>
      <c r="B54" s="1379" t="s">
        <v>284</v>
      </c>
      <c r="C54" s="1379" t="s">
        <v>285</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283</v>
      </c>
      <c r="B55" s="1379" t="s">
        <v>284</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283</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606</v>
      </c>
      <c r="T59" s="2218" t="s">
        <v>615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616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617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606</v>
      </c>
      <c r="T63" s="2230" t="s">
        <v>609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618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619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D0477-2B9B-BD33-8888-7624E046421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7" width="32.00390625" customWidth="1"/>
    <col min="21" max="21" style="2867" width="0.140625" customWidth="1"/>
    <col min="22" max="22" style="2867" width="24.7109375" hidden="1" customWidth="1"/>
    <col min="23" max="23" style="2867" width="0.140625" hidden="1" customWidth="1"/>
    <col min="24" max="25" style="2867" width="24.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0" style="2867" width="24.7109375" customWidth="1"/>
    <col min="31" max="31" style="2867" width="0.140625" customWidth="1"/>
    <col min="32" max="33" style="2867" width="24.7109375" customWidth="1"/>
    <col min="34" max="34" style="2867" width="11.7109375" customWidth="1"/>
    <col min="35" max="35" style="2867" width="3.7109375" customWidth="1"/>
    <col min="36" max="36" style="2867" width="11.7109375" customWidth="1"/>
    <col min="37" max="37" style="2867" width="8.57421875" hidden="1" customWidth="1"/>
    <col min="38" max="38" style="2867" width="4.7109375" customWidth="1"/>
    <col min="39" max="39" style="2867"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232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567</v>
      </c>
      <c r="M7" s="545"/>
      <c r="N7" s="1402"/>
      <c r="P7" s="2190"/>
      <c r="Q7" s="2190">
        <v>1</v>
      </c>
      <c r="R7" s="353"/>
      <c r="S7" s="1372">
        <f>$J7</f>
      </c>
      <c r="T7" s="274" t="s">
        <v>568</v>
      </c>
      <c r="U7" s="288"/>
      <c r="V7" s="2178"/>
      <c r="W7" s="2179"/>
      <c r="X7" s="2179"/>
      <c r="Y7" s="2179"/>
      <c r="Z7" s="2179"/>
      <c r="AA7" s="2179"/>
      <c r="AB7" s="2179"/>
      <c r="AC7" s="2180"/>
      <c r="AD7" s="2178"/>
      <c r="AE7" s="2179"/>
      <c r="AF7" s="2179"/>
      <c r="AG7" s="2179"/>
      <c r="AH7" s="2179"/>
      <c r="AI7" s="2179"/>
      <c r="AJ7" s="2179"/>
      <c r="AK7" s="2179"/>
      <c r="AL7" s="2180"/>
      <c r="AM7" s="1292" t="s">
        <v>569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570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531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532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533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575</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576</v>
      </c>
      <c r="P22" s="1398"/>
      <c r="Q22" s="1407"/>
      <c r="R22" s="1407"/>
      <c r="S22" s="738"/>
      <c r="T22" s="1174" t="s">
        <v>577</v>
      </c>
      <c r="AA22" s="172" t="s">
        <v>578</v>
      </c>
      <c r="AC22" s="172" t="s">
        <v>579</v>
      </c>
      <c r="AD22" s="1174" t="s">
        <v>577</v>
      </c>
      <c r="AI22" s="172" t="s">
        <v>580</v>
      </c>
      <c r="AK22" s="172" t="s">
        <v>579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ГУП СК "Ставрополькрайводоканал"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581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582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583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25.5" hidden="1">
      <c r="A35" s="1404"/>
      <c r="B35" s="1404"/>
      <c r="C35" s="1404"/>
      <c r="D35" s="1404"/>
      <c r="E35" s="1404"/>
      <c r="F35" s="1404"/>
      <c r="G35" s="1404"/>
      <c r="H35" s="1404"/>
      <c r="I35" s="1404"/>
      <c r="J35" s="1404"/>
      <c r="K35" s="1404"/>
      <c r="L35" s="1405"/>
      <c r="M35" s="1404"/>
      <c r="N35" s="1404"/>
      <c r="O35" s="1404"/>
      <c r="S35" s="2183" t="s">
        <v>584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585</v>
      </c>
      <c r="AD36" s="322"/>
      <c r="AE36" s="322"/>
      <c r="AF36" s="322"/>
      <c r="AG36" s="322"/>
      <c r="AH36" s="322"/>
      <c r="AI36" s="322"/>
      <c r="AJ36" s="322"/>
      <c r="AK36" s="266" t="s">
        <v>585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390</v>
      </c>
    </row>
    <row customHeight="1" ht="14.25">
      <c r="Q39" s="377"/>
      <c r="R39" s="377"/>
      <c r="S39" s="2206" t="s">
        <v>88</v>
      </c>
      <c r="T39" s="2047" t="s">
        <v>586</v>
      </c>
      <c r="U39" s="289"/>
      <c r="V39" s="2207" t="s">
        <v>587</v>
      </c>
      <c r="W39" s="2208"/>
      <c r="X39" s="2208"/>
      <c r="Y39" s="2208"/>
      <c r="Z39" s="2208"/>
      <c r="AA39" s="2208"/>
      <c r="AB39" s="2209"/>
      <c r="AC39" s="2210" t="s">
        <v>588</v>
      </c>
      <c r="AD39" s="2207" t="s">
        <v>587</v>
      </c>
      <c r="AE39" s="2208"/>
      <c r="AF39" s="2208"/>
      <c r="AG39" s="2208"/>
      <c r="AH39" s="2208"/>
      <c r="AI39" s="2208"/>
      <c r="AJ39" s="2209"/>
      <c r="AK39" s="2210" t="s">
        <v>589</v>
      </c>
      <c r="AL39" s="2213" t="s">
        <v>590</v>
      </c>
      <c r="AM39" s="1966"/>
    </row>
    <row customHeight="1" ht="33.75">
      <c r="Q40" s="377"/>
      <c r="R40" s="377"/>
      <c r="S40" s="2206"/>
      <c r="T40" s="2047"/>
      <c r="U40" s="1044"/>
      <c r="V40" s="2193" t="s">
        <v>591</v>
      </c>
      <c r="W40" s="2216"/>
      <c r="X40" s="2195" t="s">
        <v>593</v>
      </c>
      <c r="Y40" s="2196"/>
      <c r="Z40" s="2195" t="s">
        <v>594</v>
      </c>
      <c r="AA40" s="2202"/>
      <c r="AB40" s="2196"/>
      <c r="AC40" s="2211"/>
      <c r="AD40" s="2193" t="s">
        <v>591</v>
      </c>
      <c r="AE40" s="2216"/>
      <c r="AF40" s="2195" t="s">
        <v>593</v>
      </c>
      <c r="AG40" s="2196"/>
      <c r="AH40" s="2195" t="s">
        <v>594</v>
      </c>
      <c r="AI40" s="2202"/>
      <c r="AJ40" s="2196"/>
      <c r="AK40" s="2211"/>
      <c r="AL40" s="2214"/>
      <c r="AM40" s="1966"/>
    </row>
    <row customHeight="1" ht="33.75">
      <c r="A41" s="1406"/>
      <c r="B41" s="1406" t="s">
        <v>244</v>
      </c>
      <c r="C41" s="1406" t="s">
        <v>245</v>
      </c>
      <c r="D41" s="1406" t="s">
        <v>246</v>
      </c>
      <c r="E41" s="1400" t="s">
        <v>595</v>
      </c>
      <c r="F41" s="1400" t="s">
        <v>596</v>
      </c>
      <c r="G41" s="1400" t="s">
        <v>597</v>
      </c>
      <c r="H41" s="1400" t="s">
        <v>598</v>
      </c>
      <c r="I41" s="1400" t="s">
        <v>599</v>
      </c>
      <c r="J41" s="1400" t="s">
        <v>600</v>
      </c>
      <c r="K41" s="1400" t="s">
        <v>601</v>
      </c>
      <c r="L41" s="1400" t="s">
        <v>576</v>
      </c>
      <c r="Q41" s="377"/>
      <c r="R41" s="377"/>
      <c r="S41" s="2206"/>
      <c r="T41" s="2047"/>
      <c r="U41" s="290"/>
      <c r="V41" s="2194"/>
      <c r="W41" s="2217"/>
      <c r="X41" s="1243" t="s">
        <v>602</v>
      </c>
      <c r="Y41" s="1243" t="s">
        <v>603</v>
      </c>
      <c r="Z41" s="1374" t="s">
        <v>604</v>
      </c>
      <c r="AA41" s="2203" t="s">
        <v>605</v>
      </c>
      <c r="AB41" s="2204"/>
      <c r="AC41" s="2212"/>
      <c r="AD41" s="2194"/>
      <c r="AE41" s="2217"/>
      <c r="AF41" s="1243" t="s">
        <v>602</v>
      </c>
      <c r="AG41" s="1243" t="s">
        <v>603</v>
      </c>
      <c r="AH41" s="1374" t="s">
        <v>604</v>
      </c>
      <c r="AI41" s="2203" t="s">
        <v>605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159</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289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232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289</v>
      </c>
      <c r="B44" s="1399" t="s">
        <v>290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559</v>
      </c>
      <c r="AO44" s="508"/>
      <c r="AP44" s="508" t="str">
        <f>IF(T44="","",T44)</f>
        <v>Территория действия тарифа</v>
      </c>
      <c r="AQ44" s="508"/>
      <c r="AR44" s="508"/>
    </row>
    <row customHeight="1" ht="23.25">
      <c r="A45" s="1399" t="s">
        <v>289</v>
      </c>
      <c r="B45" s="1399" t="s">
        <v>290</v>
      </c>
      <c r="C45" s="1399" t="s">
        <v>291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561</v>
      </c>
      <c r="AO45" s="508"/>
      <c r="AP45" s="508" t="str">
        <f>IF(T45="","",T45)</f>
        <v>Наименование системы теплоснабжения </v>
      </c>
      <c r="AQ45" s="508"/>
      <c r="AR45" s="508"/>
    </row>
    <row customHeight="1" ht="21">
      <c r="A46" s="1399" t="s">
        <v>289</v>
      </c>
      <c r="B46" s="1399" t="s">
        <v>290</v>
      </c>
      <c r="C46" s="1399" t="s">
        <v>291</v>
      </c>
      <c r="D46" s="1399" t="s">
        <v>292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563</v>
      </c>
      <c r="AO46" s="508"/>
      <c r="AP46" s="508" t="str">
        <f>IF(T46="","",T46)</f>
        <v>Источник тепловой энергии  </v>
      </c>
      <c r="AQ46" s="508"/>
      <c r="AR46" s="508"/>
    </row>
    <row s="2586" customFormat="1" customHeight="1" ht="0">
      <c r="A47" s="1379" t="s">
        <v>289</v>
      </c>
      <c r="B47" s="1379" t="s">
        <v>290</v>
      </c>
      <c r="C47" s="1379" t="s">
        <v>291</v>
      </c>
      <c r="D47" s="1379" t="s">
        <v>292</v>
      </c>
      <c r="E47" s="2192"/>
      <c r="F47" s="2192"/>
      <c r="G47" s="2192"/>
      <c r="H47" s="2192"/>
      <c r="I47" s="2189" t="str">
        <f>S46&amp;".1"</f>
        <v>....1</v>
      </c>
      <c r="J47" s="1379"/>
      <c r="K47" s="1379"/>
      <c r="L47" s="1382" t="s">
        <v>564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289</v>
      </c>
      <c r="B48" s="1399" t="s">
        <v>290</v>
      </c>
      <c r="C48" s="1399" t="s">
        <v>291</v>
      </c>
      <c r="D48" s="1399" t="s">
        <v>292</v>
      </c>
      <c r="E48" s="2192"/>
      <c r="F48" s="2192"/>
      <c r="G48" s="2192"/>
      <c r="H48" s="2192"/>
      <c r="I48" s="2219"/>
      <c r="J48" s="2189" t="str">
        <f>S46&amp;".1"</f>
        <v>....1</v>
      </c>
      <c r="K48" s="1399"/>
      <c r="L48" s="1400" t="s">
        <v>567</v>
      </c>
      <c r="P48" s="2190"/>
      <c r="Q48" s="2190">
        <v>1</v>
      </c>
      <c r="R48" s="353"/>
      <c r="S48" s="1372" t="str">
        <f>$J48</f>
        <v>....1</v>
      </c>
      <c r="T48" s="274" t="s">
        <v>568</v>
      </c>
      <c r="U48" s="288"/>
      <c r="V48" s="2178"/>
      <c r="W48" s="2179"/>
      <c r="X48" s="2179"/>
      <c r="Y48" s="2179"/>
      <c r="Z48" s="2179"/>
      <c r="AA48" s="2179"/>
      <c r="AB48" s="2179"/>
      <c r="AC48" s="2180"/>
      <c r="AD48" s="2178"/>
      <c r="AE48" s="2179"/>
      <c r="AF48" s="2179"/>
      <c r="AG48" s="2179"/>
      <c r="AH48" s="2179"/>
      <c r="AI48" s="2179"/>
      <c r="AJ48" s="2179"/>
      <c r="AK48" s="2179"/>
      <c r="AL48" s="2180"/>
      <c r="AM48" s="1292" t="s">
        <v>569</v>
      </c>
      <c r="AO48" s="508"/>
      <c r="AP48" s="508" t="str">
        <f>IF(T48="","",T48)</f>
        <v>Группа потребителей</v>
      </c>
      <c r="AQ48" s="508"/>
      <c r="AR48" s="508"/>
    </row>
    <row customHeight="1" ht="21">
      <c r="A49" s="1399" t="s">
        <v>289</v>
      </c>
      <c r="B49" s="1399" t="s">
        <v>290</v>
      </c>
      <c r="C49" s="1399" t="s">
        <v>291</v>
      </c>
      <c r="D49" s="1399" t="s">
        <v>292</v>
      </c>
      <c r="E49" s="2192"/>
      <c r="F49" s="2192"/>
      <c r="G49" s="2192"/>
      <c r="H49" s="2192"/>
      <c r="I49" s="2219"/>
      <c r="J49" s="2219"/>
      <c r="K49" s="2189" t="str">
        <f>J48&amp;".1"</f>
        <v>....1.1</v>
      </c>
      <c r="L49" s="1400" t="s">
        <v>570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614</v>
      </c>
      <c r="AN49" s="519">
        <f>STRCHECKDATE(V50:AL50)</f>
      </c>
      <c r="AO49" s="508"/>
      <c r="AP49" s="508" t="str">
        <f>IF(T49="","",T49)</f>
        <v/>
      </c>
      <c r="AQ49" s="508"/>
      <c r="AR49" s="508"/>
    </row>
    <row customHeight="1" ht="0">
      <c r="A50" s="1399" t="s">
        <v>289</v>
      </c>
      <c r="B50" s="1399" t="s">
        <v>290</v>
      </c>
      <c r="C50" s="1399" t="s">
        <v>291</v>
      </c>
      <c r="D50" s="1399" t="s">
        <v>292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289</v>
      </c>
      <c r="B51" s="1399" t="s">
        <v>290</v>
      </c>
      <c r="C51" s="1399" t="s">
        <v>291</v>
      </c>
      <c r="D51" s="1399" t="s">
        <v>292</v>
      </c>
      <c r="E51" s="2192"/>
      <c r="F51" s="2192"/>
      <c r="G51" s="2192"/>
      <c r="H51" s="2192"/>
      <c r="I51" s="2219"/>
      <c r="J51" s="2189"/>
      <c r="K51" s="1399"/>
      <c r="L51" s="1400"/>
      <c r="P51" s="2190"/>
      <c r="Q51" s="2190"/>
      <c r="R51" s="352"/>
      <c r="S51" s="1314"/>
      <c r="T51" s="275" t="s">
        <v>572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289</v>
      </c>
      <c r="B52" s="1399" t="s">
        <v>290</v>
      </c>
      <c r="C52" s="1399" t="s">
        <v>291</v>
      </c>
      <c r="D52" s="1399" t="s">
        <v>292</v>
      </c>
      <c r="E52" s="2192"/>
      <c r="F52" s="2192"/>
      <c r="G52" s="2192"/>
      <c r="H52" s="2192"/>
      <c r="I52" s="2189"/>
      <c r="J52" s="1399"/>
      <c r="K52" s="1399"/>
      <c r="L52" s="1400"/>
      <c r="P52" s="2190"/>
      <c r="Q52" s="1367"/>
      <c r="R52" s="352"/>
      <c r="S52" s="1314"/>
      <c r="T52" s="364" t="s">
        <v>573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289</v>
      </c>
      <c r="B53" s="1399" t="s">
        <v>290</v>
      </c>
      <c r="C53" s="1399" t="s">
        <v>291</v>
      </c>
      <c r="D53" s="1399" t="s">
        <v>292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
      <c r="A54" s="1379" t="s">
        <v>289</v>
      </c>
      <c r="B54" s="1379" t="s">
        <v>290</v>
      </c>
      <c r="C54" s="1379" t="s">
        <v>291</v>
      </c>
      <c r="D54" s="1350"/>
      <c r="E54" s="2192"/>
      <c r="F54" s="2192"/>
      <c r="G54" s="2191"/>
      <c r="H54" s="1350"/>
      <c r="I54" s="1350"/>
      <c r="J54" s="1350"/>
      <c r="K54" s="1350"/>
      <c r="L54" s="1375"/>
      <c r="M54" s="1351"/>
      <c r="N54" s="1351"/>
      <c r="P54" s="1352"/>
      <c r="Q54" s="1353"/>
      <c r="R54" s="1352"/>
      <c r="S54" s="1358"/>
      <c r="T54" s="1361" t="s">
        <v>531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
      <c r="A55" s="1379" t="s">
        <v>289</v>
      </c>
      <c r="B55" s="1379" t="s">
        <v>290</v>
      </c>
      <c r="C55" s="1350"/>
      <c r="D55" s="1350"/>
      <c r="E55" s="2192"/>
      <c r="F55" s="2191"/>
      <c r="G55" s="1350"/>
      <c r="H55" s="1350"/>
      <c r="I55" s="1350"/>
      <c r="J55" s="1350"/>
      <c r="K55" s="1350"/>
      <c r="L55" s="1375"/>
      <c r="M55" s="1357"/>
      <c r="N55" s="1357"/>
      <c r="P55" s="1352"/>
      <c r="Q55" s="1353"/>
      <c r="R55" s="1352"/>
      <c r="S55" s="1358"/>
      <c r="T55" s="1361" t="s">
        <v>532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289</v>
      </c>
      <c r="B56" s="1379"/>
      <c r="C56" s="1379"/>
      <c r="D56" s="1379"/>
      <c r="E56" s="2191"/>
      <c r="F56" s="1379"/>
      <c r="G56" s="1379"/>
      <c r="H56" s="1379"/>
      <c r="I56" s="1379"/>
      <c r="J56" s="1379"/>
      <c r="K56" s="1379"/>
      <c r="L56" s="1382"/>
      <c r="M56" s="1357"/>
      <c r="N56" s="1357"/>
      <c r="O56" s="526"/>
      <c r="P56" s="385"/>
      <c r="Q56" s="1380"/>
      <c r="R56" s="385"/>
      <c r="S56" s="1358"/>
      <c r="T56" s="1361" t="s">
        <v>533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534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606</v>
      </c>
      <c r="T59" s="2218" t="s">
        <v>615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616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617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606</v>
      </c>
      <c r="T63" s="2230" t="s">
        <v>609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618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619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4D2CF-C343-E822-9562-4016059F73E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7" width="10.57421875" hidden="1"/>
    <col min="2" max="2" style="2867" width="11.00390625" hidden="1" customWidth="1"/>
    <col min="3" max="3" style="2867" width="10.57421875" hidden="1"/>
    <col min="4" max="4" style="2867" width="11.8515625" hidden="1" customWidth="1"/>
    <col min="5" max="5" style="2867" width="10.00390625" hidden="1" customWidth="1"/>
    <col min="6" max="6" style="2867" width="8.7109375" hidden="1" customWidth="1"/>
    <col min="7" max="7" style="2867" width="7.57421875" hidden="1" customWidth="1"/>
    <col min="8" max="8" style="2867" width="11.421875" hidden="1" customWidth="1"/>
    <col min="9" max="9" style="2867" width="12.00390625" hidden="1" customWidth="1"/>
    <col min="10" max="10" style="2867" width="9.8515625" hidden="1" customWidth="1"/>
    <col min="11" max="12" style="2867" width="11.421875" hidden="1" customWidth="1"/>
    <col min="13" max="13" style="3746" width="19.140625" hidden="1" customWidth="1"/>
    <col min="14" max="15" style="3636" width="12.28125" hidden="1" customWidth="1"/>
    <col min="16" max="16" style="3636" width="23.421875" hidden="1" customWidth="1"/>
    <col min="17" max="17" style="3636" width="3.7109375" hidden="1" customWidth="1"/>
    <col min="18" max="20" style="3692" width="3.7109375" customWidth="1"/>
    <col min="21" max="21" style="3693" width="12.7109375" customWidth="1"/>
    <col min="22" max="22" style="2867" width="32.00390625" customWidth="1"/>
    <col min="23" max="23" style="2867" width="0.140625" customWidth="1"/>
    <col min="24" max="28" style="2867" width="21.7109375" hidden="1" customWidth="1"/>
    <col min="29" max="29" style="2867" width="11.7109375" hidden="1" customWidth="1"/>
    <col min="30" max="30" style="2867" width="3.7109375" hidden="1" customWidth="1"/>
    <col min="31" max="31" style="2867" width="11.7109375" hidden="1" customWidth="1"/>
    <col min="32" max="32" style="2867" width="8.57421875" hidden="1" customWidth="1"/>
    <col min="33" max="37" style="2867" width="21.7109375" customWidth="1"/>
    <col min="38" max="38" style="2867" width="11.7109375" customWidth="1"/>
    <col min="39" max="39" style="2867" width="3.7109375" customWidth="1"/>
    <col min="40" max="40" style="2867" width="11.7109375" customWidth="1"/>
    <col min="41" max="41" style="2867" width="8.57421875" customWidth="1"/>
    <col min="42" max="42" style="2867" width="4.7109375" customWidth="1"/>
    <col min="43" max="43" style="2867"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232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557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558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559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560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561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562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563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564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567</v>
      </c>
      <c r="N7" s="517"/>
      <c r="O7" s="323"/>
      <c r="Q7" s="2190"/>
      <c r="R7" s="2190">
        <v>1</v>
      </c>
      <c r="S7" s="526"/>
      <c r="T7" s="353"/>
      <c r="U7" s="1372">
        <f>$J7</f>
      </c>
      <c r="V7" s="274" t="s">
        <v>568</v>
      </c>
      <c r="W7" s="288"/>
      <c r="X7" s="2178"/>
      <c r="Y7" s="2179"/>
      <c r="Z7" s="2179"/>
      <c r="AA7" s="2179"/>
      <c r="AB7" s="2179"/>
      <c r="AC7" s="2074"/>
      <c r="AD7" s="2074"/>
      <c r="AE7" s="2074"/>
      <c r="AF7" s="2233"/>
      <c r="AG7" s="2178"/>
      <c r="AH7" s="2179"/>
      <c r="AI7" s="2179"/>
      <c r="AJ7" s="2179"/>
      <c r="AK7" s="2179"/>
      <c r="AL7" s="2179"/>
      <c r="AM7" s="2179"/>
      <c r="AN7" s="2179"/>
      <c r="AO7" s="2179"/>
      <c r="AP7" s="2180"/>
      <c r="AQ7" s="1292" t="s">
        <v>569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570</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620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621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622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572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573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7"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531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7"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532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7"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533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0" customFormat="1" customHeight="1" ht="22.5" hidden="1">
      <c r="A24" s="1169"/>
      <c r="B24" s="1169"/>
      <c r="C24" s="1169"/>
      <c r="D24" s="1169"/>
      <c r="E24" s="1169"/>
      <c r="F24" s="1169"/>
      <c r="G24" s="1169"/>
      <c r="H24" s="1169"/>
      <c r="I24" s="1169"/>
      <c r="J24" s="1169"/>
      <c r="K24" s="1169"/>
      <c r="L24" s="1169"/>
      <c r="M24" s="1363"/>
      <c r="N24" s="1364"/>
      <c r="O24" s="1364"/>
      <c r="P24" s="1381" t="s">
        <v>575</v>
      </c>
      <c r="Q24" s="1398"/>
      <c r="R24" s="1407"/>
      <c r="S24" s="1407"/>
      <c r="T24" s="1407"/>
      <c r="U24" s="738"/>
      <c r="AC24" s="1403"/>
      <c r="AE24" s="1403"/>
      <c r="AF24" s="1402"/>
      <c r="AL24" s="1403"/>
      <c r="AN24" s="1403"/>
      <c r="AO24" s="1402"/>
      <c r="AR24" s="519"/>
      <c r="AS24" s="519"/>
      <c r="AT24" s="519"/>
      <c r="AU24" s="519"/>
      <c r="AV24" s="519"/>
    </row>
    <row s="265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0" customFormat="1" customHeight="1" ht="14.25" hidden="1">
      <c r="A26" s="1169"/>
      <c r="B26" s="1169"/>
      <c r="C26" s="1169"/>
      <c r="D26" s="1169"/>
      <c r="E26" s="1169"/>
      <c r="F26" s="1169"/>
      <c r="G26" s="1169"/>
      <c r="H26" s="1169"/>
      <c r="I26" s="1169"/>
      <c r="J26" s="1169"/>
      <c r="K26" s="1169"/>
      <c r="L26" s="1169"/>
      <c r="M26" s="1363"/>
      <c r="N26" s="1364"/>
      <c r="O26" s="1364"/>
      <c r="P26" s="1346" t="s">
        <v>576</v>
      </c>
      <c r="Q26" s="1398"/>
      <c r="R26" s="1407"/>
      <c r="S26" s="1407"/>
      <c r="T26" s="1407"/>
      <c r="U26" s="738"/>
      <c r="V26" s="1174" t="s">
        <v>577</v>
      </c>
      <c r="AD26" s="172" t="s">
        <v>578</v>
      </c>
      <c r="AF26" s="172" t="s">
        <v>579</v>
      </c>
      <c r="AG26" s="1174" t="s">
        <v>577</v>
      </c>
      <c r="AM26" s="172" t="s">
        <v>580</v>
      </c>
      <c r="AO26" s="172" t="s">
        <v>579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ГУП СК "Ставрополькрайводоканал"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6"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6" customFormat="1" customHeight="1" ht="18.75" hidden="1">
      <c r="A34" s="1273"/>
      <c r="B34" s="1273"/>
      <c r="C34" s="1273"/>
      <c r="D34" s="1273"/>
      <c r="E34" s="1273"/>
      <c r="F34" s="1273"/>
      <c r="G34" s="1273"/>
      <c r="H34" s="1273"/>
      <c r="I34" s="1273"/>
      <c r="J34" s="1273"/>
      <c r="K34" s="1273"/>
      <c r="L34" s="1273"/>
      <c r="M34" s="1416"/>
      <c r="N34" s="1273"/>
      <c r="O34" s="1273"/>
      <c r="P34" s="1273"/>
      <c r="U34" s="2183" t="s">
        <v>581</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6" customFormat="1" customHeight="1" ht="18.75" hidden="1">
      <c r="A35" s="1273"/>
      <c r="B35" s="1273"/>
      <c r="C35" s="1273"/>
      <c r="D35" s="1273"/>
      <c r="E35" s="1273"/>
      <c r="F35" s="1273"/>
      <c r="G35" s="1273"/>
      <c r="H35" s="1273"/>
      <c r="I35" s="1273"/>
      <c r="J35" s="1273"/>
      <c r="K35" s="1273"/>
      <c r="L35" s="1273"/>
      <c r="M35" s="1416"/>
      <c r="N35" s="1273"/>
      <c r="O35" s="1273"/>
      <c r="P35" s="1273"/>
      <c r="U35" s="2183" t="s">
        <v>582</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6"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6" customFormat="1" customHeight="1" ht="18.75" hidden="1">
      <c r="A38" s="1273"/>
      <c r="B38" s="1273"/>
      <c r="C38" s="1273"/>
      <c r="D38" s="1273"/>
      <c r="E38" s="1273"/>
      <c r="F38" s="1273"/>
      <c r="G38" s="1273"/>
      <c r="H38" s="1273"/>
      <c r="I38" s="1273"/>
      <c r="J38" s="1273"/>
      <c r="K38" s="1273"/>
      <c r="L38" s="1273"/>
      <c r="M38" s="1416"/>
      <c r="N38" s="1273"/>
      <c r="O38" s="1273"/>
      <c r="P38" s="1273"/>
      <c r="U38" s="2183" t="s">
        <v>583</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6" customFormat="1" customHeight="1" ht="18.75" hidden="1">
      <c r="A39" s="1273"/>
      <c r="B39" s="1273"/>
      <c r="C39" s="1273"/>
      <c r="D39" s="1273"/>
      <c r="E39" s="1273"/>
      <c r="F39" s="1273"/>
      <c r="G39" s="1273"/>
      <c r="H39" s="1273"/>
      <c r="I39" s="1273"/>
      <c r="J39" s="1273"/>
      <c r="K39" s="1273"/>
      <c r="L39" s="1273"/>
      <c r="M39" s="1416"/>
      <c r="N39" s="1273"/>
      <c r="O39" s="1273"/>
      <c r="P39" s="1273"/>
      <c r="U39" s="2183" t="s">
        <v>584</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6"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585</v>
      </c>
      <c r="AG40" s="322"/>
      <c r="AH40" s="322"/>
      <c r="AI40" s="322"/>
      <c r="AJ40" s="322"/>
      <c r="AK40" s="322"/>
      <c r="AL40" s="322"/>
      <c r="AM40" s="322"/>
      <c r="AN40" s="322"/>
      <c r="AO40" s="266" t="s">
        <v>585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389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390</v>
      </c>
    </row>
    <row customHeight="1" ht="14.25">
      <c r="R43" s="377"/>
      <c r="S43" s="377"/>
      <c r="T43" s="377"/>
      <c r="U43" s="2206" t="s">
        <v>88</v>
      </c>
      <c r="V43" s="2047" t="s">
        <v>586</v>
      </c>
      <c r="W43" s="289"/>
      <c r="X43" s="2207" t="s">
        <v>587</v>
      </c>
      <c r="Y43" s="2222"/>
      <c r="Z43" s="2222"/>
      <c r="AA43" s="2222"/>
      <c r="AB43" s="2222"/>
      <c r="AC43" s="2208"/>
      <c r="AD43" s="2208"/>
      <c r="AE43" s="2209"/>
      <c r="AF43" s="2210" t="s">
        <v>588</v>
      </c>
      <c r="AG43" s="2207" t="s">
        <v>587</v>
      </c>
      <c r="AH43" s="2222"/>
      <c r="AI43" s="2222"/>
      <c r="AJ43" s="2222"/>
      <c r="AK43" s="2222"/>
      <c r="AL43" s="2208"/>
      <c r="AM43" s="2208"/>
      <c r="AN43" s="2209"/>
      <c r="AO43" s="2210" t="s">
        <v>589</v>
      </c>
      <c r="AP43" s="2213" t="s">
        <v>590</v>
      </c>
      <c r="AQ43" s="1966"/>
    </row>
    <row customHeight="1" ht="33.75">
      <c r="R44" s="377"/>
      <c r="S44" s="377"/>
      <c r="T44" s="377"/>
      <c r="U44" s="2206"/>
      <c r="V44" s="2047"/>
      <c r="W44" s="1044"/>
      <c r="X44" s="2225" t="s">
        <v>623</v>
      </c>
      <c r="Y44" s="2237" t="s">
        <v>624</v>
      </c>
      <c r="Z44" s="2237"/>
      <c r="AA44" s="2237"/>
      <c r="AB44" s="2237"/>
      <c r="AC44" s="2225" t="s">
        <v>594</v>
      </c>
      <c r="AD44" s="2238"/>
      <c r="AE44" s="2239"/>
      <c r="AF44" s="2211"/>
      <c r="AG44" s="2225" t="s">
        <v>623</v>
      </c>
      <c r="AH44" s="2237" t="s">
        <v>624</v>
      </c>
      <c r="AI44" s="2237"/>
      <c r="AJ44" s="2237"/>
      <c r="AK44" s="2237"/>
      <c r="AL44" s="2225" t="s">
        <v>594</v>
      </c>
      <c r="AM44" s="2238"/>
      <c r="AN44" s="2239"/>
      <c r="AO44" s="2211"/>
      <c r="AP44" s="2214"/>
      <c r="AQ44" s="1966"/>
    </row>
    <row customHeight="1" ht="14.25">
      <c r="R45" s="377"/>
      <c r="S45" s="377"/>
      <c r="T45" s="377"/>
      <c r="U45" s="2206"/>
      <c r="V45" s="2047"/>
      <c r="W45" s="1044"/>
      <c r="X45" s="2250"/>
      <c r="Y45" s="2242" t="s">
        <v>625</v>
      </c>
      <c r="Z45" s="2203" t="s">
        <v>626</v>
      </c>
      <c r="AA45" s="2245"/>
      <c r="AB45" s="2204"/>
      <c r="AC45" s="2226"/>
      <c r="AD45" s="2240"/>
      <c r="AE45" s="2241"/>
      <c r="AF45" s="2211"/>
      <c r="AG45" s="2250"/>
      <c r="AH45" s="2242" t="s">
        <v>625</v>
      </c>
      <c r="AI45" s="2203" t="s">
        <v>626</v>
      </c>
      <c r="AJ45" s="2245"/>
      <c r="AK45" s="2204"/>
      <c r="AL45" s="2226"/>
      <c r="AM45" s="2240"/>
      <c r="AN45" s="2241"/>
      <c r="AO45" s="2211"/>
      <c r="AP45" s="2214"/>
      <c r="AQ45" s="1966"/>
    </row>
    <row customHeight="1" ht="25.5">
      <c r="R46" s="377"/>
      <c r="S46" s="377"/>
      <c r="T46" s="377"/>
      <c r="U46" s="2206"/>
      <c r="V46" s="2047"/>
      <c r="W46" s="1044"/>
      <c r="X46" s="2250"/>
      <c r="Y46" s="2243"/>
      <c r="Z46" s="2242" t="s">
        <v>627</v>
      </c>
      <c r="AA46" s="2203" t="s">
        <v>628</v>
      </c>
      <c r="AB46" s="2204"/>
      <c r="AC46" s="2242" t="s">
        <v>604</v>
      </c>
      <c r="AD46" s="2246" t="s">
        <v>605</v>
      </c>
      <c r="AE46" s="2247"/>
      <c r="AF46" s="2211"/>
      <c r="AG46" s="2250"/>
      <c r="AH46" s="2243"/>
      <c r="AI46" s="2242" t="s">
        <v>627</v>
      </c>
      <c r="AJ46" s="2203" t="s">
        <v>628</v>
      </c>
      <c r="AK46" s="2204"/>
      <c r="AL46" s="2242" t="s">
        <v>604</v>
      </c>
      <c r="AM46" s="2246" t="s">
        <v>605</v>
      </c>
      <c r="AN46" s="2247"/>
      <c r="AO46" s="2211"/>
      <c r="AP46" s="2214"/>
      <c r="AQ46" s="1966"/>
    </row>
    <row customHeight="1" ht="62.25">
      <c r="A47" s="1294"/>
      <c r="B47" s="1294" t="s">
        <v>244</v>
      </c>
      <c r="C47" s="1294" t="s">
        <v>245</v>
      </c>
      <c r="D47" s="1294" t="s">
        <v>246</v>
      </c>
      <c r="E47" s="1346" t="s">
        <v>595</v>
      </c>
      <c r="F47" s="1346" t="s">
        <v>596</v>
      </c>
      <c r="G47" s="1346" t="s">
        <v>597</v>
      </c>
      <c r="H47" s="1346" t="s">
        <v>598</v>
      </c>
      <c r="I47" s="1346" t="s">
        <v>599</v>
      </c>
      <c r="J47" s="1346" t="s">
        <v>600</v>
      </c>
      <c r="K47" s="1346" t="s">
        <v>601</v>
      </c>
      <c r="L47" s="1346" t="s">
        <v>629</v>
      </c>
      <c r="M47" s="1346" t="s">
        <v>576</v>
      </c>
      <c r="R47" s="377"/>
      <c r="S47" s="377"/>
      <c r="T47" s="377"/>
      <c r="U47" s="2206"/>
      <c r="V47" s="2047"/>
      <c r="W47" s="290"/>
      <c r="X47" s="2226"/>
      <c r="Y47" s="2244"/>
      <c r="Z47" s="2244"/>
      <c r="AA47" s="1243" t="s">
        <v>630</v>
      </c>
      <c r="AB47" s="1243" t="s">
        <v>631</v>
      </c>
      <c r="AC47" s="2244"/>
      <c r="AD47" s="2248"/>
      <c r="AE47" s="2249"/>
      <c r="AF47" s="2212"/>
      <c r="AG47" s="2226"/>
      <c r="AH47" s="2244"/>
      <c r="AI47" s="2244"/>
      <c r="AJ47" s="1243" t="s">
        <v>630</v>
      </c>
      <c r="AK47" s="1243" t="s">
        <v>631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159</v>
      </c>
      <c r="V48" s="1287" t="s">
        <v>102</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277</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232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277</v>
      </c>
      <c r="B50" s="1302" t="s">
        <v>278</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558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559</v>
      </c>
      <c r="AS50" s="508"/>
      <c r="AT50" s="508" t="str">
        <f>IF(V50="","",V50)</f>
        <v>Территория действия тарифа</v>
      </c>
      <c r="AU50" s="508"/>
      <c r="AV50" s="508"/>
    </row>
    <row customHeight="1" ht="22.5">
      <c r="A51" s="1302" t="s">
        <v>277</v>
      </c>
      <c r="B51" s="1302" t="s">
        <v>278</v>
      </c>
      <c r="C51" s="1302" t="s">
        <v>279</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560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561</v>
      </c>
      <c r="AS51" s="508"/>
      <c r="AT51" s="508" t="str">
        <f>IF(V51="","",V51)</f>
        <v>Наименование системы теплоснабжения </v>
      </c>
      <c r="AU51" s="508"/>
      <c r="AV51" s="508"/>
    </row>
    <row customHeight="1" ht="21">
      <c r="A52" s="1302" t="s">
        <v>277</v>
      </c>
      <c r="B52" s="1302" t="s">
        <v>278</v>
      </c>
      <c r="C52" s="1302" t="s">
        <v>279</v>
      </c>
      <c r="D52" s="1302" t="s">
        <v>280</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562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563</v>
      </c>
      <c r="AS52" s="508"/>
      <c r="AT52" s="508" t="str">
        <f>IF(V52="","",V52)</f>
        <v>Источник тепловой энергии  </v>
      </c>
      <c r="AU52" s="508"/>
      <c r="AV52" s="508"/>
    </row>
    <row s="2586" customFormat="1" customHeight="1" ht="0">
      <c r="A53" s="1411" t="s">
        <v>277</v>
      </c>
      <c r="B53" s="1411" t="s">
        <v>278</v>
      </c>
      <c r="C53" s="1411" t="s">
        <v>279</v>
      </c>
      <c r="D53" s="1411" t="s">
        <v>280</v>
      </c>
      <c r="E53" s="2232"/>
      <c r="F53" s="2232"/>
      <c r="G53" s="2232"/>
      <c r="H53" s="2236"/>
      <c r="I53" s="1966" t="str">
        <f>U52&amp;".1"</f>
        <v>....1</v>
      </c>
      <c r="J53" s="1411"/>
      <c r="K53" s="1411"/>
      <c r="L53" s="1411"/>
      <c r="M53" s="1417" t="s">
        <v>564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277</v>
      </c>
      <c r="B54" s="1302" t="s">
        <v>278</v>
      </c>
      <c r="C54" s="1302" t="s">
        <v>279</v>
      </c>
      <c r="D54" s="1302" t="s">
        <v>280</v>
      </c>
      <c r="E54" s="2232"/>
      <c r="F54" s="2232"/>
      <c r="G54" s="2232"/>
      <c r="H54" s="2236"/>
      <c r="I54" s="1940"/>
      <c r="J54" s="1966" t="str">
        <f>I53&amp;".1"</f>
        <v>....1.1</v>
      </c>
      <c r="K54" s="1302"/>
      <c r="L54" s="1302"/>
      <c r="M54" s="1346" t="s">
        <v>567</v>
      </c>
      <c r="Q54" s="2190"/>
      <c r="R54" s="2190">
        <v>1</v>
      </c>
      <c r="S54" s="526"/>
      <c r="T54" s="353"/>
      <c r="U54" s="1372" t="str">
        <f>$J54</f>
        <v>....1.1</v>
      </c>
      <c r="V54" s="274" t="s">
        <v>568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569</v>
      </c>
      <c r="AS54" s="508"/>
      <c r="AT54" s="508" t="str">
        <f>IF(V54="","",V54)</f>
        <v>Группа потребителей</v>
      </c>
      <c r="AU54" s="508"/>
      <c r="AV54" s="508"/>
    </row>
    <row customHeight="1" ht="21">
      <c r="A55" s="1302" t="s">
        <v>277</v>
      </c>
      <c r="B55" s="1302" t="s">
        <v>278</v>
      </c>
      <c r="C55" s="1302" t="s">
        <v>279</v>
      </c>
      <c r="D55" s="1302" t="s">
        <v>280</v>
      </c>
      <c r="E55" s="2232"/>
      <c r="F55" s="2232"/>
      <c r="G55" s="2232"/>
      <c r="H55" s="2236"/>
      <c r="I55" s="1940"/>
      <c r="J55" s="1940"/>
      <c r="K55" s="1966" t="str">
        <f>J54&amp;".1"</f>
        <v>....1.1.1</v>
      </c>
      <c r="L55" s="125"/>
      <c r="M55" s="1346" t="s">
        <v>570</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620</v>
      </c>
      <c r="AR55" s="519">
        <f>STRCHECKDATE(X57:AP57)</f>
      </c>
      <c r="AS55" s="508"/>
      <c r="AT55" s="508" t="str">
        <f>IF(V55="","",V55)</f>
        <v/>
      </c>
      <c r="AU55" s="508"/>
      <c r="AV55" s="508"/>
    </row>
    <row customHeight="1" ht="11.25">
      <c r="A56" s="1302" t="s">
        <v>277</v>
      </c>
      <c r="B56" s="1302" t="s">
        <v>278</v>
      </c>
      <c r="C56" s="1302" t="s">
        <v>279</v>
      </c>
      <c r="D56" s="1302" t="s">
        <v>280</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621</v>
      </c>
      <c r="AR56" s="519">
        <f>STRCHECKDATE(X58:AP58)</f>
      </c>
      <c r="AS56" s="508"/>
      <c r="AT56" s="508" t="str">
        <f>IF(V56="","",V56)</f>
        <v/>
      </c>
      <c r="AU56" s="508"/>
      <c r="AV56" s="508"/>
    </row>
    <row customHeight="1" ht="0">
      <c r="A57" s="1302" t="s">
        <v>277</v>
      </c>
      <c r="B57" s="1302" t="s">
        <v>278</v>
      </c>
      <c r="C57" s="1302" t="s">
        <v>279</v>
      </c>
      <c r="D57" s="1302" t="s">
        <v>280</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277</v>
      </c>
      <c r="B58" s="1302" t="s">
        <v>278</v>
      </c>
      <c r="C58" s="1302" t="s">
        <v>279</v>
      </c>
      <c r="D58" s="1302" t="s">
        <v>280</v>
      </c>
      <c r="E58" s="2232"/>
      <c r="F58" s="2232"/>
      <c r="G58" s="2232"/>
      <c r="H58" s="2236"/>
      <c r="I58" s="1940"/>
      <c r="J58" s="1940"/>
      <c r="K58" s="1966"/>
      <c r="L58" s="1302"/>
      <c r="M58" s="1346"/>
      <c r="Q58" s="2190"/>
      <c r="R58" s="2190"/>
      <c r="S58" s="1367"/>
      <c r="T58" s="352"/>
      <c r="U58" s="1314"/>
      <c r="V58" s="276" t="s">
        <v>622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277</v>
      </c>
      <c r="B59" s="1302" t="s">
        <v>278</v>
      </c>
      <c r="C59" s="1302" t="s">
        <v>279</v>
      </c>
      <c r="D59" s="1302" t="s">
        <v>280</v>
      </c>
      <c r="E59" s="2232"/>
      <c r="F59" s="2232"/>
      <c r="G59" s="2232"/>
      <c r="H59" s="2236"/>
      <c r="I59" s="1940"/>
      <c r="J59" s="1966"/>
      <c r="K59" s="1302"/>
      <c r="L59" s="1302"/>
      <c r="M59" s="1346"/>
      <c r="Q59" s="2190"/>
      <c r="R59" s="2190"/>
      <c r="S59" s="1367"/>
      <c r="T59" s="352"/>
      <c r="U59" s="1314"/>
      <c r="V59" s="275" t="s">
        <v>572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277</v>
      </c>
      <c r="B60" s="1302" t="s">
        <v>278</v>
      </c>
      <c r="C60" s="1302" t="s">
        <v>279</v>
      </c>
      <c r="D60" s="1302" t="s">
        <v>280</v>
      </c>
      <c r="E60" s="2232"/>
      <c r="F60" s="2232"/>
      <c r="G60" s="2232"/>
      <c r="H60" s="2236"/>
      <c r="I60" s="1966"/>
      <c r="J60" s="1302"/>
      <c r="K60" s="1302"/>
      <c r="L60" s="1302"/>
      <c r="M60" s="1346"/>
      <c r="Q60" s="2190"/>
      <c r="R60" s="1367"/>
      <c r="S60" s="1367"/>
      <c r="T60" s="352"/>
      <c r="U60" s="1314"/>
      <c r="V60" s="364" t="s">
        <v>573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277</v>
      </c>
      <c r="B61" s="1302" t="s">
        <v>278</v>
      </c>
      <c r="C61" s="1302" t="s">
        <v>279</v>
      </c>
      <c r="D61" s="1302" t="s">
        <v>280</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7" customFormat="1" customHeight="1" ht="0">
      <c r="A62" s="1411" t="s">
        <v>277</v>
      </c>
      <c r="B62" s="1411" t="s">
        <v>278</v>
      </c>
      <c r="C62" s="1411" t="s">
        <v>279</v>
      </c>
      <c r="D62" s="1410"/>
      <c r="E62" s="2232"/>
      <c r="F62" s="2232"/>
      <c r="G62" s="2231"/>
      <c r="H62" s="1410"/>
      <c r="I62" s="1410"/>
      <c r="J62" s="1410"/>
      <c r="K62" s="1410"/>
      <c r="L62" s="1410"/>
      <c r="M62" s="1413"/>
      <c r="N62" s="1414"/>
      <c r="O62" s="1414"/>
      <c r="P62" s="347"/>
      <c r="Q62" s="1352"/>
      <c r="R62" s="1353"/>
      <c r="S62" s="1352"/>
      <c r="T62" s="1352"/>
      <c r="U62" s="1358"/>
      <c r="V62" s="1361" t="s">
        <v>531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7" customFormat="1" customHeight="1" ht="0">
      <c r="A63" s="1411" t="s">
        <v>277</v>
      </c>
      <c r="B63" s="1411" t="s">
        <v>278</v>
      </c>
      <c r="C63" s="1410"/>
      <c r="D63" s="1410"/>
      <c r="E63" s="2232"/>
      <c r="F63" s="2231"/>
      <c r="G63" s="1410"/>
      <c r="H63" s="1410"/>
      <c r="I63" s="1410"/>
      <c r="J63" s="1410"/>
      <c r="K63" s="1410"/>
      <c r="L63" s="1410"/>
      <c r="M63" s="1413"/>
      <c r="N63" s="1415"/>
      <c r="O63" s="1415"/>
      <c r="P63" s="347"/>
      <c r="Q63" s="1352"/>
      <c r="R63" s="1353"/>
      <c r="S63" s="1352"/>
      <c r="T63" s="1352"/>
      <c r="U63" s="1358"/>
      <c r="V63" s="1361" t="s">
        <v>532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277</v>
      </c>
      <c r="B64" s="1411"/>
      <c r="C64" s="1411"/>
      <c r="D64" s="1411"/>
      <c r="E64" s="2231"/>
      <c r="F64" s="1411"/>
      <c r="G64" s="1411"/>
      <c r="H64" s="1411"/>
      <c r="I64" s="1411"/>
      <c r="J64" s="1411"/>
      <c r="K64" s="1411"/>
      <c r="L64" s="1411"/>
      <c r="M64" s="1417"/>
      <c r="N64" s="1415"/>
      <c r="O64" s="1415"/>
      <c r="P64" s="347"/>
      <c r="Q64" s="385"/>
      <c r="R64" s="1380"/>
      <c r="S64" s="385"/>
      <c r="T64" s="385"/>
      <c r="U64" s="1358"/>
      <c r="V64" s="1361" t="s">
        <v>533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7"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534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606</v>
      </c>
      <c r="V67" s="2218" t="s">
        <v>616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632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633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632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D475-4766-9AD7-D1EF-EEC0D6BBF92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6"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7" width="32.00390625" customWidth="1"/>
    <col min="21" max="21" style="2867" width="0.140625" customWidth="1"/>
    <col min="22" max="23" style="2867" width="21.7109375" hidden="1" customWidth="1"/>
    <col min="24" max="24" style="2867" width="11.7109375" hidden="1" customWidth="1"/>
    <col min="25" max="25" style="2867" width="3.7109375" hidden="1" customWidth="1"/>
    <col min="26" max="26" style="2867" width="11.7109375" hidden="1" customWidth="1"/>
    <col min="27" max="27" style="2867" width="8.57421875" hidden="1" customWidth="1"/>
    <col min="28" max="28" style="2867" width="5.421875" customWidth="1"/>
    <col min="29" max="30" style="2867" width="3.7109375" customWidth="1"/>
    <col min="31" max="31" style="2867" width="24.7109375" customWidth="1"/>
    <col min="32" max="34" style="2867" width="3.7109375" customWidth="1"/>
    <col min="35" max="35" style="2867" width="24.7109375" customWidth="1"/>
    <col min="36" max="38" style="2867" width="3.7109375" customWidth="1"/>
    <col min="39" max="39" style="2867" width="18.8515625" customWidth="1"/>
    <col min="40" max="41" style="2867" width="21.7109375" customWidth="1"/>
    <col min="42" max="42" style="2867" width="11.7109375" customWidth="1"/>
    <col min="43" max="43" style="2867" width="3.7109375" customWidth="1"/>
    <col min="44" max="44" style="2867" width="11.7109375" customWidth="1"/>
    <col min="45" max="45" style="2867" width="8.57421875" customWidth="1"/>
    <col min="46" max="46" style="2867" width="4.7109375" customWidth="1"/>
    <col min="47" max="47" style="2867"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232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557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558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559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560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561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562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563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564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634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635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636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637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638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7"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531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7"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532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533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575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5" customFormat="1" customHeight="1" ht="14.25" hidden="1">
      <c r="M23" s="1544"/>
      <c r="N23" s="1544"/>
      <c r="O23" s="1545" t="s">
        <v>576</v>
      </c>
      <c r="P23" s="1544"/>
      <c r="Q23" s="1546"/>
      <c r="R23" s="1546"/>
      <c r="Y23" s="1543" t="s">
        <v>578</v>
      </c>
      <c r="AA23" s="1543" t="s">
        <v>579</v>
      </c>
      <c r="AB23" s="1543" t="s">
        <v>639</v>
      </c>
      <c r="AE23" s="1543" t="s">
        <v>640</v>
      </c>
      <c r="AF23" s="1543" t="s">
        <v>639</v>
      </c>
      <c r="AI23" s="1543" t="s">
        <v>641</v>
      </c>
      <c r="AJ23" s="1543" t="s">
        <v>639</v>
      </c>
      <c r="AM23" s="1543" t="s">
        <v>642</v>
      </c>
      <c r="AQ23" s="1543" t="s">
        <v>578</v>
      </c>
      <c r="AS23" s="1543" t="s">
        <v>579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ГУП СК "Ставрополькрайводоканал"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6"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6"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581</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582</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6"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581</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6"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582</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6"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585</v>
      </c>
      <c r="AB37" s="322"/>
      <c r="AC37" s="322"/>
      <c r="AD37" s="322"/>
      <c r="AE37" s="322"/>
      <c r="AF37" s="322"/>
      <c r="AG37" s="322"/>
      <c r="AH37" s="322"/>
      <c r="AI37" s="322"/>
      <c r="AJ37" s="322"/>
      <c r="AK37" s="322"/>
      <c r="AL37" s="322"/>
      <c r="AM37" s="322"/>
      <c r="AN37" s="322"/>
      <c r="AO37" s="322"/>
      <c r="AP37" s="322"/>
      <c r="AQ37" s="322"/>
      <c r="AR37" s="322"/>
      <c r="AS37" s="266" t="s">
        <v>585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389</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390</v>
      </c>
    </row>
    <row customHeight="1" ht="14.25">
      <c r="Q40" s="279"/>
      <c r="R40" s="377"/>
      <c r="S40" s="2206" t="s">
        <v>88</v>
      </c>
      <c r="T40" s="2047" t="s">
        <v>643</v>
      </c>
      <c r="U40" s="289"/>
      <c r="V40" s="2208"/>
      <c r="W40" s="2208"/>
      <c r="X40" s="2208"/>
      <c r="Y40" s="2208"/>
      <c r="Z40" s="2209"/>
      <c r="AA40" s="2261" t="s">
        <v>588</v>
      </c>
      <c r="AB40" s="2253" t="s">
        <v>644</v>
      </c>
      <c r="AC40" s="2222"/>
      <c r="AD40" s="2222"/>
      <c r="AE40" s="2254"/>
      <c r="AF40" s="2222" t="s">
        <v>645</v>
      </c>
      <c r="AG40" s="2222"/>
      <c r="AH40" s="2222"/>
      <c r="AI40" s="2254"/>
      <c r="AJ40" s="2253" t="s">
        <v>646</v>
      </c>
      <c r="AK40" s="2222"/>
      <c r="AL40" s="2222"/>
      <c r="AM40" s="2254"/>
      <c r="AN40" s="2253" t="s">
        <v>587</v>
      </c>
      <c r="AO40" s="2222"/>
      <c r="AP40" s="2208"/>
      <c r="AQ40" s="2208"/>
      <c r="AR40" s="2209"/>
      <c r="AS40" s="2210" t="s">
        <v>588</v>
      </c>
      <c r="AT40" s="2213" t="s">
        <v>590</v>
      </c>
      <c r="AU40" s="1966"/>
    </row>
    <row customHeight="1" ht="33.75">
      <c r="Q41" s="279"/>
      <c r="R41" s="377"/>
      <c r="S41" s="2206"/>
      <c r="T41" s="2047"/>
      <c r="U41" s="1044"/>
      <c r="V41" s="2029" t="s">
        <v>647</v>
      </c>
      <c r="W41" s="2030"/>
      <c r="X41" s="2225" t="s">
        <v>594</v>
      </c>
      <c r="Y41" s="2238"/>
      <c r="Z41" s="2239"/>
      <c r="AA41" s="2262"/>
      <c r="AB41" s="2255"/>
      <c r="AC41" s="2256"/>
      <c r="AD41" s="2256"/>
      <c r="AE41" s="2257"/>
      <c r="AF41" s="2256"/>
      <c r="AG41" s="2256"/>
      <c r="AH41" s="2256"/>
      <c r="AI41" s="2257"/>
      <c r="AJ41" s="2255"/>
      <c r="AK41" s="2256"/>
      <c r="AL41" s="2256"/>
      <c r="AM41" s="2256"/>
      <c r="AN41" s="1966" t="s">
        <v>648</v>
      </c>
      <c r="AO41" s="1966"/>
      <c r="AP41" s="2238" t="s">
        <v>594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244</v>
      </c>
      <c r="C43" s="1406" t="s">
        <v>245</v>
      </c>
      <c r="D43" s="1406" t="s">
        <v>246</v>
      </c>
      <c r="E43" s="1400" t="s">
        <v>595</v>
      </c>
      <c r="F43" s="1400" t="s">
        <v>596</v>
      </c>
      <c r="G43" s="1400" t="s">
        <v>597</v>
      </c>
      <c r="H43" s="1400" t="s">
        <v>598</v>
      </c>
      <c r="I43" s="1400" t="s">
        <v>599</v>
      </c>
      <c r="J43" s="1400" t="s">
        <v>600</v>
      </c>
      <c r="K43" s="1400" t="s">
        <v>601</v>
      </c>
      <c r="L43" s="1400" t="s">
        <v>576</v>
      </c>
      <c r="Q43" s="279"/>
      <c r="R43" s="377"/>
      <c r="S43" s="2206"/>
      <c r="T43" s="2047"/>
      <c r="U43" s="290"/>
      <c r="V43" s="1366" t="s">
        <v>649</v>
      </c>
      <c r="W43" s="1366" t="s">
        <v>650</v>
      </c>
      <c r="X43" s="1374" t="s">
        <v>604</v>
      </c>
      <c r="Y43" s="2203" t="s">
        <v>605</v>
      </c>
      <c r="Z43" s="2204"/>
      <c r="AA43" s="2263"/>
      <c r="AB43" s="2258"/>
      <c r="AC43" s="2259"/>
      <c r="AD43" s="2259"/>
      <c r="AE43" s="2260"/>
      <c r="AF43" s="2259"/>
      <c r="AG43" s="2259"/>
      <c r="AH43" s="2259"/>
      <c r="AI43" s="2260"/>
      <c r="AJ43" s="2258"/>
      <c r="AK43" s="2259"/>
      <c r="AL43" s="2259"/>
      <c r="AM43" s="2260"/>
      <c r="AN43" s="1915" t="s">
        <v>649</v>
      </c>
      <c r="AO43" s="1915" t="s">
        <v>650</v>
      </c>
      <c r="AP43" s="1374" t="s">
        <v>604</v>
      </c>
      <c r="AQ43" s="2203" t="s">
        <v>605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159</v>
      </c>
      <c r="T44" s="1287" t="s">
        <v>102</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301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232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301</v>
      </c>
      <c r="B46" s="1399" t="s">
        <v>302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558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559</v>
      </c>
      <c r="AW46" s="508"/>
      <c r="AX46" s="508" t="str">
        <f>IF(T46="","",T46)</f>
        <v>Территория действия тарифа</v>
      </c>
      <c r="AY46" s="508"/>
      <c r="AZ46" s="508"/>
    </row>
    <row customHeight="1" ht="23.25">
      <c r="A47" s="1399" t="s">
        <v>301</v>
      </c>
      <c r="B47" s="1399" t="s">
        <v>302</v>
      </c>
      <c r="C47" s="1399" t="s">
        <v>303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560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561</v>
      </c>
      <c r="AW47" s="508"/>
      <c r="AX47" s="508" t="str">
        <f>IF(T47="","",T47)</f>
        <v>Наименование системы теплоснабжения </v>
      </c>
      <c r="AY47" s="508"/>
      <c r="AZ47" s="508"/>
    </row>
    <row customHeight="1" ht="21">
      <c r="A48" s="1399" t="s">
        <v>301</v>
      </c>
      <c r="B48" s="1399" t="s">
        <v>302</v>
      </c>
      <c r="C48" s="1399" t="s">
        <v>303</v>
      </c>
      <c r="D48" s="1399" t="s">
        <v>304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562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563</v>
      </c>
      <c r="AW48" s="508"/>
      <c r="AX48" s="508" t="str">
        <f>IF(T48="","",T48)</f>
        <v>Источник тепловой энергии  </v>
      </c>
      <c r="AY48" s="508"/>
      <c r="AZ48" s="508"/>
    </row>
    <row s="2586" customFormat="1" customHeight="1" ht="0">
      <c r="A49" s="1379" t="s">
        <v>301</v>
      </c>
      <c r="B49" s="1379" t="s">
        <v>302</v>
      </c>
      <c r="C49" s="1379" t="s">
        <v>303</v>
      </c>
      <c r="D49" s="1379" t="s">
        <v>304</v>
      </c>
      <c r="E49" s="2192"/>
      <c r="F49" s="2192"/>
      <c r="G49" s="2192"/>
      <c r="H49" s="2192"/>
      <c r="I49" s="2189" t="str">
        <f>S48&amp;".1"</f>
        <v>....1</v>
      </c>
      <c r="J49" s="1379"/>
      <c r="K49" s="1379"/>
      <c r="L49" s="1382" t="s">
        <v>564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301</v>
      </c>
      <c r="B50" s="1379" t="s">
        <v>302</v>
      </c>
      <c r="C50" s="1379" t="s">
        <v>303</v>
      </c>
      <c r="D50" s="1379" t="s">
        <v>304</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301</v>
      </c>
      <c r="B51" s="1399" t="s">
        <v>302</v>
      </c>
      <c r="C51" s="1399" t="s">
        <v>303</v>
      </c>
      <c r="D51" s="1399" t="s">
        <v>304</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651</v>
      </c>
      <c r="AV51" s="519">
        <f>STRCHECKDATE(V54:AT54)</f>
      </c>
      <c r="AW51" s="508"/>
      <c r="AX51" s="508" t="str">
        <f>IF(T51="","",T51)</f>
        <v/>
      </c>
      <c r="AY51" s="508"/>
      <c r="AZ51" s="508"/>
    </row>
    <row customHeight="1" ht="11.25">
      <c r="A52" s="1399" t="s">
        <v>301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635</v>
      </c>
      <c r="AN52" s="1429"/>
      <c r="AO52" s="1532"/>
      <c r="AP52" s="1429"/>
      <c r="AQ52" s="1429"/>
      <c r="AR52" s="1429"/>
      <c r="AS52" s="1429"/>
      <c r="AT52" s="1426"/>
      <c r="AU52" s="2187"/>
      <c r="AW52" s="508"/>
      <c r="AX52" s="508"/>
      <c r="AY52" s="508"/>
      <c r="AZ52" s="508"/>
    </row>
    <row customHeight="1" ht="11.25">
      <c r="A53" s="1399" t="s">
        <v>301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636</v>
      </c>
      <c r="AJ53" s="1429"/>
      <c r="AK53" s="1429"/>
      <c r="AL53" s="1429"/>
      <c r="AM53" s="1429"/>
      <c r="AN53" s="1429"/>
      <c r="AO53" s="1532"/>
      <c r="AP53" s="1429"/>
      <c r="AQ53" s="1429"/>
      <c r="AR53" s="1429"/>
      <c r="AS53" s="1429"/>
      <c r="AT53" s="1426"/>
      <c r="AU53" s="2187"/>
      <c r="AW53" s="508"/>
      <c r="AX53" s="508"/>
      <c r="AY53" s="508"/>
      <c r="AZ53" s="508"/>
    </row>
    <row customHeight="1" ht="11.25">
      <c r="A54" s="1399" t="s">
        <v>301</v>
      </c>
      <c r="B54" s="1399" t="s">
        <v>302</v>
      </c>
      <c r="C54" s="1399" t="s">
        <v>303</v>
      </c>
      <c r="D54" s="1399" t="s">
        <v>304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637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301</v>
      </c>
      <c r="B55" s="1399" t="s">
        <v>302</v>
      </c>
      <c r="C55" s="1399" t="s">
        <v>303</v>
      </c>
      <c r="D55" s="1399" t="s">
        <v>304</v>
      </c>
      <c r="E55" s="2192"/>
      <c r="F55" s="2192"/>
      <c r="G55" s="2192"/>
      <c r="H55" s="2192"/>
      <c r="I55" s="2219"/>
      <c r="J55" s="2189"/>
      <c r="K55" s="1399"/>
      <c r="L55" s="1400"/>
      <c r="P55" s="2190"/>
      <c r="Q55" s="2190"/>
      <c r="R55" s="352"/>
      <c r="S55" s="1314"/>
      <c r="T55" s="275" t="s">
        <v>638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301</v>
      </c>
      <c r="B56" s="1379" t="s">
        <v>302</v>
      </c>
      <c r="C56" s="1379" t="s">
        <v>303</v>
      </c>
      <c r="D56" s="1379" t="s">
        <v>304</v>
      </c>
      <c r="E56" s="2192"/>
      <c r="F56" s="2192"/>
      <c r="G56" s="2192"/>
      <c r="H56" s="2192"/>
      <c r="I56" s="2189"/>
      <c r="J56" s="1379"/>
      <c r="K56" s="1379"/>
      <c r="L56" s="1382"/>
      <c r="M56" s="518"/>
      <c r="N56" s="518"/>
      <c r="O56" s="518"/>
      <c r="P56" s="2190"/>
      <c r="Q56" s="1367"/>
      <c r="R56" s="352"/>
      <c r="S56" s="1422"/>
      <c r="T56" s="1423" t="s">
        <v>573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301</v>
      </c>
      <c r="B57" s="1379" t="s">
        <v>302</v>
      </c>
      <c r="C57" s="1379" t="s">
        <v>303</v>
      </c>
      <c r="D57" s="1379" t="s">
        <v>304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7" customFormat="1" customHeight="1" ht="0">
      <c r="A58" s="1379" t="s">
        <v>301</v>
      </c>
      <c r="B58" s="1379" t="s">
        <v>302</v>
      </c>
      <c r="C58" s="1379" t="s">
        <v>303</v>
      </c>
      <c r="D58" s="1350"/>
      <c r="E58" s="2192"/>
      <c r="F58" s="2192"/>
      <c r="G58" s="2191"/>
      <c r="H58" s="1350"/>
      <c r="I58" s="1350"/>
      <c r="J58" s="1350"/>
      <c r="K58" s="1350"/>
      <c r="L58" s="1375"/>
      <c r="M58" s="1351"/>
      <c r="N58" s="1351"/>
      <c r="P58" s="1352"/>
      <c r="Q58" s="1353"/>
      <c r="R58" s="1352"/>
      <c r="S58" s="1358"/>
      <c r="T58" s="1361" t="s">
        <v>531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7" customFormat="1" customHeight="1" ht="0">
      <c r="A59" s="1379" t="s">
        <v>301</v>
      </c>
      <c r="B59" s="1379" t="s">
        <v>302</v>
      </c>
      <c r="C59" s="1350"/>
      <c r="D59" s="1350"/>
      <c r="E59" s="2192"/>
      <c r="F59" s="2191"/>
      <c r="G59" s="1350"/>
      <c r="H59" s="1350"/>
      <c r="I59" s="1350"/>
      <c r="J59" s="1350"/>
      <c r="K59" s="1350"/>
      <c r="L59" s="1375"/>
      <c r="M59" s="1357"/>
      <c r="N59" s="1357"/>
      <c r="P59" s="1352"/>
      <c r="Q59" s="1353"/>
      <c r="R59" s="1352"/>
      <c r="S59" s="1358"/>
      <c r="T59" s="1361" t="s">
        <v>532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301</v>
      </c>
      <c r="B60" s="1379"/>
      <c r="C60" s="1379"/>
      <c r="D60" s="1379"/>
      <c r="E60" s="2192"/>
      <c r="F60" s="1379"/>
      <c r="G60" s="1379"/>
      <c r="H60" s="1379"/>
      <c r="I60" s="1379"/>
      <c r="J60" s="1379"/>
      <c r="K60" s="1379"/>
      <c r="L60" s="1382"/>
      <c r="M60" s="1357"/>
      <c r="N60" s="1357"/>
      <c r="O60" s="526"/>
      <c r="P60" s="385"/>
      <c r="Q60" s="1380"/>
      <c r="R60" s="385"/>
      <c r="S60" s="1358"/>
      <c r="T60" s="1361" t="s">
        <v>533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301</v>
      </c>
      <c r="B61" s="1379"/>
      <c r="C61" s="1379"/>
      <c r="D61" s="1379"/>
      <c r="E61" s="2191"/>
      <c r="F61" s="1379"/>
      <c r="G61" s="1379"/>
      <c r="H61" s="1379"/>
      <c r="I61" s="1379"/>
      <c r="J61" s="1379"/>
      <c r="K61" s="1379"/>
      <c r="L61" s="1382"/>
      <c r="M61" s="1357"/>
      <c r="N61" s="1357"/>
      <c r="O61" s="526"/>
      <c r="P61" s="385"/>
      <c r="Q61" s="1380"/>
      <c r="R61" s="385"/>
      <c r="S61" s="1358"/>
      <c r="T61" s="1361" t="s">
        <v>533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7"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534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606</v>
      </c>
      <c r="T64" s="2218" t="s">
        <v>652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632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653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632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A3E12C-66C8-9729-40B3-5B3F30D2056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4" width="32.57421875" customWidth="1"/>
    <col min="2" max="2" style="3925" width="11.00390625" customWidth="1"/>
    <col min="3" max="3" style="3925" width="9.140625"/>
    <col min="4" max="4" style="3925" width="26.57421875" customWidth="1"/>
    <col min="5" max="5" style="3840" width="27.7109375" customWidth="1"/>
    <col min="6" max="6" style="3840" width="23.57421875" customWidth="1"/>
    <col min="7" max="7" style="3840" width="31.421875" customWidth="1"/>
    <col min="8" max="8" style="3840" width="40.8515625" customWidth="1"/>
    <col min="9" max="9" style="3840" width="14.57421875" customWidth="1"/>
    <col min="10" max="10" style="3840" width="26.8515625" customWidth="1"/>
    <col min="11" max="11" style="3840" width="50.00390625" customWidth="1"/>
    <col min="12" max="13" style="3840" width="10.7109375" customWidth="1"/>
    <col min="14" max="14" style="3840" width="55.140625" customWidth="1"/>
    <col min="15" max="15" style="3840" width="31.8515625" customWidth="1"/>
    <col min="16" max="16" style="3840" width="23.8515625" customWidth="1"/>
    <col min="17" max="17" style="3840" width="46.57421875" customWidth="1"/>
    <col min="18" max="18" style="3840" width="24.00390625" customWidth="1"/>
    <col min="19" max="19" style="3840" width="20.57421875" customWidth="1"/>
    <col min="20" max="20" style="3840" width="22.00390625" customWidth="1"/>
    <col min="21" max="22" style="3840" width="26.421875" customWidth="1"/>
    <col min="23" max="23" style="3840" width="8.28125" hidden="1" customWidth="1"/>
    <col min="24" max="24" style="3840" width="59.7109375" customWidth="1"/>
    <col min="25" max="25" style="3840" width="49.140625" customWidth="1"/>
    <col min="26" max="26" style="3840" width="11.140625" customWidth="1"/>
    <col min="27" max="30" style="3840" width="29.00390625" customWidth="1"/>
    <col min="31" max="31" style="3840" width="9.140625"/>
    <col min="32" max="32" style="3840" width="34.7109375" customWidth="1"/>
    <col min="33" max="33" style="3840" width="9.140625"/>
    <col min="34" max="35" style="3840" width="34.421875" customWidth="1"/>
    <col min="36" max="36" style="3840" width="9.140625"/>
    <col min="37" max="37" style="3840" width="24.57421875" customWidth="1"/>
    <col min="38" max="38" style="3840" width="9.140625"/>
    <col min="39" max="39" style="3840" width="26.140625" customWidth="1"/>
    <col min="40" max="40" style="3840" width="1.7109375" customWidth="1"/>
    <col min="41" max="41" style="3840" width="9.140625"/>
    <col min="42" max="43" style="3840" width="47.8515625" customWidth="1"/>
    <col min="44" max="44" style="3840" width="1.7109375" customWidth="1"/>
    <col min="45" max="45" style="3840" width="21.421875" customWidth="1"/>
    <col min="46" max="46" style="3840" width="1.7109375" customWidth="1"/>
    <col min="47" max="47" style="3840" width="31.28125" customWidth="1"/>
    <col min="48" max="48" style="3840" width="1.7109375" customWidth="1"/>
    <col min="49" max="50" style="3926" width="9.140625"/>
    <col min="51" max="51" style="3840" width="3.7109375" customWidth="1"/>
    <col min="52" max="52" style="3840" width="55.00390625" customWidth="1"/>
    <col min="53" max="53" style="3840" width="9.140625"/>
    <col min="54" max="54" style="3840" width="35.140625" customWidth="1"/>
    <col min="55" max="55" style="3840" width="9.140625"/>
    <col min="56" max="56" style="3840" width="1.7109375" customWidth="1"/>
    <col min="57" max="57" style="3927" width="12.57421875" customWidth="1"/>
    <col min="58" max="58" style="3927" width="14.28125" customWidth="1"/>
    <col min="59" max="59" style="3840" width="30.7109375" customWidth="1"/>
    <col min="60" max="60" style="3835" width="40.7109375" customWidth="1"/>
    <col min="61" max="61" style="3835" width="15.00390625" customWidth="1"/>
    <col min="62" max="62" style="3835" width="40.7109375" customWidth="1"/>
    <col min="63" max="63" style="3835" width="2.7109375" customWidth="1"/>
    <col min="64" max="64" style="3835" width="44.7109375" customWidth="1"/>
    <col min="65" max="65" style="3835" width="2.7109375" customWidth="1"/>
    <col min="66" max="66" style="3835" width="40.7109375" customWidth="1"/>
    <col min="67" max="68" style="3840" width="9.140625"/>
    <col min="69" max="69" style="3840" width="18.140625" customWidth="1"/>
    <col min="70" max="70" style="3840" width="57.8515625" customWidth="1"/>
    <col min="71" max="71" style="3894" width="1.7109375" customWidth="1"/>
    <col min="72" max="72" style="3840" width="22.57421875" customWidth="1"/>
    <col min="73" max="73" style="3840" width="57.8515625" customWidth="1"/>
    <col min="74" max="74" style="3840" width="1.7109375" customWidth="1"/>
    <col min="75" max="75" style="3840" width="22.57421875" customWidth="1"/>
    <col min="76" max="76" style="3840" width="57.8515625" customWidth="1"/>
    <col min="77" max="77" style="3840" width="1.7109375" customWidth="1"/>
    <col min="78" max="78" style="3840" width="22.57421875" customWidth="1"/>
    <col min="79" max="79" style="3840" width="57.8515625" customWidth="1"/>
    <col min="80" max="81" style="3840" width="9.140625"/>
    <col min="82" max="82" style="3840" width="49.57421875" customWidth="1"/>
  </cols>
  <sheetData>
    <row s="3830" customFormat="1" customHeight="1" ht="11.25">
      <c r="A1" s="1080" t="s">
        <v>654</v>
      </c>
      <c r="B1" s="1080" t="s">
        <v>655</v>
      </c>
      <c r="C1" s="1080" t="s">
        <v>656</v>
      </c>
      <c r="D1" s="1080" t="s">
        <v>657</v>
      </c>
      <c r="E1" s="1080" t="s">
        <v>658</v>
      </c>
      <c r="F1" s="1080" t="s">
        <v>659</v>
      </c>
      <c r="G1" s="1080" t="s">
        <v>660</v>
      </c>
      <c r="H1" s="1080" t="s">
        <v>661</v>
      </c>
      <c r="I1" s="1080" t="s">
        <v>662</v>
      </c>
      <c r="J1" s="1080" t="s">
        <v>663</v>
      </c>
      <c r="K1" s="1080" t="s">
        <v>664</v>
      </c>
      <c r="L1" s="1080"/>
      <c r="M1" s="1080"/>
      <c r="N1" s="1080" t="s">
        <v>665</v>
      </c>
      <c r="O1" s="1080" t="s">
        <v>666</v>
      </c>
      <c r="P1" s="1080" t="s">
        <v>667</v>
      </c>
      <c r="Q1" s="1080" t="s">
        <v>668</v>
      </c>
      <c r="R1" s="1080" t="s">
        <v>669</v>
      </c>
      <c r="S1" s="1080" t="s">
        <v>670</v>
      </c>
      <c r="T1" s="1080" t="s">
        <v>671</v>
      </c>
      <c r="U1" s="1080" t="s">
        <v>672</v>
      </c>
      <c r="V1" s="1080"/>
      <c r="W1" s="807" t="s">
        <v>673</v>
      </c>
      <c r="X1" s="1080" t="s">
        <v>674</v>
      </c>
      <c r="Y1" s="1080" t="s">
        <v>675</v>
      </c>
      <c r="Z1" s="1080"/>
      <c r="AA1" s="1080" t="s">
        <v>676</v>
      </c>
      <c r="AB1" s="1080"/>
      <c r="AC1" s="1080" t="s">
        <v>677</v>
      </c>
      <c r="AD1" s="1080"/>
      <c r="AF1" s="1080" t="s">
        <v>678</v>
      </c>
      <c r="AH1" s="1080" t="s">
        <v>679</v>
      </c>
      <c r="AI1" s="1080" t="s">
        <v>680</v>
      </c>
      <c r="AK1" s="1080" t="s">
        <v>681</v>
      </c>
      <c r="AM1" s="1080" t="s">
        <v>682</v>
      </c>
      <c r="AP1" s="1080" t="s">
        <v>683</v>
      </c>
      <c r="AQ1" s="1080" t="s">
        <v>684</v>
      </c>
      <c r="AS1" s="1080" t="s">
        <v>685</v>
      </c>
      <c r="AU1" s="1080" t="s">
        <v>686</v>
      </c>
      <c r="AW1" s="1080" t="s">
        <v>687</v>
      </c>
      <c r="AX1" s="1080" t="s">
        <v>688</v>
      </c>
      <c r="AZ1" s="1166" t="s">
        <v>689</v>
      </c>
      <c r="BB1" s="1080" t="s">
        <v>690</v>
      </c>
      <c r="BC1" s="1080"/>
      <c r="BE1" s="1080" t="s">
        <v>691</v>
      </c>
      <c r="BF1" s="1080" t="s">
        <v>692</v>
      </c>
      <c r="BH1" s="1082" t="s">
        <v>693</v>
      </c>
      <c r="BI1" s="1083"/>
      <c r="BJ1" s="1084" t="s">
        <v>694</v>
      </c>
      <c r="BK1" s="1083"/>
      <c r="BL1" s="1085" t="s">
        <v>695</v>
      </c>
      <c r="BM1" s="1083"/>
      <c r="BN1" s="1086" t="s">
        <v>696</v>
      </c>
      <c r="BS1" s="1463"/>
    </row>
    <row customHeight="1" ht="11.25">
      <c r="A2" s="1087" t="s">
        <v>697</v>
      </c>
      <c r="B2" s="1088">
        <v>2000</v>
      </c>
      <c r="C2" s="1088">
        <v>2022</v>
      </c>
      <c r="D2" s="1088" t="s">
        <v>59</v>
      </c>
      <c r="E2" s="1089" t="s">
        <v>698</v>
      </c>
      <c r="F2" s="1089" t="s">
        <v>699</v>
      </c>
      <c r="G2" s="1089" t="s">
        <v>700</v>
      </c>
      <c r="H2" s="1090" t="s">
        <v>55</v>
      </c>
      <c r="I2" s="1089" t="s">
        <v>159</v>
      </c>
      <c r="J2" s="1089" t="s">
        <v>701</v>
      </c>
      <c r="K2" s="1091" t="s">
        <v>702</v>
      </c>
      <c r="L2" s="1092" t="s">
        <v>702</v>
      </c>
      <c r="M2" s="1091">
        <v>1</v>
      </c>
      <c r="N2" s="1176" t="s">
        <v>703</v>
      </c>
      <c r="O2" s="1090" t="s">
        <v>704</v>
      </c>
      <c r="P2" s="1093" t="s">
        <v>34</v>
      </c>
      <c r="Q2" s="1094" t="s">
        <v>705</v>
      </c>
      <c r="R2" s="129" t="s">
        <v>706</v>
      </c>
      <c r="S2" s="129" t="s">
        <v>707</v>
      </c>
      <c r="T2" s="1095" t="s">
        <v>708</v>
      </c>
      <c r="U2" s="1092" t="s">
        <v>709</v>
      </c>
      <c r="V2" s="1096">
        <v>1</v>
      </c>
      <c r="W2" s="1097"/>
      <c r="X2" s="1097" t="s">
        <v>710</v>
      </c>
      <c r="Y2" s="1088" t="s">
        <v>711</v>
      </c>
      <c r="Z2" s="1098"/>
      <c r="AA2" s="1088" t="s">
        <v>712</v>
      </c>
      <c r="AB2" s="1099" t="s">
        <v>712</v>
      </c>
      <c r="AC2" s="1088" t="s">
        <v>713</v>
      </c>
      <c r="AD2" s="1099" t="s">
        <v>713</v>
      </c>
      <c r="AF2" s="1090" t="s">
        <v>709</v>
      </c>
      <c r="AH2" s="1089" t="s">
        <v>714</v>
      </c>
      <c r="AI2" s="1089" t="s">
        <v>714</v>
      </c>
      <c r="AK2" s="1089" t="s">
        <v>715</v>
      </c>
      <c r="AM2" s="1089" t="s">
        <v>716</v>
      </c>
      <c r="AP2" s="1100" t="s">
        <v>710</v>
      </c>
      <c r="AQ2" s="1101" t="s">
        <v>710</v>
      </c>
      <c r="AS2" s="1088" t="s">
        <v>717</v>
      </c>
      <c r="AU2" s="1134" t="s">
        <v>718</v>
      </c>
      <c r="AW2" s="1134" t="s">
        <v>719</v>
      </c>
      <c r="AX2" s="1134" t="s">
        <v>719</v>
      </c>
      <c r="AZ2" s="1134" t="s">
        <v>720</v>
      </c>
      <c r="BB2" s="1134" t="s">
        <v>721</v>
      </c>
      <c r="BC2" s="1134" t="s">
        <v>722</v>
      </c>
      <c r="BE2" s="1134">
        <v>2000</v>
      </c>
      <c r="BF2" s="1134" t="s">
        <v>723</v>
      </c>
    </row>
    <row customHeight="1" ht="11.25">
      <c r="A3" s="1087" t="s">
        <v>724</v>
      </c>
      <c r="B3" s="1088">
        <v>2001</v>
      </c>
      <c r="C3" s="1088">
        <v>2023</v>
      </c>
      <c r="D3" s="1088" t="s">
        <v>57</v>
      </c>
      <c r="E3" s="1089" t="s">
        <v>725</v>
      </c>
      <c r="F3" s="1089" t="s">
        <v>726</v>
      </c>
      <c r="G3" s="1089" t="s">
        <v>727</v>
      </c>
      <c r="H3" s="1090" t="s">
        <v>728</v>
      </c>
      <c r="I3" s="1089" t="s">
        <v>102</v>
      </c>
      <c r="J3" s="1089" t="s">
        <v>729</v>
      </c>
      <c r="K3" s="1091" t="s">
        <v>730</v>
      </c>
      <c r="L3" s="1091" t="s">
        <v>730</v>
      </c>
      <c r="M3" s="1091">
        <v>2</v>
      </c>
      <c r="N3" s="1176" t="s">
        <v>731</v>
      </c>
      <c r="O3" s="1090" t="s">
        <v>732</v>
      </c>
      <c r="P3" s="1093" t="s">
        <v>733</v>
      </c>
      <c r="Q3" s="1094" t="s">
        <v>734</v>
      </c>
      <c r="R3" s="129" t="s">
        <v>735</v>
      </c>
      <c r="S3" s="129" t="s">
        <v>736</v>
      </c>
      <c r="T3" s="1095" t="s">
        <v>737</v>
      </c>
      <c r="U3" s="1092" t="s">
        <v>738</v>
      </c>
      <c r="V3" s="1096">
        <v>2</v>
      </c>
      <c r="W3" s="1097"/>
      <c r="X3" s="1097" t="s">
        <v>739</v>
      </c>
      <c r="Y3" s="1088" t="s">
        <v>711</v>
      </c>
      <c r="Z3" s="1098"/>
      <c r="AA3" s="1088" t="s">
        <v>740</v>
      </c>
      <c r="AB3" s="1099" t="s">
        <v>740</v>
      </c>
      <c r="AC3" s="1088" t="s">
        <v>741</v>
      </c>
      <c r="AD3" s="1099" t="s">
        <v>741</v>
      </c>
      <c r="AF3" s="1090" t="s">
        <v>738</v>
      </c>
      <c r="AH3" s="1089" t="s">
        <v>742</v>
      </c>
      <c r="AI3" s="1089" t="s">
        <v>743</v>
      </c>
      <c r="AK3" s="1089" t="s">
        <v>744</v>
      </c>
      <c r="AM3" s="1089" t="s">
        <v>745</v>
      </c>
      <c r="AP3" s="1100" t="s">
        <v>746</v>
      </c>
      <c r="AQ3" s="1101" t="s">
        <v>746</v>
      </c>
      <c r="AS3" s="1088" t="s">
        <v>747</v>
      </c>
      <c r="AU3" s="1134" t="s">
        <v>748</v>
      </c>
      <c r="AW3" s="1134" t="s">
        <v>749</v>
      </c>
      <c r="AX3" s="1134" t="s">
        <v>749</v>
      </c>
      <c r="AZ3" s="1134" t="s">
        <v>750</v>
      </c>
      <c r="BB3" s="1134" t="s">
        <v>751</v>
      </c>
      <c r="BC3" s="1134" t="s">
        <v>722</v>
      </c>
      <c r="BE3" s="1134">
        <v>2001</v>
      </c>
      <c r="BF3" s="1134" t="s">
        <v>752</v>
      </c>
      <c r="BH3" s="1080" t="s">
        <v>753</v>
      </c>
      <c r="BJ3" s="1080" t="s">
        <v>754</v>
      </c>
      <c r="BL3" s="1080" t="s">
        <v>755</v>
      </c>
      <c r="BN3" s="1080" t="s">
        <v>756</v>
      </c>
      <c r="BR3" s="1080" t="s">
        <v>757</v>
      </c>
      <c r="BS3" s="1464"/>
      <c r="BT3" s="1083"/>
      <c r="BU3" s="1080" t="s">
        <v>758</v>
      </c>
      <c r="BV3" s="1083"/>
      <c r="BW3" s="1736"/>
      <c r="BX3" s="1738" t="s">
        <v>759</v>
      </c>
      <c r="CA3" s="1080" t="s">
        <v>760</v>
      </c>
    </row>
    <row customHeight="1" ht="11.25">
      <c r="A4" s="1087" t="s">
        <v>761</v>
      </c>
      <c r="B4" s="1088">
        <v>2002</v>
      </c>
      <c r="C4" s="1088">
        <v>2024</v>
      </c>
      <c r="E4" s="1089" t="s">
        <v>762</v>
      </c>
      <c r="F4" s="1089" t="s">
        <v>31</v>
      </c>
      <c r="H4" s="1090" t="s">
        <v>763</v>
      </c>
      <c r="I4" s="1089" t="s">
        <v>90</v>
      </c>
      <c r="J4" s="1089" t="s">
        <v>764</v>
      </c>
      <c r="K4" s="1091" t="s">
        <v>765</v>
      </c>
      <c r="L4" s="1091" t="s">
        <v>765</v>
      </c>
      <c r="M4" s="1091">
        <v>3</v>
      </c>
      <c r="N4" s="1176" t="s">
        <v>766</v>
      </c>
      <c r="O4" s="1089" t="s">
        <v>767</v>
      </c>
      <c r="Q4" s="1094" t="s">
        <v>768</v>
      </c>
      <c r="R4" s="129" t="s">
        <v>769</v>
      </c>
      <c r="S4" s="129" t="s">
        <v>770</v>
      </c>
      <c r="T4" s="1095" t="s">
        <v>771</v>
      </c>
      <c r="U4" s="1092" t="s">
        <v>772</v>
      </c>
      <c r="V4" s="1096">
        <v>3</v>
      </c>
      <c r="W4" s="1097"/>
      <c r="X4" s="1097" t="s">
        <v>773</v>
      </c>
      <c r="Y4" s="1088" t="s">
        <v>711</v>
      </c>
      <c r="Z4" s="1104"/>
      <c r="AC4" s="1088" t="s">
        <v>774</v>
      </c>
      <c r="AD4" s="1099" t="s">
        <v>774</v>
      </c>
      <c r="AF4" s="1090" t="s">
        <v>772</v>
      </c>
      <c r="AH4" s="1090" t="s">
        <v>775</v>
      </c>
      <c r="AK4" s="1089" t="s">
        <v>776</v>
      </c>
      <c r="AM4" s="1089" t="s">
        <v>777</v>
      </c>
      <c r="AP4" s="1100" t="s">
        <v>739</v>
      </c>
      <c r="AQ4" s="1101" t="s">
        <v>739</v>
      </c>
      <c r="AS4" s="1088" t="s">
        <v>778</v>
      </c>
      <c r="AU4" s="1134" t="s">
        <v>779</v>
      </c>
      <c r="AW4" s="1134" t="s">
        <v>780</v>
      </c>
      <c r="AX4" s="1134" t="s">
        <v>780</v>
      </c>
      <c r="AZ4" s="1134" t="s">
        <v>781</v>
      </c>
      <c r="BB4" s="1134" t="s">
        <v>782</v>
      </c>
      <c r="BC4" s="1134" t="s">
        <v>783</v>
      </c>
      <c r="BE4" s="1134">
        <v>2002</v>
      </c>
      <c r="BF4" s="1134" t="s">
        <v>784</v>
      </c>
      <c r="BH4" s="1081" t="s">
        <v>785</v>
      </c>
      <c r="BJ4" s="1081" t="s">
        <v>785</v>
      </c>
      <c r="BL4" s="1081" t="s">
        <v>785</v>
      </c>
      <c r="BN4" s="1081" t="s">
        <v>785</v>
      </c>
      <c r="BQ4" s="1468" t="s">
        <v>786</v>
      </c>
      <c r="BR4" s="1173" t="s">
        <v>787</v>
      </c>
      <c r="BS4" s="260"/>
      <c r="BT4" s="1468" t="s">
        <v>788</v>
      </c>
      <c r="BU4" s="1173" t="s">
        <v>789</v>
      </c>
      <c r="BV4" s="1083"/>
      <c r="BW4" s="1743" t="s">
        <v>790</v>
      </c>
      <c r="BX4" s="1737" t="s">
        <v>791</v>
      </c>
      <c r="BZ4" s="1468" t="s">
        <v>792</v>
      </c>
      <c r="CA4" s="1173" t="s">
        <v>793</v>
      </c>
    </row>
    <row customHeight="1" ht="11.25">
      <c r="A5" s="1087" t="s">
        <v>794</v>
      </c>
      <c r="B5" s="1088">
        <v>2003</v>
      </c>
      <c r="C5" s="1088">
        <v>2025</v>
      </c>
      <c r="E5" s="1089" t="s">
        <v>795</v>
      </c>
      <c r="F5" s="1089" t="s">
        <v>796</v>
      </c>
      <c r="H5" s="1090" t="s">
        <v>797</v>
      </c>
      <c r="I5" s="1089" t="s">
        <v>91</v>
      </c>
      <c r="K5" s="1091" t="s">
        <v>798</v>
      </c>
      <c r="L5" s="1091" t="s">
        <v>798</v>
      </c>
      <c r="M5" s="1091">
        <v>4</v>
      </c>
      <c r="N5" s="1105" t="s">
        <v>799</v>
      </c>
      <c r="O5" s="1089" t="s">
        <v>800</v>
      </c>
      <c r="Q5" s="1094" t="s">
        <v>801</v>
      </c>
      <c r="R5" s="129" t="s">
        <v>802</v>
      </c>
      <c r="T5" s="1090" t="s">
        <v>803</v>
      </c>
      <c r="U5" s="1092" t="s">
        <v>804</v>
      </c>
      <c r="V5" s="1096">
        <v>4</v>
      </c>
      <c r="W5" s="1097"/>
      <c r="X5" s="1097" t="s">
        <v>269</v>
      </c>
      <c r="Y5" s="1088" t="s">
        <v>805</v>
      </c>
      <c r="Z5" s="1104">
        <v>1</v>
      </c>
      <c r="AF5" s="1090" t="s">
        <v>806</v>
      </c>
      <c r="AH5" s="1089" t="s">
        <v>807</v>
      </c>
      <c r="AK5" s="1089" t="s">
        <v>808</v>
      </c>
      <c r="AM5" s="1089" t="s">
        <v>809</v>
      </c>
      <c r="AP5" s="1100" t="s">
        <v>269</v>
      </c>
      <c r="AQ5" s="1101" t="s">
        <v>269</v>
      </c>
      <c r="AU5" s="1134" t="s">
        <v>810</v>
      </c>
      <c r="AW5" s="1134" t="s">
        <v>811</v>
      </c>
      <c r="AX5" s="1134" t="s">
        <v>811</v>
      </c>
      <c r="AZ5" s="1134" t="s">
        <v>812</v>
      </c>
      <c r="BB5" s="1134" t="s">
        <v>813</v>
      </c>
      <c r="BC5" s="1134" t="s">
        <v>814</v>
      </c>
      <c r="BE5" s="1134">
        <v>2003</v>
      </c>
      <c r="BF5" s="1134" t="s">
        <v>815</v>
      </c>
      <c r="BH5" s="1081" t="s">
        <v>816</v>
      </c>
      <c r="BJ5" s="1081" t="s">
        <v>816</v>
      </c>
      <c r="BL5" s="1081" t="s">
        <v>816</v>
      </c>
      <c r="BN5" s="1081" t="s">
        <v>817</v>
      </c>
      <c r="BQ5" s="1317">
        <v>4213775</v>
      </c>
      <c r="BR5" s="1081" t="s">
        <v>710</v>
      </c>
      <c r="BS5" s="1465"/>
      <c r="BT5" s="1317">
        <v>64236871</v>
      </c>
      <c r="BU5" s="1081" t="s">
        <v>318</v>
      </c>
      <c r="BV5" s="1083"/>
      <c r="BW5" s="1741">
        <v>4213767</v>
      </c>
      <c r="BX5" s="1739" t="s">
        <v>818</v>
      </c>
      <c r="BZ5" s="1317">
        <v>64237509</v>
      </c>
      <c r="CA5" s="1331" t="s">
        <v>819</v>
      </c>
    </row>
    <row customHeight="1" ht="11.25">
      <c r="A6" s="1087" t="s">
        <v>820</v>
      </c>
      <c r="B6" s="1088">
        <v>2004</v>
      </c>
      <c r="C6" s="1088">
        <v>2026</v>
      </c>
      <c r="E6" s="1089" t="s">
        <v>821</v>
      </c>
      <c r="F6" s="1106"/>
      <c r="H6" s="1090" t="s">
        <v>822</v>
      </c>
      <c r="I6" s="1089" t="s">
        <v>113</v>
      </c>
      <c r="J6" s="1080" t="s">
        <v>823</v>
      </c>
      <c r="N6" s="1105" t="s">
        <v>824</v>
      </c>
      <c r="O6" s="1089" t="s">
        <v>825</v>
      </c>
      <c r="R6" s="129" t="s">
        <v>705</v>
      </c>
      <c r="T6" s="1090" t="s">
        <v>826</v>
      </c>
      <c r="U6" s="1092" t="s">
        <v>806</v>
      </c>
      <c r="V6" s="1096">
        <v>5</v>
      </c>
      <c r="W6" s="1097"/>
      <c r="X6" s="1088" t="s">
        <v>275</v>
      </c>
      <c r="Y6" s="1088" t="s">
        <v>827</v>
      </c>
      <c r="Z6" s="1104"/>
      <c r="AA6" s="1107"/>
      <c r="AH6" s="1089" t="s">
        <v>828</v>
      </c>
      <c r="AK6" s="1089" t="s">
        <v>829</v>
      </c>
      <c r="AM6" s="1089" t="s">
        <v>830</v>
      </c>
      <c r="AP6" s="1100" t="s">
        <v>275</v>
      </c>
      <c r="AQ6" s="1101" t="s">
        <v>275</v>
      </c>
      <c r="AU6" s="1134" t="s">
        <v>831</v>
      </c>
      <c r="AW6" s="1134" t="s">
        <v>832</v>
      </c>
      <c r="AX6" s="1134" t="s">
        <v>832</v>
      </c>
      <c r="BB6" s="1134" t="s">
        <v>833</v>
      </c>
      <c r="BC6" s="1134" t="s">
        <v>814</v>
      </c>
      <c r="BE6" s="1134">
        <v>2004</v>
      </c>
      <c r="BF6" s="1134" t="s">
        <v>834</v>
      </c>
      <c r="BH6" s="1081" t="s">
        <v>835</v>
      </c>
      <c r="BJ6" s="1081" t="s">
        <v>836</v>
      </c>
      <c r="BL6" s="1081" t="s">
        <v>836</v>
      </c>
      <c r="BN6" s="1081" t="s">
        <v>837</v>
      </c>
      <c r="BQ6" s="1317">
        <v>4213784</v>
      </c>
      <c r="BR6" s="1331" t="s">
        <v>746</v>
      </c>
      <c r="BS6" s="1466"/>
      <c r="BT6" s="1317">
        <v>64236872</v>
      </c>
      <c r="BU6" s="1081" t="s">
        <v>323</v>
      </c>
      <c r="BV6" s="1083"/>
      <c r="BW6" s="1741">
        <v>4213768</v>
      </c>
      <c r="BX6" s="1739" t="s">
        <v>343</v>
      </c>
      <c r="BZ6" s="1317">
        <v>64237510</v>
      </c>
      <c r="CA6" s="1081" t="s">
        <v>838</v>
      </c>
    </row>
    <row customHeight="1" ht="11.25">
      <c r="A7" s="1087" t="s">
        <v>839</v>
      </c>
      <c r="B7" s="1088">
        <v>2005</v>
      </c>
      <c r="E7" s="1089" t="s">
        <v>840</v>
      </c>
      <c r="F7" s="1106"/>
      <c r="H7" s="1090" t="s">
        <v>841</v>
      </c>
      <c r="I7" s="1089" t="s">
        <v>92</v>
      </c>
      <c r="J7" s="1089" t="s">
        <v>842</v>
      </c>
      <c r="N7" s="1109" t="s">
        <v>843</v>
      </c>
      <c r="O7" s="1089" t="s">
        <v>844</v>
      </c>
      <c r="U7" s="1092" t="s">
        <v>57</v>
      </c>
      <c r="V7" s="370" t="s">
        <v>92</v>
      </c>
      <c r="W7" s="1097"/>
      <c r="X7" s="1088" t="s">
        <v>281</v>
      </c>
      <c r="Y7" s="1088" t="s">
        <v>805</v>
      </c>
      <c r="Z7" s="1104"/>
      <c r="AA7" s="1107"/>
      <c r="AH7" s="1089" t="s">
        <v>845</v>
      </c>
      <c r="AK7" s="1089" t="s">
        <v>846</v>
      </c>
      <c r="AM7" s="1089" t="s">
        <v>847</v>
      </c>
      <c r="AP7" s="1100" t="s">
        <v>281</v>
      </c>
      <c r="AQ7" s="1101" t="s">
        <v>281</v>
      </c>
      <c r="AU7" s="1134" t="s">
        <v>848</v>
      </c>
      <c r="AW7" s="1134" t="s">
        <v>849</v>
      </c>
      <c r="AX7" s="1134" t="s">
        <v>849</v>
      </c>
      <c r="AZ7" s="1080" t="s">
        <v>850</v>
      </c>
      <c r="BB7" s="1134" t="s">
        <v>851</v>
      </c>
      <c r="BC7" s="1134" t="s">
        <v>814</v>
      </c>
      <c r="BE7" s="1134">
        <v>2005</v>
      </c>
      <c r="BF7" s="1134" t="s">
        <v>852</v>
      </c>
      <c r="BH7" s="1081" t="s">
        <v>853</v>
      </c>
      <c r="BJ7" s="1081" t="s">
        <v>835</v>
      </c>
      <c r="BL7" s="1081" t="s">
        <v>835</v>
      </c>
      <c r="BN7" s="1081" t="s">
        <v>854</v>
      </c>
      <c r="BQ7" s="1317">
        <v>4213781</v>
      </c>
      <c r="BR7" s="1081" t="s">
        <v>739</v>
      </c>
      <c r="BS7" s="1465"/>
      <c r="BT7" s="1317">
        <v>64236873</v>
      </c>
      <c r="BU7" s="1081" t="s">
        <v>328</v>
      </c>
      <c r="BV7" s="1083"/>
      <c r="BW7" s="1741">
        <v>4213769</v>
      </c>
      <c r="BX7" s="1739" t="s">
        <v>855</v>
      </c>
      <c r="BZ7" s="1317">
        <v>64237511</v>
      </c>
      <c r="CA7" s="1081" t="s">
        <v>358</v>
      </c>
    </row>
    <row customHeight="1" ht="11.25">
      <c r="A8" s="1087" t="s">
        <v>856</v>
      </c>
      <c r="B8" s="1088">
        <v>2006</v>
      </c>
      <c r="E8" s="1089" t="s">
        <v>857</v>
      </c>
      <c r="F8" s="1106"/>
      <c r="I8" s="1089" t="s">
        <v>93</v>
      </c>
      <c r="J8" s="1089" t="s">
        <v>858</v>
      </c>
      <c r="N8" s="1177" t="s">
        <v>859</v>
      </c>
      <c r="O8" s="1089" t="s">
        <v>860</v>
      </c>
      <c r="V8" s="370" t="s">
        <v>93</v>
      </c>
      <c r="W8" s="1097"/>
      <c r="X8" s="1088" t="s">
        <v>287</v>
      </c>
      <c r="Y8" s="1088" t="s">
        <v>805</v>
      </c>
      <c r="Z8" s="1104"/>
      <c r="AA8" s="1107"/>
      <c r="AK8" s="1089" t="s">
        <v>861</v>
      </c>
      <c r="AP8" s="1100" t="s">
        <v>287</v>
      </c>
      <c r="AQ8" s="1101" t="s">
        <v>287</v>
      </c>
      <c r="AU8" s="1134" t="s">
        <v>862</v>
      </c>
      <c r="AW8" s="1134" t="s">
        <v>863</v>
      </c>
      <c r="AX8" s="1134" t="s">
        <v>863</v>
      </c>
      <c r="AZ8" s="1134" t="s">
        <v>864</v>
      </c>
      <c r="BB8" s="1134" t="s">
        <v>865</v>
      </c>
      <c r="BC8" s="1134" t="s">
        <v>814</v>
      </c>
      <c r="BE8" s="1134">
        <v>2006</v>
      </c>
      <c r="BF8" s="1134" t="s">
        <v>866</v>
      </c>
      <c r="BH8" s="1081" t="s">
        <v>867</v>
      </c>
      <c r="BJ8" s="1081" t="s">
        <v>868</v>
      </c>
      <c r="BL8" s="1081" t="s">
        <v>868</v>
      </c>
      <c r="BN8" s="1081" t="s">
        <v>869</v>
      </c>
      <c r="BQ8" s="1317">
        <v>4213776</v>
      </c>
      <c r="BR8" s="1081" t="s">
        <v>269</v>
      </c>
      <c r="BS8" s="1465"/>
      <c r="BT8" s="1317">
        <v>64236874</v>
      </c>
      <c r="BU8" s="1331" t="s">
        <v>870</v>
      </c>
      <c r="BV8" s="1083"/>
      <c r="BW8" s="1741">
        <v>4213770</v>
      </c>
      <c r="BX8" s="1742" t="s">
        <v>871</v>
      </c>
      <c r="BZ8" s="1317">
        <v>64237512</v>
      </c>
      <c r="CA8" s="1081" t="s">
        <v>353</v>
      </c>
    </row>
    <row customHeight="1" ht="11.25">
      <c r="A9" s="1087" t="s">
        <v>872</v>
      </c>
      <c r="B9" s="1088">
        <v>2007</v>
      </c>
      <c r="E9" s="1089" t="s">
        <v>873</v>
      </c>
      <c r="F9" s="1106"/>
      <c r="G9" s="1080" t="s">
        <v>874</v>
      </c>
      <c r="H9" s="1080" t="s">
        <v>875</v>
      </c>
      <c r="I9" s="1089" t="s">
        <v>123</v>
      </c>
      <c r="O9" s="1089" t="s">
        <v>876</v>
      </c>
      <c r="V9" s="370" t="s">
        <v>123</v>
      </c>
      <c r="W9" s="1097"/>
      <c r="X9" s="1088" t="s">
        <v>293</v>
      </c>
      <c r="Y9" s="1088" t="s">
        <v>711</v>
      </c>
      <c r="Z9" s="1104">
        <v>1</v>
      </c>
      <c r="AA9" s="1107"/>
      <c r="AK9" s="1089" t="s">
        <v>877</v>
      </c>
      <c r="AP9" s="1100" t="s">
        <v>878</v>
      </c>
      <c r="AQ9" s="1101" t="s">
        <v>878</v>
      </c>
      <c r="AW9" s="1134" t="s">
        <v>879</v>
      </c>
      <c r="AX9" s="1134" t="s">
        <v>879</v>
      </c>
      <c r="AZ9" s="1134" t="s">
        <v>880</v>
      </c>
      <c r="BB9" s="1134" t="s">
        <v>881</v>
      </c>
      <c r="BC9" s="1134" t="s">
        <v>814</v>
      </c>
      <c r="BE9" s="1134">
        <v>2007</v>
      </c>
      <c r="BF9" s="1134" t="s">
        <v>882</v>
      </c>
      <c r="BH9" s="1081" t="s">
        <v>883</v>
      </c>
      <c r="BJ9" s="1081" t="s">
        <v>884</v>
      </c>
      <c r="BL9" s="1081" t="s">
        <v>884</v>
      </c>
      <c r="BN9" s="1081" t="s">
        <v>885</v>
      </c>
      <c r="BQ9" s="1317">
        <v>4213777</v>
      </c>
      <c r="BR9" s="1081" t="s">
        <v>275</v>
      </c>
      <c r="BS9" s="1465"/>
      <c r="BT9" s="1317">
        <v>64236875</v>
      </c>
      <c r="BU9" s="1081" t="s">
        <v>333</v>
      </c>
      <c r="BV9" s="1083"/>
      <c r="BW9" s="1736"/>
      <c r="BX9" s="1736"/>
    </row>
    <row customHeight="1" ht="11.25">
      <c r="A10" s="1087" t="s">
        <v>886</v>
      </c>
      <c r="B10" s="1088">
        <v>2008</v>
      </c>
      <c r="E10" s="1089" t="s">
        <v>887</v>
      </c>
      <c r="F10" s="1106"/>
      <c r="G10" s="1089" t="s">
        <v>888</v>
      </c>
      <c r="H10" s="1089" t="s">
        <v>889</v>
      </c>
      <c r="I10" s="1089" t="s">
        <v>127</v>
      </c>
      <c r="J10" s="1080" t="s">
        <v>890</v>
      </c>
      <c r="K10" s="1080" t="s">
        <v>891</v>
      </c>
      <c r="O10" s="1089" t="s">
        <v>892</v>
      </c>
      <c r="V10" s="371" t="s">
        <v>127</v>
      </c>
      <c r="W10" s="1110"/>
      <c r="X10" s="1110" t="s">
        <v>893</v>
      </c>
      <c r="Y10" s="1111" t="s">
        <v>894</v>
      </c>
      <c r="Z10" s="1104"/>
      <c r="AP10" s="1100" t="s">
        <v>893</v>
      </c>
      <c r="AQ10" s="1101" t="s">
        <v>893</v>
      </c>
      <c r="AW10" s="1134" t="s">
        <v>895</v>
      </c>
      <c r="AX10" s="1134" t="s">
        <v>895</v>
      </c>
      <c r="AZ10" s="1134" t="s">
        <v>896</v>
      </c>
      <c r="BB10" s="1134" t="s">
        <v>897</v>
      </c>
      <c r="BC10" s="1134" t="s">
        <v>814</v>
      </c>
      <c r="BE10" s="1134">
        <v>2008</v>
      </c>
      <c r="BF10" s="1134" t="s">
        <v>898</v>
      </c>
      <c r="BH10" s="1081" t="s">
        <v>899</v>
      </c>
      <c r="BJ10" s="1081" t="s">
        <v>900</v>
      </c>
      <c r="BL10" s="1081" t="s">
        <v>900</v>
      </c>
      <c r="BN10" s="1081" t="s">
        <v>901</v>
      </c>
      <c r="BQ10" s="1317">
        <v>4213778</v>
      </c>
      <c r="BR10" s="1081" t="s">
        <v>281</v>
      </c>
      <c r="BS10" s="1465"/>
      <c r="BT10" s="1317">
        <v>64236876</v>
      </c>
      <c r="BU10" s="1081" t="s">
        <v>313</v>
      </c>
      <c r="BV10" s="1083"/>
      <c r="BW10" s="1736"/>
      <c r="BX10" s="1736"/>
    </row>
    <row customHeight="1" ht="11.25">
      <c r="A11" s="1087" t="s">
        <v>902</v>
      </c>
      <c r="B11" s="1088">
        <v>2009</v>
      </c>
      <c r="E11" s="1089" t="s">
        <v>903</v>
      </c>
      <c r="F11" s="1106"/>
      <c r="G11" s="1089" t="s">
        <v>904</v>
      </c>
      <c r="H11" s="1089" t="s">
        <v>905</v>
      </c>
      <c r="I11" s="1089" t="s">
        <v>131</v>
      </c>
      <c r="J11" s="1090" t="s">
        <v>906</v>
      </c>
      <c r="K11" s="1112" t="s">
        <v>907</v>
      </c>
      <c r="O11" s="1090" t="s">
        <v>908</v>
      </c>
      <c r="V11" s="370" t="s">
        <v>131</v>
      </c>
      <c r="W11" s="261"/>
      <c r="X11" s="1097" t="s">
        <v>878</v>
      </c>
      <c r="Y11" s="1088" t="s">
        <v>909</v>
      </c>
      <c r="Z11" s="1104"/>
      <c r="AP11" s="1100" t="s">
        <v>293</v>
      </c>
      <c r="AQ11" s="1102" t="s">
        <v>293</v>
      </c>
      <c r="AW11" s="1134" t="s">
        <v>910</v>
      </c>
      <c r="AX11" s="1134" t="s">
        <v>910</v>
      </c>
      <c r="AZ11" s="1134" t="s">
        <v>911</v>
      </c>
      <c r="BB11" s="1134" t="s">
        <v>912</v>
      </c>
      <c r="BC11" s="1134" t="s">
        <v>814</v>
      </c>
      <c r="BE11" s="1134">
        <v>2009</v>
      </c>
      <c r="BF11" s="1134" t="s">
        <v>913</v>
      </c>
      <c r="BH11" s="1081" t="s">
        <v>914</v>
      </c>
      <c r="BJ11" s="1081" t="s">
        <v>883</v>
      </c>
      <c r="BL11" s="1081" t="s">
        <v>883</v>
      </c>
      <c r="BN11" s="1081" t="s">
        <v>915</v>
      </c>
      <c r="BQ11" s="1317">
        <v>4213780</v>
      </c>
      <c r="BR11" s="1081" t="s">
        <v>287</v>
      </c>
      <c r="BS11" s="1465"/>
      <c r="BW11" s="1736"/>
      <c r="BX11" s="1736"/>
    </row>
    <row customHeight="1" ht="11.25">
      <c r="A12" s="1087" t="s">
        <v>916</v>
      </c>
      <c r="B12" s="1088">
        <v>2010</v>
      </c>
      <c r="E12" s="1089" t="s">
        <v>917</v>
      </c>
      <c r="F12" s="1106"/>
      <c r="G12" s="1089" t="s">
        <v>905</v>
      </c>
      <c r="I12" s="1089" t="s">
        <v>135</v>
      </c>
      <c r="J12" s="1090" t="s">
        <v>918</v>
      </c>
      <c r="K12" s="1112" t="s">
        <v>919</v>
      </c>
      <c r="O12" s="1090" t="s">
        <v>705</v>
      </c>
      <c r="V12" s="370" t="s">
        <v>135</v>
      </c>
      <c r="W12" s="1102"/>
      <c r="X12" s="1097" t="s">
        <v>920</v>
      </c>
      <c r="Y12" s="1088" t="s">
        <v>711</v>
      </c>
      <c r="AP12" s="1100"/>
      <c r="AW12" s="1134" t="s">
        <v>131</v>
      </c>
      <c r="AX12" s="1134" t="s">
        <v>131</v>
      </c>
      <c r="AZ12" s="1134" t="s">
        <v>921</v>
      </c>
      <c r="BB12" s="1134" t="s">
        <v>922</v>
      </c>
      <c r="BC12" s="1134" t="s">
        <v>814</v>
      </c>
      <c r="BE12" s="1134">
        <v>2010</v>
      </c>
      <c r="BF12" s="1134" t="s">
        <v>923</v>
      </c>
      <c r="BH12" s="1081" t="s">
        <v>924</v>
      </c>
      <c r="BJ12" s="1081" t="s">
        <v>925</v>
      </c>
      <c r="BL12" s="1081" t="s">
        <v>925</v>
      </c>
      <c r="BN12" s="1081" t="s">
        <v>926</v>
      </c>
      <c r="BQ12" s="1317">
        <v>4213779</v>
      </c>
      <c r="BR12" s="1081" t="s">
        <v>878</v>
      </c>
      <c r="BS12" s="1465"/>
      <c r="BT12" s="1083"/>
      <c r="BU12" s="1083"/>
      <c r="BV12" s="1083"/>
      <c r="BW12" s="1736"/>
      <c r="BX12" s="1736"/>
    </row>
    <row customHeight="1" ht="11.25">
      <c r="A13" s="1087" t="s">
        <v>927</v>
      </c>
      <c r="B13" s="1088">
        <v>2011</v>
      </c>
      <c r="E13" s="1089" t="s">
        <v>928</v>
      </c>
      <c r="F13" s="1106"/>
      <c r="I13" s="1089" t="s">
        <v>139</v>
      </c>
      <c r="K13" s="1112" t="s">
        <v>877</v>
      </c>
      <c r="V13" s="370" t="s">
        <v>139</v>
      </c>
      <c r="W13" s="1102"/>
      <c r="X13" s="1102"/>
      <c r="Y13" s="1102"/>
      <c r="AW13" s="1134" t="s">
        <v>135</v>
      </c>
      <c r="AX13" s="1134" t="s">
        <v>135</v>
      </c>
      <c r="BB13" s="1134" t="s">
        <v>929</v>
      </c>
      <c r="BC13" s="1134" t="s">
        <v>930</v>
      </c>
      <c r="BE13" s="1134">
        <v>2011</v>
      </c>
      <c r="BF13" s="1134" t="s">
        <v>931</v>
      </c>
      <c r="BH13" s="1081" t="s">
        <v>932</v>
      </c>
      <c r="BJ13" s="1081" t="s">
        <v>914</v>
      </c>
      <c r="BL13" s="1081" t="s">
        <v>914</v>
      </c>
      <c r="BN13" s="1081" t="s">
        <v>933</v>
      </c>
      <c r="BQ13" s="1317">
        <v>4213783</v>
      </c>
      <c r="BR13" s="1081" t="s">
        <v>893</v>
      </c>
      <c r="BS13" s="1465"/>
      <c r="BT13" s="1083"/>
      <c r="BU13" s="1083"/>
      <c r="BV13" s="1083"/>
      <c r="BW13" s="1740"/>
      <c r="BX13" s="1736"/>
    </row>
    <row customHeight="1" ht="11.25">
      <c r="A14" s="1087" t="s">
        <v>934</v>
      </c>
      <c r="B14" s="1088">
        <v>2012</v>
      </c>
      <c r="I14" s="1089" t="s">
        <v>142</v>
      </c>
      <c r="J14" s="1080" t="s">
        <v>935</v>
      </c>
      <c r="N14" s="1080" t="s">
        <v>936</v>
      </c>
      <c r="V14" s="1096">
        <v>13</v>
      </c>
      <c r="W14" s="1097"/>
      <c r="X14" s="1097" t="s">
        <v>746</v>
      </c>
      <c r="Y14" s="1088" t="s">
        <v>711</v>
      </c>
      <c r="AW14" s="1134" t="s">
        <v>139</v>
      </c>
      <c r="AX14" s="1134" t="s">
        <v>139</v>
      </c>
      <c r="AZ14" s="1080" t="s">
        <v>937</v>
      </c>
      <c r="BB14" s="1134" t="s">
        <v>938</v>
      </c>
      <c r="BC14" s="1134" t="s">
        <v>930</v>
      </c>
      <c r="BE14" s="1134">
        <v>2012</v>
      </c>
      <c r="BH14" s="1081" t="s">
        <v>854</v>
      </c>
      <c r="BJ14" s="1235" t="s">
        <v>939</v>
      </c>
      <c r="BL14" s="1235" t="s">
        <v>939</v>
      </c>
      <c r="BN14" s="1081" t="s">
        <v>940</v>
      </c>
      <c r="BQ14" s="1317">
        <v>4213782</v>
      </c>
      <c r="BR14" s="1081" t="s">
        <v>293</v>
      </c>
      <c r="BS14" s="1465"/>
      <c r="BT14" s="1083"/>
      <c r="BU14" s="1083"/>
      <c r="BV14" s="1083"/>
      <c r="BW14" s="1740"/>
      <c r="BX14" s="1736"/>
    </row>
    <row customHeight="1" ht="19.5">
      <c r="A15" s="1087" t="s">
        <v>941</v>
      </c>
      <c r="B15" s="1088">
        <v>2013</v>
      </c>
      <c r="E15" s="1744" t="s">
        <v>942</v>
      </c>
      <c r="G15" s="1080" t="s">
        <v>943</v>
      </c>
      <c r="H15" s="1080" t="s">
        <v>944</v>
      </c>
      <c r="I15" s="1091" t="s">
        <v>146</v>
      </c>
      <c r="J15" s="1102" t="s">
        <v>945</v>
      </c>
      <c r="N15" s="1172" t="s">
        <v>946</v>
      </c>
      <c r="X15" s="1100"/>
      <c r="AW15" s="1134" t="s">
        <v>142</v>
      </c>
      <c r="AX15" s="1134" t="s">
        <v>142</v>
      </c>
      <c r="AZ15" s="1134" t="s">
        <v>864</v>
      </c>
      <c r="BB15" s="1134" t="s">
        <v>947</v>
      </c>
      <c r="BC15" s="1134" t="s">
        <v>930</v>
      </c>
      <c r="BE15" s="1134">
        <v>2013</v>
      </c>
      <c r="BH15" s="1081" t="s">
        <v>869</v>
      </c>
      <c r="BJ15" s="1235" t="s">
        <v>948</v>
      </c>
      <c r="BL15" s="1235" t="s">
        <v>948</v>
      </c>
      <c r="BN15" s="1081" t="s">
        <v>949</v>
      </c>
      <c r="BR15" s="1083"/>
      <c r="BS15" s="1467"/>
      <c r="BT15" s="1083"/>
      <c r="BU15" s="1083"/>
      <c r="BV15" s="1083"/>
      <c r="BW15" s="1740"/>
      <c r="BX15" s="1736"/>
    </row>
    <row customHeight="1" ht="21">
      <c r="A16" s="1087" t="s">
        <v>950</v>
      </c>
      <c r="B16" s="1088">
        <v>2014</v>
      </c>
      <c r="E16" s="1745" t="s">
        <v>951</v>
      </c>
      <c r="G16" s="1089" t="s">
        <v>952</v>
      </c>
      <c r="H16" s="1089" t="s">
        <v>953</v>
      </c>
      <c r="I16" s="1091" t="s">
        <v>150</v>
      </c>
      <c r="J16" s="1102" t="s">
        <v>729</v>
      </c>
      <c r="N16" s="1172" t="s">
        <v>954</v>
      </c>
      <c r="AW16" s="1134" t="s">
        <v>146</v>
      </c>
      <c r="AX16" s="1134" t="s">
        <v>146</v>
      </c>
      <c r="AZ16" s="1134" t="s">
        <v>880</v>
      </c>
      <c r="BB16" s="1134" t="s">
        <v>955</v>
      </c>
      <c r="BC16" s="1134" t="s">
        <v>930</v>
      </c>
      <c r="BE16" s="1134">
        <v>2014</v>
      </c>
      <c r="BH16" s="1081" t="s">
        <v>885</v>
      </c>
      <c r="BJ16" s="1235" t="s">
        <v>956</v>
      </c>
      <c r="BL16" s="1235" t="s">
        <v>956</v>
      </c>
      <c r="BN16" s="1081" t="s">
        <v>957</v>
      </c>
      <c r="BR16" s="1083"/>
      <c r="BS16" s="1467"/>
      <c r="BT16" s="1083"/>
      <c r="BU16" s="1083"/>
      <c r="BV16" s="1083"/>
      <c r="BW16" s="1740"/>
      <c r="BX16" s="1736"/>
    </row>
    <row customHeight="1" ht="21">
      <c r="A17" s="1087" t="s">
        <v>958</v>
      </c>
      <c r="B17" s="1088">
        <v>2015</v>
      </c>
      <c r="G17" s="1089" t="s">
        <v>905</v>
      </c>
      <c r="H17" s="1089" t="s">
        <v>905</v>
      </c>
      <c r="I17" s="1089" t="s">
        <v>154</v>
      </c>
      <c r="N17" s="1172" t="s">
        <v>959</v>
      </c>
      <c r="X17" s="1100"/>
      <c r="AW17" s="1134" t="s">
        <v>150</v>
      </c>
      <c r="AX17" s="1134" t="s">
        <v>150</v>
      </c>
      <c r="AZ17" s="1134" t="s">
        <v>960</v>
      </c>
      <c r="BB17" s="1134" t="s">
        <v>961</v>
      </c>
      <c r="BC17" s="1134" t="s">
        <v>814</v>
      </c>
      <c r="BE17" s="1134">
        <v>2015</v>
      </c>
      <c r="BH17" s="1081" t="s">
        <v>901</v>
      </c>
      <c r="BJ17" s="1235" t="s">
        <v>962</v>
      </c>
      <c r="BL17" s="1235" t="s">
        <v>962</v>
      </c>
      <c r="BN17" s="1081" t="s">
        <v>963</v>
      </c>
      <c r="BR17" s="1080" t="s">
        <v>757</v>
      </c>
      <c r="BS17" s="1464"/>
      <c r="BU17" s="1080" t="s">
        <v>964</v>
      </c>
      <c r="BV17" s="1083"/>
      <c r="BW17" s="1736"/>
      <c r="BX17" s="1738" t="s">
        <v>965</v>
      </c>
      <c r="CA17" s="1080" t="s">
        <v>966</v>
      </c>
      <c r="CD17" s="1080" t="s">
        <v>967</v>
      </c>
    </row>
    <row customHeight="1" ht="21">
      <c r="A18" s="1087" t="s">
        <v>968</v>
      </c>
      <c r="B18" s="1088">
        <v>2016</v>
      </c>
      <c r="I18" s="1089" t="s">
        <v>158</v>
      </c>
      <c r="N18" s="1172" t="s">
        <v>969</v>
      </c>
      <c r="X18" s="1100"/>
      <c r="AW18" s="1134" t="s">
        <v>154</v>
      </c>
      <c r="AX18" s="1134" t="s">
        <v>154</v>
      </c>
      <c r="BB18" s="1134" t="s">
        <v>970</v>
      </c>
      <c r="BC18" s="1134" t="s">
        <v>814</v>
      </c>
      <c r="BE18" s="1134">
        <v>2016</v>
      </c>
      <c r="BH18" s="1081" t="s">
        <v>915</v>
      </c>
      <c r="BJ18" s="1235" t="s">
        <v>971</v>
      </c>
      <c r="BL18" s="1235" t="s">
        <v>971</v>
      </c>
      <c r="BN18" s="1081" t="s">
        <v>972</v>
      </c>
      <c r="BQ18" s="1468" t="s">
        <v>786</v>
      </c>
      <c r="BR18" s="1173" t="s">
        <v>787</v>
      </c>
      <c r="BS18" s="260"/>
      <c r="BT18" s="1468" t="s">
        <v>973</v>
      </c>
      <c r="BU18" s="1173" t="s">
        <v>974</v>
      </c>
      <c r="BV18" s="1083"/>
      <c r="BW18" s="1743" t="s">
        <v>975</v>
      </c>
      <c r="BX18" s="1737" t="s">
        <v>976</v>
      </c>
      <c r="BZ18" s="1468" t="s">
        <v>977</v>
      </c>
      <c r="CA18" s="1173" t="s">
        <v>978</v>
      </c>
      <c r="CC18" s="1468" t="s">
        <v>979</v>
      </c>
      <c r="CD18" s="1173" t="s">
        <v>980</v>
      </c>
    </row>
    <row customHeight="1" ht="21">
      <c r="A19" s="1087" t="s">
        <v>981</v>
      </c>
      <c r="B19" s="1088">
        <v>2017</v>
      </c>
      <c r="I19" s="1089" t="s">
        <v>162</v>
      </c>
      <c r="N19" s="1172" t="s">
        <v>982</v>
      </c>
      <c r="X19" s="1100"/>
      <c r="AW19" s="1134" t="s">
        <v>158</v>
      </c>
      <c r="AX19" s="1134" t="s">
        <v>158</v>
      </c>
      <c r="AZ19" s="1080" t="s">
        <v>983</v>
      </c>
      <c r="BB19" s="1134" t="s">
        <v>984</v>
      </c>
      <c r="BC19" s="1134" t="s">
        <v>814</v>
      </c>
      <c r="BE19" s="1134">
        <v>2017</v>
      </c>
      <c r="BH19" s="1081" t="s">
        <v>985</v>
      </c>
      <c r="BJ19" s="1235" t="s">
        <v>986</v>
      </c>
      <c r="BL19" s="1235" t="s">
        <v>986</v>
      </c>
      <c r="BQ19" s="1317">
        <v>4190064</v>
      </c>
      <c r="BR19" s="1081" t="s">
        <v>987</v>
      </c>
      <c r="BS19" s="1465"/>
      <c r="BT19" s="1317">
        <v>4189671</v>
      </c>
      <c r="BU19" s="1081" t="s">
        <v>988</v>
      </c>
      <c r="BV19" s="1083"/>
      <c r="BW19" s="1741">
        <v>4189706</v>
      </c>
      <c r="BX19" s="1739" t="s">
        <v>989</v>
      </c>
      <c r="BZ19" s="1317">
        <v>4189714</v>
      </c>
      <c r="CA19" s="1081" t="s">
        <v>990</v>
      </c>
      <c r="CC19" s="1317">
        <v>4189708</v>
      </c>
      <c r="CD19" s="1081" t="s">
        <v>991</v>
      </c>
    </row>
    <row customHeight="1" ht="21">
      <c r="A20" s="1087" t="s">
        <v>992</v>
      </c>
      <c r="B20" s="1088">
        <v>2018</v>
      </c>
      <c r="I20" s="1089" t="s">
        <v>166</v>
      </c>
      <c r="N20" s="1172" t="s">
        <v>993</v>
      </c>
      <c r="AW20" s="1134" t="s">
        <v>162</v>
      </c>
      <c r="AX20" s="1134" t="s">
        <v>162</v>
      </c>
      <c r="AZ20" s="1134" t="s">
        <v>994</v>
      </c>
      <c r="BB20" s="1134" t="s">
        <v>995</v>
      </c>
      <c r="BC20" s="1134" t="s">
        <v>930</v>
      </c>
      <c r="BE20" s="1134">
        <v>2018</v>
      </c>
      <c r="BH20" s="1081" t="s">
        <v>926</v>
      </c>
      <c r="BJ20" s="1081" t="s">
        <v>854</v>
      </c>
      <c r="BL20" s="1081" t="s">
        <v>854</v>
      </c>
      <c r="BQ20" s="1317">
        <v>4190065</v>
      </c>
      <c r="BR20" s="1081" t="s">
        <v>996</v>
      </c>
      <c r="BS20" s="1465"/>
      <c r="BT20" s="1317">
        <v>4189672</v>
      </c>
      <c r="BU20" s="1081" t="s">
        <v>997</v>
      </c>
      <c r="BV20" s="1083"/>
      <c r="BW20" s="1741">
        <v>4189705</v>
      </c>
      <c r="BX20" s="1739" t="s">
        <v>998</v>
      </c>
      <c r="BZ20" s="1317">
        <v>4189713</v>
      </c>
      <c r="CA20" s="1081" t="s">
        <v>998</v>
      </c>
      <c r="CC20" s="1317">
        <v>4189709</v>
      </c>
      <c r="CD20" s="1081" t="s">
        <v>999</v>
      </c>
    </row>
    <row customHeight="1" ht="21">
      <c r="A21" s="1087" t="s">
        <v>1000</v>
      </c>
      <c r="B21" s="1088">
        <v>2019</v>
      </c>
      <c r="I21" s="1089" t="s">
        <v>170</v>
      </c>
      <c r="N21" s="1172" t="s">
        <v>1001</v>
      </c>
      <c r="AW21" s="1134" t="s">
        <v>166</v>
      </c>
      <c r="AX21" s="1134" t="s">
        <v>166</v>
      </c>
      <c r="AZ21" s="1134" t="s">
        <v>1002</v>
      </c>
      <c r="BB21" s="1134" t="s">
        <v>1003</v>
      </c>
      <c r="BC21" s="1134" t="s">
        <v>814</v>
      </c>
      <c r="BE21" s="1134">
        <v>2019</v>
      </c>
      <c r="BH21" s="1081" t="s">
        <v>933</v>
      </c>
      <c r="BJ21" s="1081" t="s">
        <v>869</v>
      </c>
      <c r="BL21" s="1081" t="s">
        <v>869</v>
      </c>
      <c r="BQ21" s="1317">
        <v>4190066</v>
      </c>
      <c r="BR21" s="1081" t="s">
        <v>1004</v>
      </c>
      <c r="BS21" s="1465"/>
      <c r="BT21" s="1317">
        <v>4189673</v>
      </c>
      <c r="BU21" s="1081" t="s">
        <v>1005</v>
      </c>
      <c r="BV21" s="1083"/>
      <c r="BW21" s="1741">
        <v>4189707</v>
      </c>
      <c r="BX21" s="1739" t="s">
        <v>1006</v>
      </c>
      <c r="BZ21" s="1317">
        <v>4189712</v>
      </c>
      <c r="CA21" s="1081" t="s">
        <v>1007</v>
      </c>
      <c r="CC21" s="1317">
        <v>4189710</v>
      </c>
      <c r="CD21" s="1081" t="s">
        <v>1008</v>
      </c>
    </row>
    <row customHeight="1" ht="21">
      <c r="A22" s="1087" t="s">
        <v>1009</v>
      </c>
      <c r="B22" s="1088">
        <v>2020</v>
      </c>
      <c r="N22" s="1172" t="s">
        <v>1010</v>
      </c>
      <c r="AW22" s="1134" t="s">
        <v>170</v>
      </c>
      <c r="AX22" s="1134" t="s">
        <v>170</v>
      </c>
      <c r="AZ22" s="1134" t="s">
        <v>1011</v>
      </c>
      <c r="BB22" s="1134" t="s">
        <v>1012</v>
      </c>
      <c r="BC22" s="1134" t="s">
        <v>814</v>
      </c>
      <c r="BE22" s="1134">
        <v>2020</v>
      </c>
      <c r="BH22" s="1081" t="s">
        <v>940</v>
      </c>
      <c r="BJ22" s="1081" t="s">
        <v>885</v>
      </c>
      <c r="BL22" s="1081" t="s">
        <v>885</v>
      </c>
      <c r="BQ22" s="1317">
        <v>4190067</v>
      </c>
      <c r="BR22" s="1081" t="s">
        <v>1013</v>
      </c>
      <c r="BS22" s="1465"/>
      <c r="BT22" s="1317">
        <v>4189674</v>
      </c>
      <c r="BU22" s="1081" t="s">
        <v>1014</v>
      </c>
      <c r="BV22" s="1083"/>
      <c r="BW22" s="1083"/>
      <c r="CC22" s="1317">
        <v>4189711</v>
      </c>
      <c r="CD22" s="1081" t="s">
        <v>382</v>
      </c>
    </row>
    <row customHeight="1" ht="21">
      <c r="A23" s="1087" t="s">
        <v>1015</v>
      </c>
      <c r="B23" s="1088">
        <v>2021</v>
      </c>
      <c r="AW23" s="1134" t="s">
        <v>174</v>
      </c>
      <c r="AX23" s="1134" t="s">
        <v>174</v>
      </c>
      <c r="AZ23" s="1134" t="s">
        <v>1016</v>
      </c>
      <c r="BB23" s="1134" t="s">
        <v>1017</v>
      </c>
      <c r="BC23" s="1134" t="s">
        <v>722</v>
      </c>
      <c r="BE23" s="1134">
        <v>2021</v>
      </c>
      <c r="BH23" s="1081" t="s">
        <v>949</v>
      </c>
      <c r="BJ23" s="1081" t="s">
        <v>901</v>
      </c>
      <c r="BL23" s="1081" t="s">
        <v>901</v>
      </c>
      <c r="BQ23" s="1317">
        <v>4190068</v>
      </c>
      <c r="BR23" s="1081" t="s">
        <v>1018</v>
      </c>
      <c r="BS23" s="1465"/>
      <c r="BT23" s="1317">
        <v>4189675</v>
      </c>
      <c r="BU23" s="1081" t="s">
        <v>1019</v>
      </c>
      <c r="BV23" s="1083"/>
      <c r="BW23" s="1083"/>
      <c r="CC23" s="1317">
        <v>5110778</v>
      </c>
      <c r="CD23" s="1081" t="s">
        <v>1020</v>
      </c>
    </row>
    <row customHeight="1" ht="21">
      <c r="A24" s="1087" t="s">
        <v>1021</v>
      </c>
      <c r="B24" s="1088">
        <v>2022</v>
      </c>
      <c r="AW24" s="1134" t="s">
        <v>178</v>
      </c>
      <c r="AX24" s="1134" t="s">
        <v>178</v>
      </c>
      <c r="AZ24" s="1134" t="s">
        <v>1022</v>
      </c>
      <c r="BB24" s="1134" t="s">
        <v>1023</v>
      </c>
      <c r="BC24" s="1134" t="s">
        <v>1024</v>
      </c>
      <c r="BE24" s="1134">
        <v>2022</v>
      </c>
      <c r="BH24" s="1081" t="s">
        <v>957</v>
      </c>
      <c r="BJ24" s="1081" t="s">
        <v>915</v>
      </c>
      <c r="BL24" s="1081" t="s">
        <v>915</v>
      </c>
      <c r="BQ24" s="1317">
        <v>4190069</v>
      </c>
      <c r="BR24" s="1081" t="s">
        <v>1025</v>
      </c>
      <c r="BS24" s="1465"/>
      <c r="BT24" s="1317">
        <v>4189676</v>
      </c>
      <c r="BU24" s="1081" t="s">
        <v>1026</v>
      </c>
      <c r="BV24" s="1083"/>
      <c r="BW24" s="1083"/>
      <c r="CC24" s="1317">
        <v>25575374</v>
      </c>
      <c r="CD24" s="1081" t="s">
        <v>1027</v>
      </c>
    </row>
    <row customHeight="1" ht="11.25">
      <c r="A25" s="1087" t="s">
        <v>1028</v>
      </c>
      <c r="B25" s="1088">
        <v>2023</v>
      </c>
      <c r="AW25" s="1134" t="s">
        <v>182</v>
      </c>
      <c r="AX25" s="1134" t="s">
        <v>182</v>
      </c>
      <c r="AZ25" s="1134" t="s">
        <v>1029</v>
      </c>
      <c r="BB25" s="1134" t="s">
        <v>1030</v>
      </c>
      <c r="BC25" s="1134" t="s">
        <v>1024</v>
      </c>
      <c r="BE25" s="1134">
        <v>2023</v>
      </c>
      <c r="BH25" s="1081" t="s">
        <v>963</v>
      </c>
      <c r="BJ25" s="1081" t="s">
        <v>985</v>
      </c>
      <c r="BL25" s="1081" t="s">
        <v>985</v>
      </c>
      <c r="BQ25" s="1317">
        <v>4190070</v>
      </c>
      <c r="BR25" s="1081" t="s">
        <v>1031</v>
      </c>
      <c r="BS25" s="1465"/>
      <c r="BT25" s="1317">
        <v>4189677</v>
      </c>
      <c r="BU25" s="1081" t="s">
        <v>1032</v>
      </c>
      <c r="BV25" s="1083"/>
      <c r="BW25" s="1083"/>
    </row>
    <row customHeight="1" ht="11.25">
      <c r="A26" s="1087" t="s">
        <v>1033</v>
      </c>
      <c r="B26" s="1088">
        <v>2024</v>
      </c>
      <c r="J26" s="1777" t="s">
        <v>1034</v>
      </c>
      <c r="AX26" s="1134" t="s">
        <v>175</v>
      </c>
      <c r="AZ26" s="1134" t="s">
        <v>908</v>
      </c>
      <c r="BB26" s="1134" t="s">
        <v>1035</v>
      </c>
      <c r="BC26" s="1134" t="s">
        <v>1024</v>
      </c>
      <c r="BE26" s="1134">
        <v>2024</v>
      </c>
      <c r="BH26" s="1081" t="s">
        <v>972</v>
      </c>
      <c r="BJ26" s="1081" t="s">
        <v>926</v>
      </c>
      <c r="BL26" s="1081" t="s">
        <v>926</v>
      </c>
      <c r="BQ26" s="1317">
        <v>4190071</v>
      </c>
      <c r="BR26" s="1081" t="s">
        <v>1036</v>
      </c>
      <c r="BS26" s="1465"/>
      <c r="BV26" s="1083"/>
      <c r="BW26" s="1083"/>
    </row>
    <row customHeight="1" ht="11.25">
      <c r="A27" s="1087" t="s">
        <v>1037</v>
      </c>
      <c r="B27" s="1088">
        <v>2025</v>
      </c>
      <c r="J27" s="162" t="s">
        <v>103</v>
      </c>
      <c r="AX27" s="1134" t="s">
        <v>189</v>
      </c>
      <c r="BB27" s="1134" t="s">
        <v>1038</v>
      </c>
      <c r="BC27" s="1134" t="s">
        <v>1024</v>
      </c>
      <c r="BE27" s="1134">
        <v>2025</v>
      </c>
      <c r="BH27" s="1083" t="s">
        <v>18</v>
      </c>
      <c r="BJ27" s="1081" t="s">
        <v>933</v>
      </c>
      <c r="BL27" s="1081" t="s">
        <v>933</v>
      </c>
      <c r="BN27" s="1083" t="s">
        <v>18</v>
      </c>
      <c r="BQ27" s="1317">
        <v>4190072</v>
      </c>
      <c r="BR27" s="1081" t="s">
        <v>1039</v>
      </c>
      <c r="BS27" s="1465"/>
      <c r="BV27" s="1083"/>
      <c r="BW27" s="1083"/>
    </row>
    <row customHeight="1" ht="11.25">
      <c r="A28" s="1087" t="s">
        <v>1040</v>
      </c>
      <c r="D28" s="1114"/>
      <c r="E28" s="1115"/>
      <c r="F28" s="1115"/>
      <c r="H28" s="1116" t="s">
        <v>1041</v>
      </c>
      <c r="AX28" s="1134" t="s">
        <v>193</v>
      </c>
      <c r="AZ28" s="1080" t="s">
        <v>1042</v>
      </c>
      <c r="BB28" s="1134" t="s">
        <v>1043</v>
      </c>
      <c r="BC28" s="1134" t="s">
        <v>1044</v>
      </c>
      <c r="BE28" s="1134">
        <v>2026</v>
      </c>
      <c r="BH28" s="1083" t="s">
        <v>18</v>
      </c>
      <c r="BJ28" s="1081" t="s">
        <v>940</v>
      </c>
      <c r="BL28" s="1081" t="s">
        <v>940</v>
      </c>
      <c r="BN28" s="1083" t="s">
        <v>18</v>
      </c>
      <c r="BQ28" s="1317">
        <v>4190073</v>
      </c>
      <c r="BR28" s="1081" t="s">
        <v>1045</v>
      </c>
      <c r="BS28" s="1465"/>
      <c r="BV28" s="1083"/>
      <c r="BW28" s="1083"/>
    </row>
    <row customHeight="1" ht="11.25">
      <c r="A29" s="1087" t="s">
        <v>1046</v>
      </c>
      <c r="D29" s="1117" t="s">
        <v>1047</v>
      </c>
      <c r="E29" s="1118" t="str">
        <f>IF(TEMPLATE_GROUP="","",INDEX(StartDateList,MATCH(TEMPLATE_GROUP,CodeTemplateList,0),1))</f>
        <v>01.07.2023</v>
      </c>
      <c r="F29" s="1118" t="str">
        <f>IF(TEMPLATE_GROUP="","",INDEX(EndDateList,MATCH(TEMPLATE_GROUP,CodeTemplateList,0),1))</f>
        <v>30.09.2023</v>
      </c>
      <c r="H29" s="1119" t="s">
        <v>1048</v>
      </c>
      <c r="AX29" s="1134" t="s">
        <v>197</v>
      </c>
      <c r="AZ29" s="1134" t="s">
        <v>706</v>
      </c>
      <c r="BB29" s="1134" t="s">
        <v>908</v>
      </c>
      <c r="BC29" s="1104"/>
      <c r="BE29" s="1134">
        <v>2027</v>
      </c>
      <c r="BJ29" s="1081" t="s">
        <v>949</v>
      </c>
      <c r="BL29" s="1081" t="s">
        <v>949</v>
      </c>
    </row>
    <row customHeight="1" ht="11.25">
      <c r="A30" s="1087" t="s">
        <v>1049</v>
      </c>
      <c r="D30" s="1120"/>
      <c r="E30" s="1121"/>
      <c r="F30" s="1121"/>
      <c r="AX30" s="1134" t="s">
        <v>201</v>
      </c>
      <c r="AZ30" s="1134" t="s">
        <v>735</v>
      </c>
      <c r="BE30" s="1134">
        <v>2028</v>
      </c>
      <c r="BJ30" s="1081" t="s">
        <v>1050</v>
      </c>
      <c r="BL30" s="1081" t="s">
        <v>1050</v>
      </c>
    </row>
    <row customHeight="1" ht="12.75">
      <c r="A31" s="1087" t="s">
        <v>1051</v>
      </c>
      <c r="D31" s="1114"/>
      <c r="E31" s="1115"/>
      <c r="F31" s="1115"/>
      <c r="H31" s="1122"/>
      <c r="AX31" s="1134" t="s">
        <v>205</v>
      </c>
      <c r="AZ31" s="1134" t="s">
        <v>1052</v>
      </c>
      <c r="BE31" s="1134">
        <v>2029</v>
      </c>
      <c r="BJ31" s="1081" t="s">
        <v>1053</v>
      </c>
      <c r="BL31" s="1081" t="s">
        <v>1053</v>
      </c>
    </row>
    <row customHeight="1" ht="11.25">
      <c r="A32" s="1087" t="s">
        <v>1054</v>
      </c>
      <c r="D32" s="1117" t="s">
        <v>1055</v>
      </c>
      <c r="E32" s="1118" t="str">
        <f>IF(TEMPLATE_GROUP="","",INDEX(StartDateList,MATCH(TEMPLATE_GROUP,CodeTemplateList,0),1))</f>
        <v>01.07.2023</v>
      </c>
      <c r="F32" s="1118" t="str">
        <f>IF(TEMPLATE_GROUP="","",INDEX(EndDateList,MATCH(TEMPLATE_GROUP,CodeTemplateList,0),1))</f>
        <v>30.09.2023</v>
      </c>
      <c r="H32" s="1123" t="s">
        <v>1056</v>
      </c>
      <c r="O32" s="1087" t="s">
        <v>704</v>
      </c>
      <c r="AX32" s="1134" t="s">
        <v>210</v>
      </c>
      <c r="AZ32" s="1134" t="s">
        <v>802</v>
      </c>
      <c r="BE32" s="1134">
        <v>2030</v>
      </c>
      <c r="BJ32" s="1081" t="s">
        <v>957</v>
      </c>
      <c r="BL32" s="1081" t="s">
        <v>957</v>
      </c>
    </row>
    <row customHeight="1" ht="11.25">
      <c r="A33" s="1087" t="s">
        <v>1057</v>
      </c>
      <c r="O33" s="1087" t="s">
        <v>732</v>
      </c>
      <c r="AX33" s="1134" t="s">
        <v>1058</v>
      </c>
      <c r="AZ33" s="1134" t="s">
        <v>705</v>
      </c>
      <c r="BE33" s="1134">
        <v>2031</v>
      </c>
      <c r="BJ33" s="1081" t="s">
        <v>963</v>
      </c>
      <c r="BL33" s="1081" t="s">
        <v>963</v>
      </c>
    </row>
    <row customHeight="1" ht="11.25">
      <c r="A34" s="1087" t="s">
        <v>1059</v>
      </c>
      <c r="O34" s="1087" t="s">
        <v>767</v>
      </c>
      <c r="AX34" s="1134" t="s">
        <v>1060</v>
      </c>
      <c r="BE34" s="1134">
        <v>2032</v>
      </c>
      <c r="BJ34" s="1081" t="s">
        <v>972</v>
      </c>
      <c r="BL34" s="1081" t="s">
        <v>972</v>
      </c>
    </row>
    <row customHeight="1" ht="11.25">
      <c r="A35" s="1087" t="s">
        <v>1061</v>
      </c>
      <c r="O35" s="1087" t="s">
        <v>800</v>
      </c>
      <c r="AX35" s="1134" t="s">
        <v>1062</v>
      </c>
      <c r="AZ35" s="1080" t="s">
        <v>1063</v>
      </c>
      <c r="BE35" s="1134">
        <v>2033</v>
      </c>
      <c r="BL35" s="1081" t="s">
        <v>1064</v>
      </c>
    </row>
    <row customHeight="1" ht="11.25">
      <c r="A36" s="1087" t="s">
        <v>1065</v>
      </c>
      <c r="D36" s="1124" t="s">
        <v>1066</v>
      </c>
      <c r="E36" s="1125" t="s">
        <v>1067</v>
      </c>
      <c r="F36" s="1126" t="str">
        <f>INDEX(E37:E41,MATCH(TEMPLATE_SPHERE,F37:F41,0))</f>
        <v>холодного водоснабжения</v>
      </c>
      <c r="G36" s="1126" t="str">
        <f>INDEX(G37:G41,MATCH(TEMPLATE_SPHERE,F37:F41,0))</f>
        <v>холодное водоснабжение</v>
      </c>
      <c r="O36" s="1087" t="s">
        <v>825</v>
      </c>
      <c r="AX36" s="1134" t="s">
        <v>1068</v>
      </c>
      <c r="AZ36" s="1134" t="s">
        <v>705</v>
      </c>
      <c r="BE36" s="1134">
        <v>2034</v>
      </c>
      <c r="BL36" s="1081" t="s">
        <v>1069</v>
      </c>
    </row>
    <row customHeight="1" ht="11.25">
      <c r="A37" s="1087" t="s">
        <v>1070</v>
      </c>
      <c r="E37" s="414" t="s">
        <v>1071</v>
      </c>
      <c r="F37" s="1127" t="s">
        <v>693</v>
      </c>
      <c r="G37" s="414" t="s">
        <v>1072</v>
      </c>
      <c r="O37" s="1087" t="s">
        <v>844</v>
      </c>
      <c r="AX37" s="1134" t="s">
        <v>1073</v>
      </c>
      <c r="AZ37" s="1134" t="s">
        <v>734</v>
      </c>
      <c r="BE37" s="1134">
        <v>2035</v>
      </c>
    </row>
    <row customHeight="1" ht="11.25">
      <c r="A38" s="1087" t="s">
        <v>1074</v>
      </c>
      <c r="E38" s="414" t="s">
        <v>1075</v>
      </c>
      <c r="F38" s="1128" t="s">
        <v>1067</v>
      </c>
      <c r="G38" s="414" t="s">
        <v>1076</v>
      </c>
      <c r="O38" s="1087" t="s">
        <v>860</v>
      </c>
      <c r="AX38" s="1134" t="s">
        <v>1077</v>
      </c>
      <c r="AZ38" s="1134" t="s">
        <v>768</v>
      </c>
      <c r="BE38" s="1134">
        <v>2036</v>
      </c>
      <c r="BH38" s="1080" t="s">
        <v>1078</v>
      </c>
      <c r="BJ38" s="1080" t="s">
        <v>1079</v>
      </c>
      <c r="BL38" s="1080" t="s">
        <v>1080</v>
      </c>
      <c r="BN38" s="1080" t="s">
        <v>1081</v>
      </c>
    </row>
    <row customHeight="1" ht="11.25">
      <c r="A39" s="1087" t="s">
        <v>1082</v>
      </c>
      <c r="E39" s="414" t="s">
        <v>1083</v>
      </c>
      <c r="F39" s="1128" t="s">
        <v>695</v>
      </c>
      <c r="G39" s="414" t="s">
        <v>1084</v>
      </c>
      <c r="O39" s="1087" t="s">
        <v>876</v>
      </c>
      <c r="AX39" s="1134" t="s">
        <v>117</v>
      </c>
      <c r="AZ39" s="1134" t="s">
        <v>801</v>
      </c>
      <c r="BE39" s="1134">
        <v>2037</v>
      </c>
      <c r="BH39" s="1081" t="s">
        <v>1085</v>
      </c>
      <c r="BJ39" s="1235" t="s">
        <v>1085</v>
      </c>
      <c r="BL39" s="1235" t="s">
        <v>1085</v>
      </c>
      <c r="BN39" s="1081" t="s">
        <v>1086</v>
      </c>
    </row>
    <row customHeight="1" ht="11.25">
      <c r="A40" s="1087" t="s">
        <v>1087</v>
      </c>
      <c r="E40" s="414" t="s">
        <v>1088</v>
      </c>
      <c r="F40" s="1128" t="s">
        <v>1089</v>
      </c>
      <c r="G40" s="414" t="s">
        <v>1090</v>
      </c>
      <c r="O40" s="1087" t="s">
        <v>892</v>
      </c>
      <c r="AX40" s="1134" t="s">
        <v>1091</v>
      </c>
      <c r="BE40" s="1134">
        <v>2038</v>
      </c>
      <c r="BH40" s="1081" t="s">
        <v>1092</v>
      </c>
      <c r="BJ40" s="1235" t="s">
        <v>1093</v>
      </c>
      <c r="BL40" s="1235" t="s">
        <v>1093</v>
      </c>
      <c r="BN40" s="1081" t="s">
        <v>1094</v>
      </c>
    </row>
    <row customHeight="1" ht="11.25">
      <c r="A41" s="1087" t="s">
        <v>1095</v>
      </c>
      <c r="E41" s="414" t="s">
        <v>1096</v>
      </c>
      <c r="F41" s="1128" t="s">
        <v>1097</v>
      </c>
      <c r="G41" s="414" t="s">
        <v>1096</v>
      </c>
      <c r="O41" s="1087" t="s">
        <v>908</v>
      </c>
      <c r="AX41" s="1134" t="s">
        <v>1098</v>
      </c>
      <c r="AZ41" s="1080" t="s">
        <v>1099</v>
      </c>
      <c r="BE41" s="1134">
        <v>2039</v>
      </c>
      <c r="BH41" s="1081" t="s">
        <v>1100</v>
      </c>
      <c r="BJ41" s="1235" t="s">
        <v>1101</v>
      </c>
      <c r="BL41" s="1235" t="s">
        <v>1101</v>
      </c>
      <c r="BN41" s="1081" t="s">
        <v>1102</v>
      </c>
    </row>
    <row customHeight="1" ht="11.25">
      <c r="A42" s="1087" t="s">
        <v>1103</v>
      </c>
      <c r="AX42" s="1134" t="s">
        <v>1104</v>
      </c>
      <c r="AZ42" s="1134" t="s">
        <v>704</v>
      </c>
      <c r="BE42" s="1134">
        <v>2040</v>
      </c>
      <c r="BH42" s="1081" t="s">
        <v>1105</v>
      </c>
      <c r="BJ42" s="1235" t="s">
        <v>1106</v>
      </c>
      <c r="BL42" s="1235" t="s">
        <v>1106</v>
      </c>
      <c r="BN42" s="1081" t="s">
        <v>1107</v>
      </c>
    </row>
    <row customHeight="1" ht="11.25">
      <c r="A43" s="1087" t="s">
        <v>1108</v>
      </c>
      <c r="AX43" s="1134" t="s">
        <v>1109</v>
      </c>
      <c r="AZ43" s="1134" t="s">
        <v>732</v>
      </c>
      <c r="BE43" s="1134">
        <v>2041</v>
      </c>
      <c r="BH43" s="1081" t="s">
        <v>1110</v>
      </c>
      <c r="BJ43" s="1235" t="s">
        <v>1100</v>
      </c>
      <c r="BL43" s="1235" t="s">
        <v>1100</v>
      </c>
      <c r="BN43" s="1081" t="s">
        <v>1111</v>
      </c>
    </row>
    <row customHeight="1" ht="11.25">
      <c r="A44" s="1087" t="s">
        <v>1112</v>
      </c>
      <c r="I44" s="809" t="s">
        <v>1113</v>
      </c>
      <c r="J44" s="1102" t="s">
        <v>1114</v>
      </c>
      <c r="K44" s="1102" t="s">
        <v>1115</v>
      </c>
      <c r="AX44" s="1134" t="s">
        <v>1116</v>
      </c>
      <c r="AZ44" s="1134" t="s">
        <v>767</v>
      </c>
      <c r="BE44" s="1134">
        <v>2042</v>
      </c>
      <c r="BH44" s="1081" t="s">
        <v>1117</v>
      </c>
      <c r="BJ44" s="1235" t="s">
        <v>1105</v>
      </c>
      <c r="BL44" s="1235" t="s">
        <v>1105</v>
      </c>
      <c r="BN44" s="1081" t="s">
        <v>1118</v>
      </c>
    </row>
    <row customHeight="1" ht="11.25">
      <c r="A45" s="1087" t="s">
        <v>1119</v>
      </c>
      <c r="D45" s="1124" t="s">
        <v>1120</v>
      </c>
      <c r="E45" s="1125" t="s">
        <v>1121</v>
      </c>
      <c r="F45" s="807" t="s">
        <v>1122</v>
      </c>
      <c r="G45" s="806" t="s">
        <v>1123</v>
      </c>
      <c r="H45" s="809" t="s">
        <v>1124</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1125</v>
      </c>
      <c r="AZ45" s="1134" t="s">
        <v>800</v>
      </c>
      <c r="BE45" s="1134">
        <v>2043</v>
      </c>
      <c r="BH45" s="1081" t="s">
        <v>1126</v>
      </c>
      <c r="BJ45" s="1235" t="s">
        <v>1127</v>
      </c>
      <c r="BL45" s="1235" t="s">
        <v>1127</v>
      </c>
      <c r="BN45" s="1081" t="s">
        <v>1128</v>
      </c>
    </row>
    <row customHeight="1" ht="11.25">
      <c r="A46" s="1087" t="s">
        <v>1129</v>
      </c>
      <c r="E46" s="414" t="s">
        <v>23</v>
      </c>
      <c r="F46" s="1127" t="s">
        <v>1130</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1131</v>
      </c>
      <c r="AZ46" s="1134" t="s">
        <v>825</v>
      </c>
      <c r="BE46" s="1134">
        <v>2044</v>
      </c>
      <c r="BH46" s="1081" t="s">
        <v>1102</v>
      </c>
      <c r="BJ46" s="1235" t="s">
        <v>1132</v>
      </c>
      <c r="BL46" s="1235" t="s">
        <v>1132</v>
      </c>
      <c r="BN46" s="1081" t="s">
        <v>1133</v>
      </c>
    </row>
    <row customHeight="1" ht="11.25">
      <c r="A47" s="1087" t="s">
        <v>1134</v>
      </c>
      <c r="E47" s="414" t="s">
        <v>29</v>
      </c>
      <c r="F47" s="1128" t="s">
        <v>1121</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1135</v>
      </c>
      <c r="AZ47" s="1134" t="s">
        <v>844</v>
      </c>
      <c r="BE47" s="1134">
        <v>2045</v>
      </c>
      <c r="BH47" s="1081" t="s">
        <v>1107</v>
      </c>
      <c r="BJ47" s="1235" t="s">
        <v>1136</v>
      </c>
      <c r="BL47" s="1235" t="s">
        <v>1136</v>
      </c>
      <c r="BN47" s="1081" t="s">
        <v>1137</v>
      </c>
    </row>
    <row customHeight="1" ht="11.25">
      <c r="A48" s="1087" t="s">
        <v>1138</v>
      </c>
      <c r="E48" s="414" t="s">
        <v>1139</v>
      </c>
      <c r="F48" s="1128" t="s">
        <v>1140</v>
      </c>
      <c r="G48" s="1130" t="str">
        <f>IF(f_year="","","01.01."&amp;f_year)</f>
        <v>01.01.2023</v>
      </c>
      <c r="H48" s="1130" t="str">
        <f>IF(f_year="","","31.12."&amp;f_year)</f>
        <v>31.12.2023</v>
      </c>
      <c r="I48" s="1788">
        <f>IF(f_year="",TRUE,FALSE)</f>
        <v>0</v>
      </c>
      <c r="J48" s="1791" t="s">
        <v>1141</v>
      </c>
      <c r="K48" s="1792"/>
      <c r="AX48" s="1134" t="s">
        <v>1142</v>
      </c>
      <c r="AZ48" s="1134" t="s">
        <v>860</v>
      </c>
      <c r="BE48" s="1134">
        <v>2046</v>
      </c>
      <c r="BH48" s="1081" t="s">
        <v>1111</v>
      </c>
      <c r="BJ48" s="1235" t="s">
        <v>1143</v>
      </c>
      <c r="BL48" s="1235" t="s">
        <v>1143</v>
      </c>
      <c r="BN48" s="1081" t="s">
        <v>1144</v>
      </c>
    </row>
    <row customHeight="1" ht="11.25">
      <c r="A49" s="1087" t="s">
        <v>1145</v>
      </c>
      <c r="E49" s="414" t="s">
        <v>1146</v>
      </c>
      <c r="F49" s="1128" t="s">
        <v>1147</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167</v>
      </c>
      <c r="AZ49" s="1134" t="s">
        <v>876</v>
      </c>
      <c r="BE49" s="1134">
        <v>2047</v>
      </c>
      <c r="BH49" s="1081" t="s">
        <v>1148</v>
      </c>
      <c r="BJ49" s="1235" t="s">
        <v>1149</v>
      </c>
      <c r="BL49" s="1235" t="s">
        <v>1149</v>
      </c>
    </row>
    <row customHeight="1" ht="11.25">
      <c r="A50" s="1087" t="s">
        <v>1150</v>
      </c>
      <c r="E50" s="414" t="s">
        <v>1151</v>
      </c>
      <c r="F50" s="1128" t="s">
        <v>1152</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1153</v>
      </c>
      <c r="AZ50" s="1134" t="s">
        <v>892</v>
      </c>
      <c r="BE50" s="1134">
        <v>2048</v>
      </c>
      <c r="BH50" s="1081" t="s">
        <v>1118</v>
      </c>
      <c r="BJ50" s="1235" t="s">
        <v>1154</v>
      </c>
      <c r="BL50" s="1235" t="s">
        <v>1154</v>
      </c>
    </row>
    <row customHeight="1" ht="11.25">
      <c r="A51" s="1087" t="s">
        <v>1155</v>
      </c>
      <c r="E51" s="414" t="s">
        <v>1156</v>
      </c>
      <c r="F51" s="1128" t="s">
        <v>1157</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1158</v>
      </c>
      <c r="AZ51" s="1134" t="s">
        <v>908</v>
      </c>
      <c r="BE51" s="1134">
        <v>2049</v>
      </c>
      <c r="BH51" s="1081" t="s">
        <v>1128</v>
      </c>
      <c r="BJ51" s="1235" t="s">
        <v>1159</v>
      </c>
      <c r="BL51" s="1235" t="s">
        <v>1159</v>
      </c>
    </row>
    <row customHeight="1" ht="11.25">
      <c r="A52" s="1087" t="s">
        <v>1160</v>
      </c>
      <c r="E52" s="414" t="s">
        <v>1161</v>
      </c>
      <c r="F52" s="1128" t="s">
        <v>1162</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1163</v>
      </c>
      <c r="AZ52" s="1134" t="s">
        <v>705</v>
      </c>
      <c r="BE52" s="1134">
        <v>2050</v>
      </c>
      <c r="BH52" s="1081" t="s">
        <v>1133</v>
      </c>
      <c r="BJ52" s="1235" t="s">
        <v>1102</v>
      </c>
      <c r="BL52" s="1235" t="s">
        <v>1102</v>
      </c>
    </row>
    <row customHeight="1" ht="11.25">
      <c r="A53" s="1087" t="s">
        <v>1164</v>
      </c>
      <c r="E53" s="414" t="s">
        <v>1165</v>
      </c>
      <c r="F53" s="1128" t="s">
        <v>1165</v>
      </c>
      <c r="G53" s="1130" t="str">
        <f>IF(f_year="","","01.01."&amp;f_year)</f>
        <v>01.01.2023</v>
      </c>
      <c r="H53" s="1130" t="str">
        <f>IF(f_year="","","31.12."&amp;f_year)</f>
        <v>31.12.2023</v>
      </c>
      <c r="I53" s="1788">
        <f>IF(AND(f_year="",TITLE_DATE_FIL=""),TRUE,FALSE)</f>
        <v>0</v>
      </c>
      <c r="J53" s="1791" t="s">
        <v>1166</v>
      </c>
      <c r="K53" s="1792"/>
      <c r="AX53" s="1134" t="s">
        <v>1167</v>
      </c>
      <c r="BE53" s="1134">
        <v>2051</v>
      </c>
      <c r="BH53" s="1081" t="s">
        <v>1137</v>
      </c>
      <c r="BJ53" s="1235" t="s">
        <v>1107</v>
      </c>
      <c r="BL53" s="1235" t="s">
        <v>1107</v>
      </c>
    </row>
    <row customHeight="1" ht="11.25">
      <c r="A54" s="1087" t="s">
        <v>1168</v>
      </c>
      <c r="AX54" s="1134" t="s">
        <v>1169</v>
      </c>
      <c r="AZ54" s="1080" t="s">
        <v>1170</v>
      </c>
      <c r="BE54" s="1134">
        <v>2052</v>
      </c>
      <c r="BH54" s="1081" t="s">
        <v>1144</v>
      </c>
      <c r="BJ54" s="1235" t="s">
        <v>1111</v>
      </c>
      <c r="BL54" s="1235" t="s">
        <v>1111</v>
      </c>
    </row>
    <row customHeight="1" ht="11.25">
      <c r="A55" s="1087" t="s">
        <v>1171</v>
      </c>
      <c r="AX55" s="1134" t="s">
        <v>1172</v>
      </c>
      <c r="AZ55" s="1134" t="s">
        <v>707</v>
      </c>
      <c r="BE55" s="1134">
        <v>2053</v>
      </c>
      <c r="BH55" s="1083" t="s">
        <v>18</v>
      </c>
      <c r="BJ55" s="1235" t="s">
        <v>1148</v>
      </c>
      <c r="BL55" s="1235" t="s">
        <v>1148</v>
      </c>
    </row>
    <row customHeight="1" ht="11.25">
      <c r="A56" s="1087" t="s">
        <v>1173</v>
      </c>
      <c r="D56" s="1132" t="s">
        <v>1174</v>
      </c>
      <c r="E56" s="1108">
        <v>55</v>
      </c>
      <c r="F56" s="1087" t="s">
        <v>1175</v>
      </c>
      <c r="AX56" s="1134" t="s">
        <v>1176</v>
      </c>
      <c r="AZ56" s="1134" t="s">
        <v>736</v>
      </c>
      <c r="BE56" s="1134">
        <v>2054</v>
      </c>
      <c r="BH56" s="1083" t="s">
        <v>18</v>
      </c>
      <c r="BJ56" s="1235" t="s">
        <v>1118</v>
      </c>
      <c r="BL56" s="1235" t="s">
        <v>1118</v>
      </c>
    </row>
    <row customHeight="1" ht="11.25">
      <c r="A57" s="1087" t="s">
        <v>1177</v>
      </c>
      <c r="D57" s="1132" t="s">
        <v>1178</v>
      </c>
      <c r="E57" s="1108">
        <v>66</v>
      </c>
      <c r="F57" s="1087" t="s">
        <v>1175</v>
      </c>
      <c r="AX57" s="1134" t="s">
        <v>1179</v>
      </c>
      <c r="AZ57" s="1134" t="s">
        <v>770</v>
      </c>
      <c r="BE57" s="1134">
        <v>2055</v>
      </c>
      <c r="BJ57" s="1235" t="s">
        <v>1128</v>
      </c>
      <c r="BL57" s="1235" t="s">
        <v>1128</v>
      </c>
    </row>
    <row customHeight="1" ht="11.25">
      <c r="A58" s="1087" t="s">
        <v>1180</v>
      </c>
      <c r="D58" s="1132" t="s">
        <v>1181</v>
      </c>
      <c r="E58" s="1108">
        <v>44</v>
      </c>
      <c r="F58" s="1087" t="s">
        <v>1175</v>
      </c>
      <c r="AX58" s="1134" t="s">
        <v>1182</v>
      </c>
      <c r="BE58" s="1134">
        <v>2056</v>
      </c>
      <c r="BJ58" s="1235" t="s">
        <v>1133</v>
      </c>
      <c r="BL58" s="1235" t="s">
        <v>1133</v>
      </c>
    </row>
    <row customHeight="1" ht="11.25">
      <c r="A59" s="1087" t="s">
        <v>1183</v>
      </c>
      <c r="D59" s="1132" t="s">
        <v>240</v>
      </c>
      <c r="E59" s="1108" t="s">
        <v>170</v>
      </c>
      <c r="F59" s="1087" t="s">
        <v>1184</v>
      </c>
      <c r="AX59" s="1134" t="s">
        <v>1185</v>
      </c>
      <c r="AZ59" s="1080" t="s">
        <v>1186</v>
      </c>
      <c r="BE59" s="1134">
        <v>2057</v>
      </c>
      <c r="BJ59" s="1235" t="s">
        <v>1137</v>
      </c>
      <c r="BL59" s="1235" t="s">
        <v>1137</v>
      </c>
    </row>
    <row customHeight="1" ht="11.25">
      <c r="A60" s="1087" t="s">
        <v>1187</v>
      </c>
      <c r="D60" s="1132" t="s">
        <v>1188</v>
      </c>
      <c r="E60" s="1108" t="s">
        <v>170</v>
      </c>
      <c r="F60" s="1087" t="s">
        <v>1184</v>
      </c>
      <c r="AX60" s="1134" t="s">
        <v>1189</v>
      </c>
      <c r="AZ60" s="1134" t="s">
        <v>708</v>
      </c>
      <c r="BE60" s="1134">
        <v>2058</v>
      </c>
      <c r="BJ60" s="1235" t="s">
        <v>1144</v>
      </c>
      <c r="BL60" s="1235" t="s">
        <v>1144</v>
      </c>
    </row>
    <row customHeight="1" ht="11.25">
      <c r="A61" s="1087" t="s">
        <v>1190</v>
      </c>
      <c r="D61" s="1132" t="s">
        <v>1191</v>
      </c>
      <c r="E61" s="1108">
        <v>26</v>
      </c>
      <c r="F61" s="1087" t="s">
        <v>1184</v>
      </c>
      <c r="AX61" s="1134" t="s">
        <v>1192</v>
      </c>
      <c r="AZ61" s="1134" t="s">
        <v>737</v>
      </c>
      <c r="BE61" s="1134">
        <v>2059</v>
      </c>
      <c r="BL61" s="1235" t="s">
        <v>1193</v>
      </c>
    </row>
    <row customHeight="1" ht="11.25">
      <c r="A62" s="1087" t="s">
        <v>1194</v>
      </c>
      <c r="D62" s="1132" t="s">
        <v>239</v>
      </c>
      <c r="E62" s="1108">
        <v>30</v>
      </c>
      <c r="F62" s="1087" t="s">
        <v>1184</v>
      </c>
      <c r="AZ62" s="1134" t="s">
        <v>771</v>
      </c>
      <c r="BE62" s="1134">
        <v>2060</v>
      </c>
      <c r="BL62" s="1235" t="s">
        <v>1195</v>
      </c>
    </row>
    <row customHeight="1" ht="11.25">
      <c r="A63" s="1087" t="s">
        <v>1196</v>
      </c>
      <c r="D63" s="1132" t="s">
        <v>1197</v>
      </c>
      <c r="E63" s="1108">
        <v>30</v>
      </c>
      <c r="F63" s="1087" t="s">
        <v>1184</v>
      </c>
      <c r="AZ63" s="1134" t="s">
        <v>803</v>
      </c>
      <c r="BE63" s="1134">
        <v>2061</v>
      </c>
    </row>
    <row customHeight="1" ht="11.25">
      <c r="A64" s="1087" t="s">
        <v>1198</v>
      </c>
      <c r="D64" s="1132" t="s">
        <v>1199</v>
      </c>
      <c r="E64" s="1108">
        <v>30</v>
      </c>
      <c r="F64" s="1087" t="s">
        <v>1184</v>
      </c>
      <c r="AZ64" s="1134" t="s">
        <v>826</v>
      </c>
      <c r="BE64" s="1134">
        <v>2062</v>
      </c>
    </row>
    <row customHeight="1" ht="11.25">
      <c r="A65" s="1087" t="s">
        <v>1200</v>
      </c>
      <c r="D65" s="1087"/>
      <c r="BE65" s="1134">
        <v>2063</v>
      </c>
    </row>
    <row customHeight="1" ht="11.25">
      <c r="A66" s="1087" t="s">
        <v>1201</v>
      </c>
      <c r="AZ66" s="1080" t="s">
        <v>1202</v>
      </c>
      <c r="BE66" s="1134">
        <v>2064</v>
      </c>
    </row>
    <row customHeight="1" ht="11.25">
      <c r="A67" s="1087" t="s">
        <v>1203</v>
      </c>
      <c r="AZ67" s="1134" t="s">
        <v>709</v>
      </c>
      <c r="BE67" s="1134">
        <v>2065</v>
      </c>
    </row>
    <row customHeight="1" ht="11.25">
      <c r="A68" s="1087" t="s">
        <v>1204</v>
      </c>
      <c r="AZ68" s="1134" t="s">
        <v>738</v>
      </c>
      <c r="BE68" s="1134">
        <v>2066</v>
      </c>
      <c r="BH68" s="1080" t="s">
        <v>1205</v>
      </c>
      <c r="BJ68" s="1080" t="s">
        <v>1206</v>
      </c>
      <c r="BL68" s="1080" t="s">
        <v>1207</v>
      </c>
      <c r="BN68" s="1080" t="s">
        <v>1208</v>
      </c>
    </row>
    <row customHeight="1" ht="11.25">
      <c r="A69" s="1087" t="s">
        <v>1209</v>
      </c>
      <c r="AZ69" s="1134" t="s">
        <v>772</v>
      </c>
      <c r="BE69" s="1134">
        <v>2067</v>
      </c>
      <c r="BH69" s="1081" t="s">
        <v>1210</v>
      </c>
      <c r="BI69" s="1131" t="s">
        <v>159</v>
      </c>
      <c r="BJ69" s="1081" t="s">
        <v>1211</v>
      </c>
      <c r="BK69" s="1131" t="s">
        <v>159</v>
      </c>
      <c r="BL69" s="1081" t="s">
        <v>1212</v>
      </c>
      <c r="BN69" s="1081" t="s">
        <v>1213</v>
      </c>
    </row>
    <row customHeight="1" ht="11.25">
      <c r="A70" s="1087" t="s">
        <v>1214</v>
      </c>
      <c r="AZ70" s="1134" t="s">
        <v>804</v>
      </c>
      <c r="BE70" s="1134">
        <v>2068</v>
      </c>
      <c r="BH70" s="1081" t="s">
        <v>1215</v>
      </c>
      <c r="BJ70" s="1081" t="s">
        <v>1216</v>
      </c>
      <c r="BL70" s="1081" t="s">
        <v>1217</v>
      </c>
      <c r="BN70" s="1081" t="s">
        <v>1218</v>
      </c>
    </row>
    <row customHeight="1" ht="11.25">
      <c r="A71" s="1087" t="s">
        <v>1219</v>
      </c>
      <c r="AZ71" s="1134" t="s">
        <v>806</v>
      </c>
      <c r="BE71" s="1134">
        <v>2069</v>
      </c>
      <c r="BH71" s="1081" t="s">
        <v>1220</v>
      </c>
      <c r="BI71" s="1131" t="s">
        <v>90</v>
      </c>
      <c r="BJ71" s="1081" t="s">
        <v>1221</v>
      </c>
      <c r="BK71" s="1131" t="s">
        <v>90</v>
      </c>
      <c r="BL71" s="1081" t="s">
        <v>1222</v>
      </c>
      <c r="BN71" s="1081" t="s">
        <v>1223</v>
      </c>
    </row>
    <row customHeight="1" ht="11.25">
      <c r="A72" s="1087" t="s">
        <v>14</v>
      </c>
      <c r="AZ72" s="1134" t="s">
        <v>57</v>
      </c>
      <c r="BE72" s="1134">
        <v>2070</v>
      </c>
      <c r="BH72" s="1081" t="s">
        <v>1224</v>
      </c>
      <c r="BJ72" s="1081" t="s">
        <v>1224</v>
      </c>
      <c r="BL72" s="1081" t="s">
        <v>1224</v>
      </c>
      <c r="BN72" s="1081" t="s">
        <v>1225</v>
      </c>
    </row>
    <row customHeight="1" ht="11.25">
      <c r="A73" s="1087" t="s">
        <v>1226</v>
      </c>
      <c r="BH73" s="1081" t="s">
        <v>1227</v>
      </c>
      <c r="BI73" s="1131" t="s">
        <v>113</v>
      </c>
      <c r="BJ73" s="1081" t="s">
        <v>1228</v>
      </c>
      <c r="BK73" s="1131" t="s">
        <v>113</v>
      </c>
      <c r="BL73" s="1081" t="s">
        <v>1229</v>
      </c>
      <c r="BN73" s="1081" t="s">
        <v>1230</v>
      </c>
    </row>
    <row customHeight="1" ht="11.25">
      <c r="A74" s="1087" t="s">
        <v>1231</v>
      </c>
      <c r="BH74" s="1081" t="s">
        <v>1232</v>
      </c>
      <c r="BJ74" s="1081" t="s">
        <v>1233</v>
      </c>
      <c r="BL74" s="1081" t="s">
        <v>1234</v>
      </c>
      <c r="BN74" s="1081" t="s">
        <v>1235</v>
      </c>
    </row>
    <row customHeight="1" ht="11.25">
      <c r="A75" s="1087" t="s">
        <v>1236</v>
      </c>
      <c r="AZ75" s="1080" t="s">
        <v>1237</v>
      </c>
      <c r="BH75" s="1081" t="s">
        <v>1238</v>
      </c>
      <c r="BJ75" s="1081" t="s">
        <v>1238</v>
      </c>
      <c r="BL75" s="1081" t="s">
        <v>1238</v>
      </c>
    </row>
    <row customHeight="1" ht="11.25">
      <c r="A76" s="1087" t="s">
        <v>1239</v>
      </c>
      <c r="AZ76" s="1134" t="s">
        <v>718</v>
      </c>
      <c r="BH76" s="1081" t="s">
        <v>1240</v>
      </c>
      <c r="BJ76" s="1081" t="s">
        <v>1241</v>
      </c>
      <c r="BL76" s="1081" t="s">
        <v>1242</v>
      </c>
    </row>
    <row customHeight="1" ht="11.25">
      <c r="A77" s="1087" t="s">
        <v>1243</v>
      </c>
      <c r="AZ77" s="1134" t="s">
        <v>748</v>
      </c>
    </row>
    <row customHeight="1" ht="11.25">
      <c r="A78" s="1087" t="s">
        <v>1244</v>
      </c>
      <c r="AZ78" s="1134" t="s">
        <v>779</v>
      </c>
    </row>
    <row customHeight="1" ht="11.25">
      <c r="A79" s="1087" t="s">
        <v>1245</v>
      </c>
      <c r="AZ79" s="1134" t="s">
        <v>810</v>
      </c>
      <c r="BH79" s="1080" t="s">
        <v>1246</v>
      </c>
      <c r="BJ79" s="1080" t="s">
        <v>1247</v>
      </c>
      <c r="BL79" s="1080" t="s">
        <v>1248</v>
      </c>
    </row>
    <row customHeight="1" ht="11.25">
      <c r="A80" s="1087" t="s">
        <v>1249</v>
      </c>
      <c r="AZ80" s="1134" t="s">
        <v>831</v>
      </c>
      <c r="BH80" s="1081" t="s">
        <v>1250</v>
      </c>
      <c r="BJ80" s="1081" t="s">
        <v>1251</v>
      </c>
      <c r="BL80" s="1081" t="s">
        <v>1252</v>
      </c>
    </row>
    <row customHeight="1" ht="11.25">
      <c r="A81" s="1087" t="s">
        <v>1253</v>
      </c>
      <c r="AZ81" s="1134" t="s">
        <v>848</v>
      </c>
      <c r="BH81" s="1081" t="s">
        <v>1254</v>
      </c>
      <c r="BJ81" s="1081" t="s">
        <v>1255</v>
      </c>
      <c r="BL81" s="1081" t="s">
        <v>1256</v>
      </c>
    </row>
    <row customHeight="1" ht="11.25">
      <c r="A82" s="1087" t="s">
        <v>1257</v>
      </c>
      <c r="AZ82" s="1134" t="s">
        <v>862</v>
      </c>
      <c r="BH82" s="1081" t="s">
        <v>1258</v>
      </c>
      <c r="BJ82" s="1081" t="s">
        <v>1259</v>
      </c>
      <c r="BL82" s="1081" t="s">
        <v>1260</v>
      </c>
    </row>
    <row customHeight="1" ht="11.25">
      <c r="A83" s="1087" t="s">
        <v>1261</v>
      </c>
      <c r="BH83" s="1081" t="s">
        <v>1262</v>
      </c>
      <c r="BJ83" s="1081" t="s">
        <v>1263</v>
      </c>
      <c r="BL83" s="1081" t="s">
        <v>1264</v>
      </c>
    </row>
    <row customHeight="1" ht="11.25">
      <c r="A84" s="1087" t="s">
        <v>1265</v>
      </c>
      <c r="AZ84" s="1080" t="s">
        <v>1266</v>
      </c>
    </row>
    <row customHeight="1" ht="11.25">
      <c r="A85" s="1087" t="s">
        <v>1267</v>
      </c>
      <c r="AZ85" s="1134" t="s">
        <v>1268</v>
      </c>
    </row>
    <row customHeight="1" ht="11.25">
      <c r="A86" s="1087" t="s">
        <v>1269</v>
      </c>
      <c r="AZ86" s="1134" t="s">
        <v>1270</v>
      </c>
      <c r="BH86" s="1080" t="s">
        <v>1271</v>
      </c>
      <c r="BJ86" s="1080" t="s">
        <v>1272</v>
      </c>
      <c r="BL86" s="1080" t="s">
        <v>1273</v>
      </c>
    </row>
    <row customHeight="1" ht="11.25">
      <c r="A87" s="1087" t="s">
        <v>1274</v>
      </c>
      <c r="AZ87" s="1134" t="s">
        <v>1275</v>
      </c>
      <c r="BH87" s="1081" t="s">
        <v>1276</v>
      </c>
      <c r="BJ87" s="1081" t="s">
        <v>1277</v>
      </c>
      <c r="BL87" s="1081" t="s">
        <v>1278</v>
      </c>
    </row>
    <row customHeight="1" ht="11.25">
      <c r="AZ88" s="1652"/>
      <c r="BH88" s="1081" t="s">
        <v>1279</v>
      </c>
      <c r="BJ88" s="1081" t="s">
        <v>1280</v>
      </c>
      <c r="BL88" s="1081" t="s">
        <v>1281</v>
      </c>
    </row>
    <row customHeight="1" ht="11.25">
      <c r="AZ89" s="1080" t="s">
        <v>1282</v>
      </c>
    </row>
    <row customHeight="1" ht="11.25">
      <c r="AZ90" s="1134" t="s">
        <v>1152</v>
      </c>
    </row>
    <row customHeight="1" ht="11.25">
      <c r="AZ91" s="1134" t="s">
        <v>1283</v>
      </c>
      <c r="BH91" s="1080" t="s">
        <v>1284</v>
      </c>
      <c r="BJ91" s="1080" t="s">
        <v>1285</v>
      </c>
      <c r="BL91" s="1080" t="s">
        <v>1286</v>
      </c>
    </row>
    <row customHeight="1" ht="11.25">
      <c r="AZ92" s="1134" t="s">
        <v>1287</v>
      </c>
      <c r="BH92" s="1081" t="s">
        <v>1288</v>
      </c>
      <c r="BJ92" s="1081" t="s">
        <v>1289</v>
      </c>
      <c r="BL92" s="1081" t="s">
        <v>1290</v>
      </c>
    </row>
    <row customHeight="1" ht="11.25">
      <c r="AZ93" s="1134" t="s">
        <v>1291</v>
      </c>
      <c r="BH93" s="1081" t="s">
        <v>1292</v>
      </c>
      <c r="BJ93" s="1081" t="s">
        <v>1293</v>
      </c>
      <c r="BL93" s="1081" t="s">
        <v>1294</v>
      </c>
    </row>
    <row customHeight="1" ht="11.25">
      <c r="AZ94" s="1134" t="s">
        <v>1295</v>
      </c>
    </row>
    <row r="96" customHeight="1" ht="11.25">
      <c r="AZ96" s="1080" t="s">
        <v>1296</v>
      </c>
      <c r="BH96" s="1080" t="s">
        <v>1297</v>
      </c>
      <c r="BJ96" s="1080" t="s">
        <v>1298</v>
      </c>
      <c r="BL96" s="1080" t="s">
        <v>1299</v>
      </c>
      <c r="BN96" s="1080" t="s">
        <v>1300</v>
      </c>
    </row>
    <row customHeight="1" ht="11.25">
      <c r="AZ97" s="1134" t="s">
        <v>1301</v>
      </c>
      <c r="BH97" s="1081" t="s">
        <v>1302</v>
      </c>
      <c r="BJ97" s="1081" t="s">
        <v>1303</v>
      </c>
      <c r="BL97" s="1081" t="s">
        <v>1304</v>
      </c>
      <c r="BN97" s="1081" t="s">
        <v>1305</v>
      </c>
    </row>
    <row customHeight="1" ht="11.25">
      <c r="AZ98" s="1134" t="s">
        <v>1306</v>
      </c>
      <c r="BH98" s="1081" t="s">
        <v>1307</v>
      </c>
      <c r="BJ98" s="1081" t="s">
        <v>1308</v>
      </c>
      <c r="BL98" s="1081" t="s">
        <v>1309</v>
      </c>
      <c r="BN98" s="1081" t="s">
        <v>1310</v>
      </c>
    </row>
    <row customHeight="1" ht="11.25">
      <c r="AZ99" s="1134" t="s">
        <v>1311</v>
      </c>
      <c r="BH99" s="1081" t="s">
        <v>1312</v>
      </c>
      <c r="BJ99" s="1081" t="s">
        <v>1313</v>
      </c>
      <c r="BL99" s="1081" t="s">
        <v>1314</v>
      </c>
      <c r="BN99" s="1081" t="s">
        <v>1315</v>
      </c>
    </row>
    <row customHeight="1" ht="11.25">
      <c r="BJ100" s="1081" t="s">
        <v>908</v>
      </c>
      <c r="BL100" s="1081" t="s">
        <v>908</v>
      </c>
      <c r="BN100" s="1081" t="s">
        <v>1316</v>
      </c>
    </row>
    <row customHeight="1" ht="11.25">
      <c r="AZ101" s="1738" t="s">
        <v>1317</v>
      </c>
      <c r="BN101" s="1081" t="s">
        <v>1318</v>
      </c>
    </row>
    <row customHeight="1" ht="11.25">
      <c r="AZ102" s="1134" t="s">
        <v>1319</v>
      </c>
      <c r="BN102" s="1081" t="s">
        <v>1320</v>
      </c>
    </row>
    <row customHeight="1" ht="11.25">
      <c r="AZ103" s="1134" t="s">
        <v>1321</v>
      </c>
      <c r="BN103" s="1081" t="s">
        <v>1322</v>
      </c>
    </row>
    <row customHeight="1" ht="11.25">
      <c r="AZ104" s="1134" t="s">
        <v>1323</v>
      </c>
      <c r="BN104" s="1081" t="s">
        <v>1324</v>
      </c>
    </row>
    <row r="107" customHeight="1" ht="11.25">
      <c r="BH107" s="1080" t="s">
        <v>1325</v>
      </c>
      <c r="BJ107" s="1080" t="s">
        <v>1326</v>
      </c>
      <c r="BL107" s="1080" t="s">
        <v>1327</v>
      </c>
      <c r="BN107" s="1080" t="s">
        <v>1328</v>
      </c>
    </row>
    <row customHeight="1" ht="11.25">
      <c r="BH108" s="1081" t="s">
        <v>1329</v>
      </c>
      <c r="BJ108" s="1081" t="s">
        <v>1330</v>
      </c>
      <c r="BL108" s="1081" t="s">
        <v>990</v>
      </c>
      <c r="BN108" s="1081" t="s">
        <v>1331</v>
      </c>
    </row>
    <row customHeight="1" ht="11.25">
      <c r="BH109" s="1081" t="s">
        <v>1332</v>
      </c>
    </row>
    <row customHeight="1" ht="11.25">
      <c r="BH110" s="1081" t="s">
        <v>1332</v>
      </c>
    </row>
    <row r="114" customHeight="1" ht="11.25">
      <c r="BH114" s="1080" t="s">
        <v>1333</v>
      </c>
    </row>
    <row customHeight="1" ht="11.25">
      <c r="BH115" s="1081" t="s">
        <v>705</v>
      </c>
    </row>
    <row customHeight="1" ht="11.25">
      <c r="BH116" s="1081" t="s">
        <v>734</v>
      </c>
    </row>
    <row customHeight="1" ht="11.25">
      <c r="BH117" s="1081" t="s">
        <v>768</v>
      </c>
    </row>
    <row customHeight="1" ht="11.25">
      <c r="BH118" s="1081" t="s">
        <v>801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82B1C-E82A-9DA4-18D7-83416F3B5E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6" width="43.140625"/>
    <col min="4" max="5" style="3936" width="36.421875" customWidth="1"/>
    <col min="6" max="8" style="3937" width="36.421875" customWidth="1"/>
  </cols>
  <sheetData>
    <row customHeight="1" ht="9">
      <c r="A1" s="856" t="s">
        <v>1334</v>
      </c>
      <c r="B1" s="856"/>
      <c r="C1" s="995" t="s">
        <v>1335</v>
      </c>
      <c r="D1" s="993" t="s">
        <v>693</v>
      </c>
      <c r="E1" s="993" t="s">
        <v>1067</v>
      </c>
      <c r="F1" s="993" t="s">
        <v>695</v>
      </c>
      <c r="G1" s="993" t="s">
        <v>1089</v>
      </c>
      <c r="H1" s="993" t="s">
        <v>1097</v>
      </c>
    </row>
    <row customHeight="1" ht="9">
      <c r="A2" s="996" t="s">
        <v>1336</v>
      </c>
      <c r="B2" s="996"/>
      <c r="C2" s="997" t="str">
        <f>INDEX(TEMPLATE_NUMBER_FORM_LIST,MATCH(TEMPLATE_SPHERE,TEMPLATE_SPHERE_LIST,0))</f>
        <v>10</v>
      </c>
      <c r="D2" s="996" t="s">
        <v>154</v>
      </c>
      <c r="E2" s="996" t="s">
        <v>131</v>
      </c>
      <c r="F2" s="998" t="s">
        <v>131</v>
      </c>
      <c r="G2" s="996" t="s">
        <v>131</v>
      </c>
      <c r="H2" s="999"/>
    </row>
    <row customHeight="1" ht="63">
      <c r="A3" s="856"/>
      <c r="B3" s="856" t="s">
        <v>159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1337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1338</v>
      </c>
      <c r="B4" s="856" t="s">
        <v>102</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1339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1340</v>
      </c>
    </row>
    <row customHeight="1" ht="171">
      <c r="A5" s="856" t="s">
        <v>1341</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1342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1343</v>
      </c>
    </row>
    <row customHeight="1" ht="90">
      <c r="A6" s="856" t="s">
        <v>1344</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1345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1346</v>
      </c>
      <c r="B7" s="856" t="s">
        <v>113</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1347</v>
      </c>
      <c r="E7" s="856" t="s">
        <v>1348</v>
      </c>
      <c r="F7" s="999"/>
      <c r="G7" s="999"/>
      <c r="H7" s="999"/>
    </row>
    <row customHeight="1" ht="108">
      <c r="A8" s="856" t="s">
        <v>1349</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1350</v>
      </c>
      <c r="E8" s="856" t="s">
        <v>1351</v>
      </c>
      <c r="F8" s="999"/>
      <c r="G8" s="999"/>
      <c r="H8" s="999"/>
    </row>
    <row customHeight="1" ht="99">
      <c r="A9" s="856" t="s">
        <v>1352</v>
      </c>
      <c r="B9" s="856"/>
      <c r="C9" s="856" t="s">
        <v>1353</v>
      </c>
      <c r="D9" s="856"/>
      <c r="E9" s="856"/>
      <c r="F9" s="999"/>
      <c r="G9" s="999"/>
      <c r="H9" s="999"/>
    </row>
    <row customHeight="1" ht="126">
      <c r="A10" s="856" t="s">
        <v>1354</v>
      </c>
      <c r="B10" s="856"/>
      <c r="C10" s="856" t="s">
        <v>1355</v>
      </c>
      <c r="D10" s="856"/>
      <c r="E10" s="856"/>
      <c r="F10" s="999"/>
      <c r="G10" s="999"/>
      <c r="H10" s="999"/>
    </row>
    <row customHeight="1" ht="108">
      <c r="A11" s="856" t="s">
        <v>1356</v>
      </c>
      <c r="B11" s="856"/>
      <c r="C11" s="856" t="s">
        <v>1357</v>
      </c>
      <c r="D11" s="856"/>
      <c r="E11" s="856"/>
      <c r="F11" s="999"/>
      <c r="G11" s="999"/>
      <c r="H11" s="999"/>
    </row>
    <row customHeight="1" ht="54">
      <c r="A12" s="856" t="s">
        <v>1358</v>
      </c>
      <c r="B12" s="856"/>
      <c r="C12" s="856" t="s">
        <v>1359</v>
      </c>
      <c r="D12" s="856"/>
      <c r="E12" s="856"/>
      <c r="F12" s="999"/>
      <c r="G12" s="999"/>
      <c r="H12" s="999"/>
    </row>
    <row customHeight="1" ht="45">
      <c r="A13" s="856" t="s">
        <v>1360</v>
      </c>
      <c r="B13" s="856"/>
      <c r="C13" s="856" t="s">
        <v>1361</v>
      </c>
      <c r="D13" s="856"/>
      <c r="E13" s="856"/>
      <c r="F13" s="999"/>
      <c r="G13" s="999"/>
      <c r="H13" s="999"/>
    </row>
    <row customHeight="1" ht="117">
      <c r="A14" s="856" t="s">
        <v>1362</v>
      </c>
      <c r="B14" s="856"/>
      <c r="C14" s="856" t="s">
        <v>1363</v>
      </c>
      <c r="D14" s="856"/>
      <c r="E14" s="856"/>
      <c r="F14" s="999"/>
      <c r="G14" s="999"/>
      <c r="H14" s="999"/>
    </row>
    <row customHeight="1" ht="117">
      <c r="A15" s="856" t="s">
        <v>1364</v>
      </c>
      <c r="B15" s="856"/>
      <c r="C15" s="856" t="s">
        <v>1365</v>
      </c>
      <c r="D15" s="856"/>
      <c r="E15" s="856"/>
      <c r="F15" s="999"/>
      <c r="G15" s="999"/>
      <c r="H15" s="999"/>
    </row>
    <row customHeight="1" ht="63">
      <c r="A16" s="856" t="s">
        <v>1366</v>
      </c>
      <c r="B16" s="856"/>
      <c r="C16" s="856" t="s">
        <v>1367</v>
      </c>
      <c r="D16" s="856"/>
      <c r="E16" s="856"/>
      <c r="F16" s="999"/>
      <c r="G16" s="999"/>
      <c r="H16" s="999"/>
    </row>
    <row customHeight="1" ht="63">
      <c r="A17" s="856" t="s">
        <v>1368</v>
      </c>
      <c r="B17" s="856"/>
      <c r="C17" s="997" t="s">
        <v>1369</v>
      </c>
      <c r="D17" s="856"/>
      <c r="E17" s="856"/>
      <c r="F17" s="999"/>
      <c r="G17" s="999"/>
      <c r="H17" s="999"/>
    </row>
    <row customHeight="1" ht="27">
      <c r="A18" s="856" t="s">
        <v>1370</v>
      </c>
      <c r="B18" s="856"/>
      <c r="C18" s="997" t="s">
        <v>1371</v>
      </c>
      <c r="D18" s="856"/>
      <c r="E18" s="856"/>
      <c r="F18" s="999"/>
      <c r="G18" s="999"/>
      <c r="H18" s="999"/>
    </row>
    <row customHeight="1" ht="54">
      <c r="A19" s="856" t="s">
        <v>1372</v>
      </c>
      <c r="B19" s="856"/>
      <c r="C19" s="997" t="s">
        <v>1373</v>
      </c>
      <c r="D19" s="856"/>
      <c r="E19" s="856"/>
      <c r="F19" s="999"/>
      <c r="G19" s="999"/>
      <c r="H19" s="999"/>
    </row>
    <row customHeight="1" ht="36">
      <c r="A20" s="856" t="s">
        <v>1374</v>
      </c>
      <c r="B20" s="856"/>
      <c r="C20" s="997" t="s">
        <v>1375</v>
      </c>
      <c r="D20" s="856"/>
      <c r="E20" s="856"/>
      <c r="F20" s="999"/>
      <c r="G20" s="999"/>
      <c r="H20" s="999"/>
    </row>
    <row customHeight="1" ht="28.5">
      <c r="A21" s="856" t="s">
        <v>1376</v>
      </c>
      <c r="B21" s="856"/>
      <c r="C21" s="997" t="s">
        <v>1377</v>
      </c>
      <c r="D21" s="856"/>
      <c r="E21" s="856"/>
      <c r="F21" s="999"/>
      <c r="G21" s="999"/>
      <c r="H21" s="999"/>
    </row>
    <row customHeight="1" ht="28.5">
      <c r="A22" s="856" t="s">
        <v>1378</v>
      </c>
      <c r="B22" s="856"/>
      <c r="C22" s="997" t="s">
        <v>1379</v>
      </c>
      <c r="D22" s="856"/>
      <c r="E22" s="856"/>
      <c r="F22" s="999"/>
      <c r="G22" s="999"/>
      <c r="H22" s="999"/>
    </row>
    <row customHeight="1" ht="28.5">
      <c r="A23" s="856" t="s">
        <v>1380</v>
      </c>
      <c r="B23" s="856"/>
      <c r="C23" s="997" t="s">
        <v>1381</v>
      </c>
      <c r="D23" s="856"/>
      <c r="E23" s="856"/>
      <c r="F23" s="999"/>
      <c r="G23" s="999"/>
      <c r="H23" s="999"/>
    </row>
    <row customHeight="1" ht="28.5">
      <c r="A24" s="856" t="s">
        <v>1382</v>
      </c>
      <c r="B24" s="856"/>
      <c r="C24" s="997" t="s">
        <v>1383</v>
      </c>
      <c r="D24" s="856"/>
      <c r="E24" s="856"/>
      <c r="F24" s="999"/>
      <c r="G24" s="999"/>
      <c r="H24" s="999"/>
    </row>
    <row customHeight="1" ht="28.5">
      <c r="A25" s="856" t="s">
        <v>1384</v>
      </c>
      <c r="B25" s="856"/>
      <c r="C25" s="997" t="s">
        <v>1385</v>
      </c>
      <c r="D25" s="856"/>
      <c r="E25" s="856"/>
      <c r="F25" s="999"/>
      <c r="G25" s="999"/>
      <c r="H25" s="999"/>
    </row>
    <row customHeight="1" ht="28.5">
      <c r="A26" s="856" t="s">
        <v>1386</v>
      </c>
      <c r="B26" s="856"/>
      <c r="C26" s="997" t="s">
        <v>1387</v>
      </c>
      <c r="D26" s="856"/>
      <c r="E26" s="856"/>
      <c r="F26" s="999"/>
      <c r="G26" s="999"/>
      <c r="H26" s="999"/>
    </row>
    <row customHeight="1" ht="28.5">
      <c r="A27" s="856" t="s">
        <v>1388</v>
      </c>
      <c r="B27" s="856"/>
      <c r="C27" s="997" t="s">
        <v>1389</v>
      </c>
      <c r="D27" s="856"/>
      <c r="E27" s="856"/>
      <c r="F27" s="999"/>
      <c r="G27" s="999"/>
      <c r="H27" s="999"/>
    </row>
    <row customHeight="1" ht="28.5">
      <c r="A28" s="856" t="s">
        <v>1390</v>
      </c>
      <c r="B28" s="856"/>
      <c r="C28" s="997" t="s">
        <v>1391</v>
      </c>
      <c r="D28" s="856"/>
      <c r="E28" s="856"/>
      <c r="F28" s="999"/>
      <c r="G28" s="999"/>
      <c r="H28" s="999"/>
    </row>
    <row customHeight="1" ht="126">
      <c r="A29" s="856" t="s">
        <v>1392</v>
      </c>
      <c r="B29" s="856" t="s">
        <v>197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1393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1394</v>
      </c>
    </row>
    <row customHeight="1" ht="36">
      <c r="A30" s="856" t="s">
        <v>1395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1396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166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E6F016-51FF-8297-6219-2417339EC76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6" width="9.140625"/>
    <col min="3" max="7" style="3980" width="8.00390625" customWidth="1"/>
    <col min="8" max="12" style="3980" width="8.57421875" customWidth="1"/>
    <col min="13" max="14" style="3980" width="27.7109375" customWidth="1"/>
    <col min="15" max="19" style="3980" width="5.140625" customWidth="1"/>
    <col min="20" max="24" style="3980" width="27.7109375" customWidth="1"/>
    <col min="25" max="25" style="3981" width="1.8515625" customWidth="1"/>
    <col min="26" max="26" style="3936" width="27.7109375" customWidth="1"/>
    <col min="27" max="27" style="3982" width="27.7109375" customWidth="1"/>
    <col min="28" max="29" style="3936" width="27.7109375" customWidth="1"/>
    <col min="30" max="30" style="3936" width="3.8515625" customWidth="1"/>
    <col min="31" max="34" style="3936" width="9.140625"/>
  </cols>
  <sheetData>
    <row s="3938" customFormat="1" customHeight="1" ht="18">
      <c r="A1" s="910"/>
      <c r="B1" s="910"/>
      <c r="C1" s="910" t="s">
        <v>1397</v>
      </c>
      <c r="D1" s="910"/>
      <c r="E1" s="910"/>
      <c r="F1" s="910"/>
      <c r="G1" s="910"/>
      <c r="H1" s="910" t="s">
        <v>1398</v>
      </c>
      <c r="I1" s="910"/>
      <c r="J1" s="910"/>
      <c r="K1" s="910"/>
      <c r="L1" s="910"/>
      <c r="M1" s="910" t="s">
        <v>1399</v>
      </c>
      <c r="N1" s="910" t="s">
        <v>1400</v>
      </c>
      <c r="O1" s="2273" t="s">
        <v>1401</v>
      </c>
      <c r="P1" s="2273"/>
      <c r="Q1" s="2273"/>
      <c r="R1" s="2273"/>
      <c r="S1" s="2273"/>
      <c r="T1" s="2273" t="s">
        <v>1399</v>
      </c>
      <c r="U1" s="2273"/>
      <c r="V1" s="2273"/>
      <c r="W1" s="2273"/>
      <c r="X1" s="2273"/>
      <c r="Y1" s="1012"/>
      <c r="Z1" s="2273" t="s">
        <v>1402</v>
      </c>
      <c r="AA1" s="2273"/>
      <c r="AB1" s="2273"/>
      <c r="AC1" s="2273"/>
      <c r="AD1" s="2273"/>
    </row>
    <row customHeight="1" ht="18">
      <c r="A2" s="856"/>
      <c r="B2" s="856"/>
      <c r="C2" s="851" t="s">
        <v>693</v>
      </c>
      <c r="D2" s="851" t="s">
        <v>1067</v>
      </c>
      <c r="E2" s="851" t="s">
        <v>695</v>
      </c>
      <c r="F2" s="851" t="s">
        <v>1089</v>
      </c>
      <c r="G2" s="851" t="s">
        <v>1097</v>
      </c>
      <c r="H2" s="853"/>
      <c r="I2" s="853"/>
      <c r="J2" s="853"/>
      <c r="K2" s="853"/>
      <c r="L2" s="853"/>
      <c r="M2" s="853"/>
      <c r="N2" s="853"/>
      <c r="O2" s="851" t="s">
        <v>693</v>
      </c>
      <c r="P2" s="851" t="s">
        <v>1067</v>
      </c>
      <c r="Q2" s="851" t="s">
        <v>1089</v>
      </c>
      <c r="R2" s="851" t="s">
        <v>695</v>
      </c>
      <c r="S2" s="851" t="s">
        <v>1097</v>
      </c>
      <c r="T2" s="851" t="s">
        <v>693</v>
      </c>
      <c r="U2" s="851" t="s">
        <v>1067</v>
      </c>
      <c r="V2" s="851" t="s">
        <v>1089</v>
      </c>
      <c r="W2" s="851" t="s">
        <v>695</v>
      </c>
      <c r="X2" s="851" t="s">
        <v>1097</v>
      </c>
      <c r="Y2" s="851"/>
      <c r="Z2" s="851" t="s">
        <v>693</v>
      </c>
      <c r="AA2" s="860" t="s">
        <v>1067</v>
      </c>
      <c r="AB2" s="851" t="s">
        <v>1089</v>
      </c>
      <c r="AC2" s="851" t="s">
        <v>695</v>
      </c>
      <c r="AD2" s="851" t="s">
        <v>1097</v>
      </c>
    </row>
    <row customHeight="1" ht="162">
      <c r="A3" s="855" t="s">
        <v>23</v>
      </c>
      <c r="B3" s="855"/>
      <c r="C3" s="2277" t="s">
        <v>1403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1404</v>
      </c>
      <c r="AA3" s="853" t="s">
        <v>1405</v>
      </c>
      <c r="AB3" s="856" t="s">
        <v>1406</v>
      </c>
      <c r="AC3" s="856" t="s">
        <v>1407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189</v>
      </c>
      <c r="D11" s="2280" t="s">
        <v>175</v>
      </c>
      <c r="E11" s="2280" t="s">
        <v>1135</v>
      </c>
      <c r="F11" s="2280" t="s">
        <v>1408</v>
      </c>
      <c r="G11" s="2280"/>
      <c r="H11" s="910" t="s">
        <v>1409</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1410</v>
      </c>
      <c r="U11" s="853" t="s">
        <v>1411</v>
      </c>
      <c r="V11" s="853"/>
      <c r="W11" s="853"/>
      <c r="X11" s="853"/>
      <c r="Y11" s="1013"/>
      <c r="Z11" s="856" t="s">
        <v>1412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1413</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1414</v>
      </c>
      <c r="U12" s="853" t="s">
        <v>1415</v>
      </c>
      <c r="V12" s="853"/>
      <c r="W12" s="853"/>
      <c r="X12" s="853"/>
      <c r="Y12" s="1013"/>
      <c r="Z12" s="856" t="s">
        <v>1416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1417</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1418</v>
      </c>
      <c r="U13" s="854" t="s">
        <v>1419</v>
      </c>
      <c r="V13" s="854"/>
      <c r="W13" s="854"/>
      <c r="X13" s="853"/>
      <c r="Y13" s="1013"/>
      <c r="Z13" s="856" t="s">
        <v>1420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1421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1422</v>
      </c>
      <c r="AA14" s="859" t="s">
        <v>1422</v>
      </c>
      <c r="AB14" s="856"/>
      <c r="AC14" s="856"/>
      <c r="AD14" s="856"/>
    </row>
    <row customHeight="1" ht="108">
      <c r="A15" s="2274"/>
      <c r="B15" s="911">
        <v>5</v>
      </c>
      <c r="C15" s="2281"/>
      <c r="D15" s="2281"/>
      <c r="E15" s="2281"/>
      <c r="F15" s="2281"/>
      <c r="G15" s="2281"/>
      <c r="H15" s="2275" t="s">
        <v>1423</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1424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1425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1425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1139</v>
      </c>
      <c r="B18" s="911">
        <v>1</v>
      </c>
      <c r="C18" s="853" t="s">
        <v>1409</v>
      </c>
      <c r="D18" s="980" t="s">
        <v>1409</v>
      </c>
      <c r="E18" s="853" t="s">
        <v>1409</v>
      </c>
      <c r="F18" s="853" t="s">
        <v>1409</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1426</v>
      </c>
      <c r="U18" s="856" t="s">
        <v>1427</v>
      </c>
      <c r="V18" s="856" t="s">
        <v>1428</v>
      </c>
      <c r="W18" s="856" t="s">
        <v>1429</v>
      </c>
      <c r="X18" s="853"/>
      <c r="Y18" s="1013"/>
      <c r="Z18" s="856" t="s">
        <v>1430</v>
      </c>
      <c r="AA18" s="859" t="s">
        <v>1431</v>
      </c>
      <c r="AB18" s="859" t="s">
        <v>1431</v>
      </c>
      <c r="AC18" s="859" t="s">
        <v>1431</v>
      </c>
      <c r="AD18" s="856"/>
    </row>
    <row customHeight="1" ht="36">
      <c r="A19" s="855"/>
      <c r="B19" s="911">
        <v>2</v>
      </c>
      <c r="C19" s="853" t="s">
        <v>1413</v>
      </c>
      <c r="D19" s="980" t="s">
        <v>1413</v>
      </c>
      <c r="E19" s="853" t="s">
        <v>1413</v>
      </c>
      <c r="F19" s="853" t="s">
        <v>1413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1432</v>
      </c>
      <c r="U19" s="856" t="s">
        <v>1433</v>
      </c>
      <c r="V19" s="856" t="s">
        <v>1434</v>
      </c>
      <c r="W19" s="856" t="s">
        <v>1435</v>
      </c>
      <c r="X19" s="853"/>
      <c r="Y19" s="1013"/>
      <c r="Z19" s="856" t="s">
        <v>1436</v>
      </c>
      <c r="AA19" s="859" t="s">
        <v>1436</v>
      </c>
      <c r="AB19" s="859" t="s">
        <v>1436</v>
      </c>
      <c r="AC19" s="859" t="s">
        <v>1436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552</v>
      </c>
      <c r="P20" s="970" t="s">
        <v>552</v>
      </c>
      <c r="Q20" s="970" t="s">
        <v>552</v>
      </c>
      <c r="R20" s="970" t="s">
        <v>552</v>
      </c>
      <c r="S20" s="970"/>
      <c r="T20" s="977" t="s">
        <v>1437</v>
      </c>
      <c r="U20" s="856" t="s">
        <v>1438</v>
      </c>
      <c r="V20" s="856" t="s">
        <v>1439</v>
      </c>
      <c r="W20" s="856" t="s">
        <v>1440</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396</v>
      </c>
      <c r="P21" s="970"/>
      <c r="Q21" s="970"/>
      <c r="R21" s="970"/>
      <c r="S21" s="970"/>
      <c r="T21" s="977" t="s">
        <v>1441</v>
      </c>
      <c r="U21" s="856"/>
      <c r="V21" s="856"/>
      <c r="W21" s="856"/>
      <c r="X21" s="853"/>
      <c r="Y21" s="1013"/>
      <c r="Z21" s="856" t="s">
        <v>1442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396</v>
      </c>
      <c r="R22" s="970"/>
      <c r="S22" s="970"/>
      <c r="T22" s="977"/>
      <c r="U22" s="856"/>
      <c r="V22" s="856" t="s">
        <v>1443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399</v>
      </c>
      <c r="R23" s="970"/>
      <c r="S23" s="970"/>
      <c r="T23" s="977"/>
      <c r="U23" s="856"/>
      <c r="V23" s="856" t="s">
        <v>1444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1445</v>
      </c>
      <c r="R24" s="970"/>
      <c r="S24" s="970"/>
      <c r="T24" s="977"/>
      <c r="U24" s="856"/>
      <c r="V24" s="856" t="s">
        <v>1446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399</v>
      </c>
      <c r="P25" s="970" t="s">
        <v>396</v>
      </c>
      <c r="Q25" s="970" t="s">
        <v>1447</v>
      </c>
      <c r="R25" s="970" t="s">
        <v>396</v>
      </c>
      <c r="S25" s="970"/>
      <c r="T25" s="977" t="s">
        <v>1448</v>
      </c>
      <c r="U25" s="856" t="s">
        <v>1448</v>
      </c>
      <c r="V25" s="856" t="s">
        <v>1448</v>
      </c>
      <c r="W25" s="856" t="s">
        <v>1448</v>
      </c>
      <c r="X25" s="853"/>
      <c r="Y25" s="1013"/>
      <c r="Z25" s="856"/>
      <c r="AA25" s="859"/>
      <c r="AB25" s="856"/>
      <c r="AC25" s="856"/>
      <c r="AD25" s="856"/>
    </row>
    <row customHeight="1" ht="18">
      <c r="A26" s="855"/>
      <c r="B26" s="911">
        <v>9</v>
      </c>
      <c r="C26" s="853" t="s">
        <v>1449</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1450</v>
      </c>
      <c r="P26" s="970" t="s">
        <v>1451</v>
      </c>
      <c r="Q26" s="970" t="s">
        <v>1452</v>
      </c>
      <c r="R26" s="970" t="s">
        <v>1451</v>
      </c>
      <c r="S26" s="970"/>
      <c r="T26" s="977" t="s">
        <v>1453</v>
      </c>
      <c r="U26" s="977" t="s">
        <v>1453</v>
      </c>
      <c r="V26" s="977" t="s">
        <v>1453</v>
      </c>
      <c r="W26" s="977" t="s">
        <v>1453</v>
      </c>
      <c r="X26" s="853"/>
      <c r="Y26" s="1013"/>
      <c r="Z26" s="856"/>
      <c r="AA26" s="859"/>
      <c r="AB26" s="856"/>
      <c r="AC26" s="856"/>
      <c r="AD26" s="856"/>
    </row>
    <row customHeight="1" ht="18">
      <c r="A27" s="855"/>
      <c r="B27" s="911">
        <v>10</v>
      </c>
      <c r="C27" s="853" t="s">
        <v>1454</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1455</v>
      </c>
      <c r="P27" s="970" t="s">
        <v>1456</v>
      </c>
      <c r="Q27" s="970" t="s">
        <v>1457</v>
      </c>
      <c r="R27" s="970" t="s">
        <v>1456</v>
      </c>
      <c r="S27" s="970"/>
      <c r="T27" s="977" t="s">
        <v>1458</v>
      </c>
      <c r="U27" s="977" t="s">
        <v>1458</v>
      </c>
      <c r="V27" s="977" t="s">
        <v>1458</v>
      </c>
      <c r="W27" s="977" t="s">
        <v>1458</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1445</v>
      </c>
      <c r="P28" s="970"/>
      <c r="Q28" s="970"/>
      <c r="R28" s="970"/>
      <c r="S28" s="970"/>
      <c r="T28" s="977" t="s">
        <v>1459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1447</v>
      </c>
      <c r="P29" s="970" t="s">
        <v>399</v>
      </c>
      <c r="Q29" s="970"/>
      <c r="R29" s="970" t="s">
        <v>399</v>
      </c>
      <c r="S29" s="970"/>
      <c r="T29" s="977" t="s">
        <v>1460</v>
      </c>
      <c r="U29" s="856" t="s">
        <v>1460</v>
      </c>
      <c r="V29" s="856"/>
      <c r="W29" s="856" t="s">
        <v>1460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1461</v>
      </c>
      <c r="P30" s="970" t="s">
        <v>1445</v>
      </c>
      <c r="Q30" s="970" t="s">
        <v>1461</v>
      </c>
      <c r="R30" s="970" t="s">
        <v>1445</v>
      </c>
      <c r="S30" s="970"/>
      <c r="T30" s="977" t="s">
        <v>1462</v>
      </c>
      <c r="U30" s="856" t="s">
        <v>1462</v>
      </c>
      <c r="V30" s="856" t="s">
        <v>1462</v>
      </c>
      <c r="W30" s="856" t="s">
        <v>1462</v>
      </c>
      <c r="X30" s="853"/>
      <c r="Y30" s="1013"/>
      <c r="Z30" s="856"/>
      <c r="AA30" s="859" t="s">
        <v>1463</v>
      </c>
      <c r="AB30" s="859" t="s">
        <v>1463</v>
      </c>
      <c r="AC30" s="859" t="s">
        <v>1463</v>
      </c>
      <c r="AD30" s="856"/>
    </row>
    <row customHeight="1" ht="18">
      <c r="A31" s="855"/>
      <c r="B31" s="911">
        <v>14</v>
      </c>
      <c r="C31" s="853" t="s">
        <v>1464</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1465</v>
      </c>
      <c r="P31" s="970" t="s">
        <v>1466</v>
      </c>
      <c r="Q31" s="970" t="s">
        <v>1465</v>
      </c>
      <c r="R31" s="970" t="s">
        <v>1466</v>
      </c>
      <c r="S31" s="970"/>
      <c r="T31" s="978" t="s">
        <v>1467</v>
      </c>
      <c r="U31" s="856" t="s">
        <v>1467</v>
      </c>
      <c r="V31" s="856" t="s">
        <v>1467</v>
      </c>
      <c r="W31" s="856" t="s">
        <v>1467</v>
      </c>
      <c r="X31" s="853"/>
      <c r="Y31" s="1013"/>
      <c r="Z31" s="856"/>
      <c r="AA31" s="859"/>
      <c r="AB31" s="859"/>
      <c r="AC31" s="859"/>
      <c r="AD31" s="856"/>
    </row>
    <row customHeight="1" ht="36">
      <c r="A32" s="855"/>
      <c r="B32" s="911">
        <v>15</v>
      </c>
      <c r="C32" s="853" t="s">
        <v>1468</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1469</v>
      </c>
      <c r="P32" s="970" t="s">
        <v>1470</v>
      </c>
      <c r="Q32" s="970" t="s">
        <v>1469</v>
      </c>
      <c r="R32" s="970" t="s">
        <v>1470</v>
      </c>
      <c r="S32" s="970"/>
      <c r="T32" s="979" t="s">
        <v>1471</v>
      </c>
      <c r="U32" s="856" t="s">
        <v>1471</v>
      </c>
      <c r="V32" s="856" t="s">
        <v>1471</v>
      </c>
      <c r="W32" s="856" t="s">
        <v>1471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1472</v>
      </c>
      <c r="P33" s="970" t="s">
        <v>1447</v>
      </c>
      <c r="Q33" s="970" t="s">
        <v>1472</v>
      </c>
      <c r="R33" s="970" t="s">
        <v>1447</v>
      </c>
      <c r="S33" s="970"/>
      <c r="T33" s="978" t="s">
        <v>1473</v>
      </c>
      <c r="U33" s="856" t="s">
        <v>1473</v>
      </c>
      <c r="V33" s="856" t="s">
        <v>1473</v>
      </c>
      <c r="W33" s="856" t="s">
        <v>1474</v>
      </c>
      <c r="X33" s="853"/>
      <c r="Y33" s="1013"/>
      <c r="Z33" s="856"/>
      <c r="AA33" s="859" t="s">
        <v>1475</v>
      </c>
      <c r="AB33" s="859" t="s">
        <v>1475</v>
      </c>
      <c r="AC33" s="859" t="s">
        <v>1475</v>
      </c>
      <c r="AD33" s="856"/>
    </row>
    <row customHeight="1" ht="27">
      <c r="A34" s="855"/>
      <c r="B34" s="911">
        <v>17</v>
      </c>
      <c r="C34" s="853" t="s">
        <v>1476</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1477</v>
      </c>
      <c r="P34" s="970" t="s">
        <v>1452</v>
      </c>
      <c r="Q34" s="970" t="s">
        <v>1477</v>
      </c>
      <c r="R34" s="970" t="s">
        <v>1452</v>
      </c>
      <c r="S34" s="970"/>
      <c r="T34" s="979" t="s">
        <v>1478</v>
      </c>
      <c r="U34" s="856" t="s">
        <v>1478</v>
      </c>
      <c r="V34" s="856" t="s">
        <v>1478</v>
      </c>
      <c r="W34" s="856" t="s">
        <v>1479</v>
      </c>
      <c r="X34" s="853"/>
      <c r="Y34" s="1013"/>
      <c r="Z34" s="856"/>
      <c r="AA34" s="859"/>
      <c r="AB34" s="856"/>
      <c r="AC34" s="856"/>
      <c r="AD34" s="856"/>
    </row>
    <row customHeight="1" ht="45">
      <c r="A35" s="855"/>
      <c r="B35" s="911">
        <v>18</v>
      </c>
      <c r="C35" s="853" t="s">
        <v>1480</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1481</v>
      </c>
      <c r="P35" s="970" t="s">
        <v>1457</v>
      </c>
      <c r="Q35" s="970" t="s">
        <v>1481</v>
      </c>
      <c r="R35" s="970" t="s">
        <v>1457</v>
      </c>
      <c r="S35" s="970"/>
      <c r="T35" s="977" t="s">
        <v>1482</v>
      </c>
      <c r="U35" s="856" t="s">
        <v>1482</v>
      </c>
      <c r="V35" s="856" t="s">
        <v>1482</v>
      </c>
      <c r="W35" s="856" t="s">
        <v>1482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1483</v>
      </c>
      <c r="P36" s="970" t="s">
        <v>1461</v>
      </c>
      <c r="Q36" s="970" t="s">
        <v>1483</v>
      </c>
      <c r="R36" s="970" t="s">
        <v>1461</v>
      </c>
      <c r="S36" s="970"/>
      <c r="T36" s="977" t="s">
        <v>1484</v>
      </c>
      <c r="U36" s="856" t="s">
        <v>1484</v>
      </c>
      <c r="V36" s="856" t="s">
        <v>1484</v>
      </c>
      <c r="W36" s="856" t="s">
        <v>1484</v>
      </c>
      <c r="X36" s="853"/>
      <c r="Y36" s="1013"/>
      <c r="Z36" s="856"/>
      <c r="AA36" s="859"/>
      <c r="AB36" s="856"/>
      <c r="AC36" s="856"/>
      <c r="AD36" s="856"/>
    </row>
    <row customHeight="1" ht="18">
      <c r="A37" s="855"/>
      <c r="B37" s="911">
        <v>20</v>
      </c>
      <c r="C37" s="853" t="s">
        <v>1485</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1486</v>
      </c>
      <c r="P37" s="970" t="s">
        <v>1465</v>
      </c>
      <c r="Q37" s="970" t="s">
        <v>1486</v>
      </c>
      <c r="R37" s="970" t="s">
        <v>1465</v>
      </c>
      <c r="S37" s="970"/>
      <c r="T37" s="977" t="s">
        <v>1487</v>
      </c>
      <c r="U37" s="856" t="s">
        <v>1487</v>
      </c>
      <c r="V37" s="856" t="s">
        <v>1487</v>
      </c>
      <c r="W37" s="856" t="s">
        <v>1487</v>
      </c>
      <c r="X37" s="853"/>
      <c r="Y37" s="1013"/>
      <c r="Z37" s="856"/>
      <c r="AA37" s="859"/>
      <c r="AB37" s="856"/>
      <c r="AC37" s="856"/>
      <c r="AD37" s="856"/>
    </row>
    <row customHeight="1" ht="18">
      <c r="A38" s="855"/>
      <c r="B38" s="911">
        <v>21</v>
      </c>
      <c r="C38" s="853" t="s">
        <v>1488</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1489</v>
      </c>
      <c r="P38" s="970" t="s">
        <v>1469</v>
      </c>
      <c r="Q38" s="970" t="s">
        <v>1489</v>
      </c>
      <c r="R38" s="970" t="s">
        <v>1469</v>
      </c>
      <c r="S38" s="970"/>
      <c r="T38" s="977" t="s">
        <v>1490</v>
      </c>
      <c r="U38" s="856" t="s">
        <v>1490</v>
      </c>
      <c r="V38" s="856" t="s">
        <v>1490</v>
      </c>
      <c r="W38" s="856" t="s">
        <v>1490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1491</v>
      </c>
      <c r="P39" s="970" t="s">
        <v>1472</v>
      </c>
      <c r="Q39" s="970" t="s">
        <v>1491</v>
      </c>
      <c r="R39" s="970" t="s">
        <v>1472</v>
      </c>
      <c r="S39" s="970"/>
      <c r="T39" s="977" t="s">
        <v>1492</v>
      </c>
      <c r="U39" s="856" t="s">
        <v>1493</v>
      </c>
      <c r="V39" s="856" t="s">
        <v>1494</v>
      </c>
      <c r="W39" s="856" t="s">
        <v>1495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1496</v>
      </c>
      <c r="P40" s="970" t="s">
        <v>1483</v>
      </c>
      <c r="Q40" s="970" t="s">
        <v>1496</v>
      </c>
      <c r="R40" s="970" t="s">
        <v>1483</v>
      </c>
      <c r="S40" s="970"/>
      <c r="T40" s="853" t="s">
        <v>1497</v>
      </c>
      <c r="U40" s="853" t="s">
        <v>1497</v>
      </c>
      <c r="V40" s="853" t="s">
        <v>1497</v>
      </c>
      <c r="W40" s="853" t="s">
        <v>1497</v>
      </c>
      <c r="X40" s="853"/>
      <c r="Y40" s="1013"/>
      <c r="Z40" s="856" t="s">
        <v>1498</v>
      </c>
      <c r="AA40" s="859" t="s">
        <v>1498</v>
      </c>
      <c r="AB40" s="859" t="s">
        <v>1498</v>
      </c>
      <c r="AC40" s="859" t="s">
        <v>1498</v>
      </c>
      <c r="AD40" s="856"/>
    </row>
    <row customHeight="1" ht="27">
      <c r="A41" s="855"/>
      <c r="B41" s="911">
        <v>24</v>
      </c>
      <c r="C41" s="853" t="s">
        <v>1499</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1500</v>
      </c>
      <c r="P41" s="970" t="s">
        <v>1486</v>
      </c>
      <c r="Q41" s="970" t="s">
        <v>1500</v>
      </c>
      <c r="R41" s="970" t="s">
        <v>1486</v>
      </c>
      <c r="S41" s="970"/>
      <c r="T41" s="853" t="s">
        <v>1501</v>
      </c>
      <c r="U41" s="853" t="s">
        <v>1501</v>
      </c>
      <c r="V41" s="853" t="s">
        <v>1501</v>
      </c>
      <c r="W41" s="853" t="s">
        <v>1501</v>
      </c>
      <c r="X41" s="853"/>
      <c r="Y41" s="1013"/>
      <c r="Z41" s="856" t="s">
        <v>1502</v>
      </c>
      <c r="AA41" s="856" t="s">
        <v>1502</v>
      </c>
      <c r="AB41" s="856" t="s">
        <v>1502</v>
      </c>
      <c r="AC41" s="856" t="s">
        <v>1502</v>
      </c>
      <c r="AD41" s="856"/>
    </row>
    <row customHeight="1" ht="27">
      <c r="A42" s="855"/>
      <c r="B42" s="911">
        <v>25</v>
      </c>
      <c r="C42" s="853" t="s">
        <v>1503</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1504</v>
      </c>
      <c r="P42" s="970" t="s">
        <v>1489</v>
      </c>
      <c r="Q42" s="970" t="s">
        <v>1504</v>
      </c>
      <c r="R42" s="970" t="s">
        <v>1489</v>
      </c>
      <c r="S42" s="970"/>
      <c r="T42" s="853" t="s">
        <v>1505</v>
      </c>
      <c r="U42" s="853" t="s">
        <v>1505</v>
      </c>
      <c r="V42" s="853" t="s">
        <v>1505</v>
      </c>
      <c r="W42" s="853" t="s">
        <v>1505</v>
      </c>
      <c r="X42" s="853"/>
      <c r="Y42" s="1013"/>
      <c r="Z42" s="856" t="s">
        <v>1506</v>
      </c>
      <c r="AA42" s="856" t="s">
        <v>1506</v>
      </c>
      <c r="AB42" s="856" t="s">
        <v>1506</v>
      </c>
      <c r="AC42" s="856" t="s">
        <v>1506</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1507</v>
      </c>
      <c r="P43" s="970" t="s">
        <v>1491</v>
      </c>
      <c r="Q43" s="970" t="s">
        <v>1507</v>
      </c>
      <c r="R43" s="970" t="s">
        <v>1491</v>
      </c>
      <c r="S43" s="970"/>
      <c r="T43" s="853" t="s">
        <v>1508</v>
      </c>
      <c r="U43" s="853" t="s">
        <v>1508</v>
      </c>
      <c r="V43" s="853" t="s">
        <v>1508</v>
      </c>
      <c r="W43" s="853" t="s">
        <v>1508</v>
      </c>
      <c r="X43" s="853"/>
      <c r="Y43" s="1013"/>
      <c r="Z43" s="856" t="s">
        <v>1509</v>
      </c>
      <c r="AA43" s="856" t="s">
        <v>1509</v>
      </c>
      <c r="AB43" s="856" t="s">
        <v>1509</v>
      </c>
      <c r="AC43" s="856" t="s">
        <v>1509</v>
      </c>
      <c r="AD43" s="856"/>
    </row>
    <row customHeight="1" ht="27">
      <c r="A44" s="855"/>
      <c r="B44" s="911">
        <v>27</v>
      </c>
      <c r="C44" s="853" t="s">
        <v>1510</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1511</v>
      </c>
      <c r="P44" s="970" t="s">
        <v>1512</v>
      </c>
      <c r="Q44" s="970" t="s">
        <v>1511</v>
      </c>
      <c r="R44" s="970" t="s">
        <v>1512</v>
      </c>
      <c r="S44" s="970"/>
      <c r="T44" s="853" t="s">
        <v>1501</v>
      </c>
      <c r="U44" s="853" t="s">
        <v>1501</v>
      </c>
      <c r="V44" s="853" t="s">
        <v>1501</v>
      </c>
      <c r="W44" s="853" t="s">
        <v>1501</v>
      </c>
      <c r="X44" s="853"/>
      <c r="Y44" s="1013"/>
      <c r="Z44" s="856" t="s">
        <v>1513</v>
      </c>
      <c r="AA44" s="856" t="s">
        <v>1513</v>
      </c>
      <c r="AB44" s="856" t="s">
        <v>1513</v>
      </c>
      <c r="AC44" s="856" t="s">
        <v>1513</v>
      </c>
      <c r="AD44" s="856"/>
    </row>
    <row customHeight="1" ht="27">
      <c r="A45" s="855"/>
      <c r="B45" s="911">
        <v>28</v>
      </c>
      <c r="C45" s="853" t="s">
        <v>1514</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1515</v>
      </c>
      <c r="P45" s="970" t="s">
        <v>1516</v>
      </c>
      <c r="Q45" s="970" t="s">
        <v>1515</v>
      </c>
      <c r="R45" s="970" t="s">
        <v>1516</v>
      </c>
      <c r="S45" s="970"/>
      <c r="T45" s="853" t="s">
        <v>1505</v>
      </c>
      <c r="U45" s="853" t="s">
        <v>1505</v>
      </c>
      <c r="V45" s="853" t="s">
        <v>1505</v>
      </c>
      <c r="W45" s="853" t="s">
        <v>1505</v>
      </c>
      <c r="X45" s="853"/>
      <c r="Y45" s="1013"/>
      <c r="Z45" s="856" t="s">
        <v>1517</v>
      </c>
      <c r="AA45" s="856" t="s">
        <v>1517</v>
      </c>
      <c r="AB45" s="856" t="s">
        <v>1517</v>
      </c>
      <c r="AC45" s="856" t="s">
        <v>1517</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1518</v>
      </c>
      <c r="P46" s="970" t="s">
        <v>1496</v>
      </c>
      <c r="Q46" s="970" t="s">
        <v>1518</v>
      </c>
      <c r="R46" s="970" t="s">
        <v>1496</v>
      </c>
      <c r="S46" s="970"/>
      <c r="T46" s="853" t="s">
        <v>1519</v>
      </c>
      <c r="U46" s="853" t="s">
        <v>1519</v>
      </c>
      <c r="V46" s="853" t="s">
        <v>1519</v>
      </c>
      <c r="W46" s="853" t="s">
        <v>1519</v>
      </c>
      <c r="X46" s="853"/>
      <c r="Y46" s="1013"/>
      <c r="Z46" s="856" t="s">
        <v>1520</v>
      </c>
      <c r="AA46" s="856" t="s">
        <v>1521</v>
      </c>
      <c r="AB46" s="856" t="s">
        <v>1521</v>
      </c>
      <c r="AC46" s="856" t="s">
        <v>1521</v>
      </c>
      <c r="AD46" s="856"/>
    </row>
    <row customHeight="1" ht="54">
      <c r="A47" s="855"/>
      <c r="B47" s="911">
        <v>30</v>
      </c>
      <c r="C47" s="853" t="s">
        <v>1522</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1523</v>
      </c>
      <c r="P47" s="970" t="s">
        <v>1500</v>
      </c>
      <c r="Q47" s="970" t="s">
        <v>1523</v>
      </c>
      <c r="R47" s="970" t="s">
        <v>1500</v>
      </c>
      <c r="S47" s="970"/>
      <c r="T47" s="853" t="s">
        <v>1524</v>
      </c>
      <c r="U47" s="853" t="s">
        <v>1524</v>
      </c>
      <c r="V47" s="853" t="s">
        <v>1524</v>
      </c>
      <c r="W47" s="853" t="s">
        <v>1524</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1507</v>
      </c>
      <c r="Q48" s="970" t="s">
        <v>1525</v>
      </c>
      <c r="R48" s="970" t="s">
        <v>1507</v>
      </c>
      <c r="S48" s="970"/>
      <c r="T48" s="853"/>
      <c r="U48" s="853" t="s">
        <v>1526</v>
      </c>
      <c r="V48" s="853" t="s">
        <v>1527</v>
      </c>
      <c r="W48" s="853" t="s">
        <v>1527</v>
      </c>
      <c r="X48" s="853"/>
      <c r="Y48" s="1013"/>
      <c r="Z48" s="856"/>
      <c r="AA48" s="859" t="s">
        <v>1521</v>
      </c>
      <c r="AB48" s="859" t="s">
        <v>1521</v>
      </c>
      <c r="AC48" s="859" t="s">
        <v>1521</v>
      </c>
      <c r="AD48" s="856"/>
    </row>
    <row customHeight="1" ht="54">
      <c r="A49" s="855"/>
      <c r="B49" s="911">
        <v>32</v>
      </c>
      <c r="C49" s="853" t="s">
        <v>1528</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1511</v>
      </c>
      <c r="Q49" s="970" t="s">
        <v>1529</v>
      </c>
      <c r="R49" s="970" t="s">
        <v>1511</v>
      </c>
      <c r="S49" s="970"/>
      <c r="T49" s="853"/>
      <c r="U49" s="853" t="s">
        <v>1524</v>
      </c>
      <c r="V49" s="853" t="s">
        <v>1524</v>
      </c>
      <c r="W49" s="853" t="s">
        <v>1524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1525</v>
      </c>
      <c r="P50" s="970" t="s">
        <v>1518</v>
      </c>
      <c r="Q50" s="970" t="s">
        <v>1530</v>
      </c>
      <c r="R50" s="970" t="s">
        <v>1518</v>
      </c>
      <c r="S50" s="970"/>
      <c r="T50" s="853" t="s">
        <v>1531</v>
      </c>
      <c r="U50" s="853" t="s">
        <v>1532</v>
      </c>
      <c r="V50" s="853" t="s">
        <v>1533</v>
      </c>
      <c r="W50" s="853" t="s">
        <v>1534</v>
      </c>
      <c r="X50" s="853"/>
      <c r="Y50" s="1013"/>
      <c r="Z50" s="856" t="s">
        <v>1535</v>
      </c>
      <c r="AA50" s="859" t="s">
        <v>1536</v>
      </c>
      <c r="AB50" s="859" t="s">
        <v>1536</v>
      </c>
      <c r="AC50" s="859" t="s">
        <v>1536</v>
      </c>
      <c r="AD50" s="856"/>
    </row>
    <row customHeight="1" ht="27">
      <c r="A51" s="855"/>
      <c r="B51" s="911">
        <v>34</v>
      </c>
      <c r="C51" s="853" t="s">
        <v>1537</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1538</v>
      </c>
      <c r="U51" s="853"/>
      <c r="V51" s="853"/>
      <c r="W51" s="853"/>
      <c r="X51" s="853"/>
      <c r="Y51" s="1013"/>
      <c r="Z51" s="856"/>
      <c r="AA51" s="859"/>
      <c r="AB51" s="859"/>
      <c r="AC51" s="859"/>
      <c r="AD51" s="856"/>
    </row>
    <row customHeight="1" ht="36">
      <c r="A52" s="855"/>
      <c r="B52" s="911">
        <v>35</v>
      </c>
      <c r="C52" s="853" t="s">
        <v>1417</v>
      </c>
      <c r="D52" s="980" t="s">
        <v>1417</v>
      </c>
      <c r="E52" s="853" t="s">
        <v>1417</v>
      </c>
      <c r="F52" s="853" t="s">
        <v>1417</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1539</v>
      </c>
      <c r="U52" s="853" t="s">
        <v>1540</v>
      </c>
      <c r="V52" s="853" t="s">
        <v>1541</v>
      </c>
      <c r="W52" s="853" t="s">
        <v>1542</v>
      </c>
      <c r="X52" s="853"/>
      <c r="Y52" s="1013"/>
      <c r="Z52" s="856" t="s">
        <v>1543</v>
      </c>
      <c r="AA52" s="859" t="s">
        <v>1543</v>
      </c>
      <c r="AB52" s="859" t="s">
        <v>1543</v>
      </c>
      <c r="AC52" s="859" t="s">
        <v>1543</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1544</v>
      </c>
      <c r="P53" s="970" t="s">
        <v>415</v>
      </c>
      <c r="Q53" s="970" t="s">
        <v>415</v>
      </c>
      <c r="R53" s="970" t="s">
        <v>415</v>
      </c>
      <c r="S53" s="970"/>
      <c r="T53" s="853" t="s">
        <v>1545</v>
      </c>
      <c r="U53" s="853" t="s">
        <v>1545</v>
      </c>
      <c r="V53" s="853" t="s">
        <v>1545</v>
      </c>
      <c r="W53" s="853" t="s">
        <v>1545</v>
      </c>
      <c r="X53" s="853"/>
      <c r="Y53" s="1013"/>
      <c r="Z53" s="856"/>
      <c r="AA53" s="859"/>
      <c r="AB53" s="856"/>
      <c r="AC53" s="856"/>
      <c r="AD53" s="856"/>
    </row>
    <row customHeight="1" ht="18">
      <c r="A54" s="855"/>
      <c r="B54" s="911">
        <v>37</v>
      </c>
      <c r="C54" s="853" t="s">
        <v>1423</v>
      </c>
      <c r="D54" s="980" t="s">
        <v>1423</v>
      </c>
      <c r="E54" s="853" t="s">
        <v>1423</v>
      </c>
      <c r="F54" s="853" t="s">
        <v>1423</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113</v>
      </c>
      <c r="P54" s="970" t="s">
        <v>91</v>
      </c>
      <c r="Q54" s="970" t="s">
        <v>91</v>
      </c>
      <c r="R54" s="970" t="s">
        <v>91</v>
      </c>
      <c r="S54" s="970"/>
      <c r="T54" s="853" t="s">
        <v>1546</v>
      </c>
      <c r="U54" s="853" t="s">
        <v>1546</v>
      </c>
      <c r="V54" s="853" t="s">
        <v>1546</v>
      </c>
      <c r="W54" s="853" t="s">
        <v>1546</v>
      </c>
      <c r="X54" s="853"/>
      <c r="Y54" s="1013"/>
      <c r="Z54" s="856" t="s">
        <v>1547</v>
      </c>
      <c r="AA54" s="856" t="s">
        <v>1547</v>
      </c>
      <c r="AB54" s="856" t="s">
        <v>1547</v>
      </c>
      <c r="AC54" s="856" t="s">
        <v>1547</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404</v>
      </c>
      <c r="P55" s="970" t="s">
        <v>1544</v>
      </c>
      <c r="Q55" s="970" t="s">
        <v>1544</v>
      </c>
      <c r="R55" s="970" t="s">
        <v>1544</v>
      </c>
      <c r="S55" s="970"/>
      <c r="T55" s="853" t="s">
        <v>1548</v>
      </c>
      <c r="U55" s="853" t="s">
        <v>1549</v>
      </c>
      <c r="V55" s="853" t="s">
        <v>1549</v>
      </c>
      <c r="W55" s="853" t="s">
        <v>1549</v>
      </c>
      <c r="X55" s="853"/>
      <c r="Y55" s="1013"/>
      <c r="Z55" s="856" t="s">
        <v>1550</v>
      </c>
      <c r="AA55" s="856" t="s">
        <v>1550</v>
      </c>
      <c r="AB55" s="856" t="s">
        <v>1550</v>
      </c>
      <c r="AC55" s="856" t="s">
        <v>1550</v>
      </c>
      <c r="AD55" s="856"/>
    </row>
    <row customHeight="1" ht="27">
      <c r="A56" s="855"/>
      <c r="B56" s="911">
        <v>39</v>
      </c>
      <c r="C56" s="853" t="s">
        <v>527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1551</v>
      </c>
      <c r="P56" s="970" t="s">
        <v>1552</v>
      </c>
      <c r="Q56" s="970" t="s">
        <v>1552</v>
      </c>
      <c r="R56" s="970" t="s">
        <v>1552</v>
      </c>
      <c r="S56" s="970"/>
      <c r="T56" s="853" t="s">
        <v>1553</v>
      </c>
      <c r="U56" s="853" t="s">
        <v>1554</v>
      </c>
      <c r="V56" s="853" t="s">
        <v>1554</v>
      </c>
      <c r="W56" s="853" t="s">
        <v>1554</v>
      </c>
      <c r="X56" s="853"/>
      <c r="Y56" s="1013"/>
      <c r="Z56" s="856" t="s">
        <v>1555</v>
      </c>
      <c r="AA56" s="856" t="s">
        <v>1555</v>
      </c>
      <c r="AB56" s="856" t="s">
        <v>1555</v>
      </c>
      <c r="AC56" s="856" t="s">
        <v>1555</v>
      </c>
      <c r="AD56" s="856"/>
    </row>
    <row customHeight="1" ht="27">
      <c r="A57" s="855"/>
      <c r="B57" s="911">
        <v>40</v>
      </c>
      <c r="C57" s="853" t="s">
        <v>542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1556</v>
      </c>
      <c r="P57" s="970" t="s">
        <v>1557</v>
      </c>
      <c r="Q57" s="970" t="s">
        <v>1557</v>
      </c>
      <c r="R57" s="970" t="s">
        <v>1557</v>
      </c>
      <c r="S57" s="970"/>
      <c r="T57" s="853" t="s">
        <v>1558</v>
      </c>
      <c r="U57" s="853" t="s">
        <v>1559</v>
      </c>
      <c r="V57" s="853" t="s">
        <v>1559</v>
      </c>
      <c r="W57" s="853" t="s">
        <v>1559</v>
      </c>
      <c r="X57" s="853"/>
      <c r="Y57" s="1013"/>
      <c r="Z57" s="856" t="s">
        <v>1560</v>
      </c>
      <c r="AA57" s="856" t="s">
        <v>1560</v>
      </c>
      <c r="AB57" s="856" t="s">
        <v>1560</v>
      </c>
      <c r="AC57" s="856" t="s">
        <v>1560</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406</v>
      </c>
      <c r="P58" s="970" t="s">
        <v>1561</v>
      </c>
      <c r="Q58" s="970" t="s">
        <v>1561</v>
      </c>
      <c r="R58" s="970" t="s">
        <v>1561</v>
      </c>
      <c r="S58" s="970"/>
      <c r="T58" s="853" t="s">
        <v>1562</v>
      </c>
      <c r="U58" s="853" t="s">
        <v>1562</v>
      </c>
      <c r="V58" s="853" t="s">
        <v>1562</v>
      </c>
      <c r="W58" s="853" t="s">
        <v>1562</v>
      </c>
      <c r="X58" s="853"/>
      <c r="Y58" s="1013"/>
      <c r="Z58" s="856"/>
      <c r="AA58" s="859"/>
      <c r="AB58" s="856"/>
      <c r="AC58" s="856"/>
      <c r="AD58" s="856"/>
    </row>
    <row customHeight="1" ht="36">
      <c r="A59" s="855"/>
      <c r="B59" s="911">
        <v>42</v>
      </c>
      <c r="C59" s="853">
        <v>3</v>
      </c>
      <c r="D59" s="980" t="s">
        <v>1537</v>
      </c>
      <c r="E59" s="853" t="s">
        <v>1537</v>
      </c>
      <c r="F59" s="853" t="s">
        <v>1537</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113</v>
      </c>
      <c r="Q59" s="970" t="s">
        <v>113</v>
      </c>
      <c r="R59" s="970" t="s">
        <v>113</v>
      </c>
      <c r="S59" s="970"/>
      <c r="T59" s="853"/>
      <c r="U59" s="853" t="s">
        <v>1563</v>
      </c>
      <c r="V59" s="853" t="s">
        <v>1564</v>
      </c>
      <c r="W59" s="853" t="s">
        <v>1565</v>
      </c>
      <c r="X59" s="853"/>
      <c r="Y59" s="1013"/>
      <c r="Z59" s="856"/>
      <c r="AA59" s="859"/>
      <c r="AB59" s="856"/>
      <c r="AC59" s="856"/>
      <c r="AD59" s="856"/>
    </row>
    <row customHeight="1" ht="81">
      <c r="A60" s="855"/>
      <c r="B60" s="911">
        <v>43</v>
      </c>
      <c r="C60" s="853" t="s">
        <v>1566</v>
      </c>
      <c r="D60" s="980" t="s">
        <v>1566</v>
      </c>
      <c r="E60" s="853" t="s">
        <v>1566</v>
      </c>
      <c r="F60" s="853" t="s">
        <v>1566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1567</v>
      </c>
      <c r="U60" s="853" t="s">
        <v>1567</v>
      </c>
      <c r="V60" s="853" t="s">
        <v>1567</v>
      </c>
      <c r="W60" s="853" t="s">
        <v>1567</v>
      </c>
      <c r="X60" s="853"/>
      <c r="Y60" s="1013"/>
      <c r="Z60" s="856" t="s">
        <v>1568</v>
      </c>
      <c r="AA60" s="859" t="s">
        <v>1569</v>
      </c>
      <c r="AB60" s="856" t="s">
        <v>1570</v>
      </c>
      <c r="AC60" s="856" t="s">
        <v>1569</v>
      </c>
      <c r="AD60" s="856"/>
    </row>
    <row customHeight="1" ht="9">
      <c r="A61" s="855"/>
      <c r="B61" s="911">
        <v>44</v>
      </c>
      <c r="C61" s="853"/>
      <c r="D61" s="980" t="s">
        <v>1571</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1572</v>
      </c>
      <c r="V61" s="853"/>
      <c r="W61" s="853"/>
      <c r="X61" s="853"/>
      <c r="Y61" s="1013"/>
      <c r="Z61" s="856"/>
      <c r="AA61" s="859"/>
      <c r="AB61" s="856"/>
      <c r="AC61" s="856"/>
      <c r="AD61" s="856"/>
    </row>
    <row customHeight="1" ht="9">
      <c r="A62" s="855"/>
      <c r="B62" s="911">
        <v>45</v>
      </c>
      <c r="C62" s="853"/>
      <c r="D62" s="980" t="s">
        <v>1573</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123</v>
      </c>
      <c r="Q62" s="970"/>
      <c r="R62" s="970"/>
      <c r="S62" s="970"/>
      <c r="T62" s="853"/>
      <c r="U62" s="853" t="s">
        <v>1574</v>
      </c>
      <c r="V62" s="853"/>
      <c r="W62" s="853"/>
      <c r="X62" s="853"/>
      <c r="Y62" s="1013"/>
      <c r="Z62" s="856"/>
      <c r="AA62" s="859"/>
      <c r="AB62" s="856"/>
      <c r="AC62" s="856"/>
      <c r="AD62" s="856"/>
    </row>
    <row customHeight="1" ht="18">
      <c r="A63" s="855"/>
      <c r="B63" s="911">
        <v>46</v>
      </c>
      <c r="C63" s="853"/>
      <c r="D63" s="980" t="s">
        <v>1575</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127</v>
      </c>
      <c r="Q63" s="970"/>
      <c r="R63" s="970"/>
      <c r="S63" s="970"/>
      <c r="T63" s="853"/>
      <c r="U63" s="853" t="s">
        <v>1576</v>
      </c>
      <c r="V63" s="853"/>
      <c r="W63" s="853"/>
      <c r="X63" s="853"/>
      <c r="Y63" s="1013"/>
      <c r="Z63" s="856"/>
      <c r="AA63" s="859"/>
      <c r="AB63" s="856"/>
      <c r="AC63" s="856"/>
      <c r="AD63" s="856"/>
    </row>
    <row customHeight="1" ht="18">
      <c r="A64" s="855"/>
      <c r="B64" s="911">
        <v>47</v>
      </c>
      <c r="C64" s="853"/>
      <c r="D64" s="980" t="s">
        <v>1577</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131</v>
      </c>
      <c r="Q64" s="970"/>
      <c r="R64" s="970"/>
      <c r="S64" s="970"/>
      <c r="T64" s="853"/>
      <c r="U64" s="853" t="s">
        <v>1578</v>
      </c>
      <c r="V64" s="853"/>
      <c r="W64" s="853"/>
      <c r="X64" s="853"/>
      <c r="Y64" s="1013"/>
      <c r="Z64" s="856"/>
      <c r="AA64" s="859" t="s">
        <v>1579</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1476</v>
      </c>
      <c r="Q65" s="970"/>
      <c r="R65" s="970"/>
      <c r="S65" s="970"/>
      <c r="T65" s="853"/>
      <c r="U65" s="853" t="s">
        <v>1580</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1480</v>
      </c>
      <c r="Q66" s="970"/>
      <c r="R66" s="970"/>
      <c r="S66" s="970"/>
      <c r="T66" s="853"/>
      <c r="U66" s="853" t="s">
        <v>1581</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1582</v>
      </c>
      <c r="Q67" s="970"/>
      <c r="R67" s="970"/>
      <c r="S67" s="970"/>
      <c r="T67" s="853"/>
      <c r="U67" s="853" t="s">
        <v>1583</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1584</v>
      </c>
      <c r="Q68" s="970"/>
      <c r="R68" s="970"/>
      <c r="S68" s="970"/>
      <c r="T68" s="853"/>
      <c r="U68" s="853" t="s">
        <v>1585</v>
      </c>
      <c r="V68" s="853"/>
      <c r="W68" s="853"/>
      <c r="X68" s="853"/>
      <c r="Y68" s="1013"/>
      <c r="Z68" s="856"/>
      <c r="AA68" s="859"/>
      <c r="AB68" s="856"/>
      <c r="AC68" s="856"/>
      <c r="AD68" s="856"/>
    </row>
    <row customHeight="1" ht="9">
      <c r="A69" s="855"/>
      <c r="B69" s="911">
        <v>52</v>
      </c>
      <c r="C69" s="853"/>
      <c r="D69" s="980" t="s">
        <v>1586</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135</v>
      </c>
      <c r="Q69" s="970"/>
      <c r="R69" s="970"/>
      <c r="S69" s="970"/>
      <c r="T69" s="853"/>
      <c r="U69" s="853" t="s">
        <v>1587</v>
      </c>
      <c r="V69" s="853"/>
      <c r="W69" s="853"/>
      <c r="X69" s="853"/>
      <c r="Y69" s="1013"/>
      <c r="Z69" s="856"/>
      <c r="AA69" s="859"/>
      <c r="AB69" s="856"/>
      <c r="AC69" s="856"/>
      <c r="AD69" s="856"/>
    </row>
    <row customHeight="1" ht="27">
      <c r="A70" s="855"/>
      <c r="B70" s="911">
        <v>53</v>
      </c>
      <c r="C70" s="853"/>
      <c r="D70" s="980"/>
      <c r="E70" s="853" t="s">
        <v>1571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1588</v>
      </c>
      <c r="W70" s="853"/>
      <c r="X70" s="853"/>
      <c r="Y70" s="1013"/>
      <c r="Z70" s="856"/>
      <c r="AA70" s="859"/>
      <c r="AB70" s="856"/>
      <c r="AC70" s="856"/>
      <c r="AD70" s="856"/>
    </row>
    <row customHeight="1" ht="36">
      <c r="A71" s="855"/>
      <c r="B71" s="911">
        <v>54</v>
      </c>
      <c r="C71" s="853"/>
      <c r="D71" s="980"/>
      <c r="E71" s="853" t="s">
        <v>1573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123</v>
      </c>
      <c r="R71" s="970"/>
      <c r="S71" s="970"/>
      <c r="T71" s="853"/>
      <c r="U71" s="853"/>
      <c r="V71" s="853" t="s">
        <v>1589</v>
      </c>
      <c r="W71" s="853"/>
      <c r="X71" s="853"/>
      <c r="Y71" s="1013"/>
      <c r="Z71" s="856"/>
      <c r="AA71" s="859"/>
      <c r="AB71" s="856"/>
      <c r="AC71" s="856"/>
      <c r="AD71" s="856"/>
    </row>
    <row customHeight="1" ht="27">
      <c r="A72" s="855"/>
      <c r="B72" s="911">
        <v>55</v>
      </c>
      <c r="C72" s="853"/>
      <c r="D72" s="980"/>
      <c r="E72" s="853" t="s">
        <v>1575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127</v>
      </c>
      <c r="R72" s="970"/>
      <c r="S72" s="970"/>
      <c r="T72" s="853"/>
      <c r="U72" s="853"/>
      <c r="V72" s="853" t="s">
        <v>1590</v>
      </c>
      <c r="W72" s="853"/>
      <c r="X72" s="853"/>
      <c r="Y72" s="1013"/>
      <c r="Z72" s="856"/>
      <c r="AA72" s="859"/>
      <c r="AB72" s="856"/>
      <c r="AC72" s="856"/>
      <c r="AD72" s="856"/>
    </row>
    <row customHeight="1" ht="36">
      <c r="A73" s="855"/>
      <c r="B73" s="911">
        <v>56</v>
      </c>
      <c r="C73" s="853"/>
      <c r="D73" s="980"/>
      <c r="E73" s="853" t="s">
        <v>1577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131</v>
      </c>
      <c r="R73" s="970"/>
      <c r="S73" s="970"/>
      <c r="T73" s="853"/>
      <c r="U73" s="853"/>
      <c r="V73" s="853" t="s">
        <v>1591</v>
      </c>
      <c r="W73" s="853"/>
      <c r="X73" s="853"/>
      <c r="Y73" s="1013"/>
      <c r="Z73" s="856"/>
      <c r="AA73" s="859"/>
      <c r="AB73" s="856"/>
      <c r="AC73" s="856"/>
      <c r="AD73" s="856"/>
    </row>
    <row customHeight="1" ht="18">
      <c r="A74" s="855"/>
      <c r="B74" s="911">
        <v>57</v>
      </c>
      <c r="C74" s="853"/>
      <c r="D74" s="980"/>
      <c r="E74" s="853" t="s">
        <v>1586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135</v>
      </c>
      <c r="R74" s="970"/>
      <c r="S74" s="970"/>
      <c r="T74" s="853"/>
      <c r="U74" s="853"/>
      <c r="V74" s="853" t="s">
        <v>1592</v>
      </c>
      <c r="W74" s="853"/>
      <c r="X74" s="853"/>
      <c r="Y74" s="1013"/>
      <c r="Z74" s="856"/>
      <c r="AA74" s="859"/>
      <c r="AB74" s="856"/>
      <c r="AC74" s="856"/>
      <c r="AD74" s="856"/>
    </row>
    <row customHeight="1" ht="18">
      <c r="A75" s="855"/>
      <c r="B75" s="911">
        <v>58</v>
      </c>
      <c r="C75" s="853"/>
      <c r="D75" s="980"/>
      <c r="E75" s="853"/>
      <c r="F75" s="853" t="s">
        <v>1571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1593</v>
      </c>
      <c r="X75" s="853"/>
      <c r="Y75" s="1013"/>
      <c r="Z75" s="856"/>
      <c r="AA75" s="859"/>
      <c r="AB75" s="856"/>
      <c r="AC75" s="856"/>
      <c r="AD75" s="856"/>
    </row>
    <row customHeight="1" ht="36">
      <c r="A76" s="855"/>
      <c r="B76" s="911">
        <v>59</v>
      </c>
      <c r="C76" s="853"/>
      <c r="D76" s="980"/>
      <c r="E76" s="853"/>
      <c r="F76" s="853" t="s">
        <v>1573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123</v>
      </c>
      <c r="S76" s="970"/>
      <c r="T76" s="853"/>
      <c r="U76" s="853"/>
      <c r="V76" s="853"/>
      <c r="W76" s="853" t="s">
        <v>1594</v>
      </c>
      <c r="X76" s="853"/>
      <c r="Y76" s="1013"/>
      <c r="Z76" s="856"/>
      <c r="AA76" s="859"/>
      <c r="AB76" s="856"/>
      <c r="AC76" s="856"/>
      <c r="AD76" s="856"/>
    </row>
    <row customHeight="1" ht="18">
      <c r="A77" s="855"/>
      <c r="B77" s="911">
        <v>60</v>
      </c>
      <c r="C77" s="853"/>
      <c r="D77" s="980"/>
      <c r="E77" s="853"/>
      <c r="F77" s="853" t="s">
        <v>1575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127</v>
      </c>
      <c r="S77" s="970"/>
      <c r="T77" s="853"/>
      <c r="U77" s="853"/>
      <c r="V77" s="853"/>
      <c r="W77" s="853" t="s">
        <v>1595</v>
      </c>
      <c r="X77" s="853"/>
      <c r="Y77" s="1013"/>
      <c r="Z77" s="856"/>
      <c r="AA77" s="859"/>
      <c r="AB77" s="856"/>
      <c r="AC77" s="856"/>
      <c r="AD77" s="856"/>
    </row>
    <row customHeight="1" ht="72">
      <c r="A78" s="855"/>
      <c r="B78" s="911">
        <v>61</v>
      </c>
      <c r="C78" s="853" t="s">
        <v>1571</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1596</v>
      </c>
      <c r="U78" s="853"/>
      <c r="V78" s="853"/>
      <c r="W78" s="853"/>
      <c r="X78" s="853"/>
      <c r="Y78" s="1013"/>
      <c r="Z78" s="856" t="s">
        <v>1597</v>
      </c>
      <c r="AA78" s="859"/>
      <c r="AB78" s="856"/>
      <c r="AC78" s="856"/>
      <c r="AD78" s="856"/>
    </row>
    <row customHeight="1" ht="36">
      <c r="A79" s="855"/>
      <c r="B79" s="911">
        <v>62</v>
      </c>
      <c r="C79" s="853" t="s">
        <v>1573</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123</v>
      </c>
      <c r="P79" s="970"/>
      <c r="Q79" s="970"/>
      <c r="R79" s="970"/>
      <c r="S79" s="970"/>
      <c r="T79" s="853" t="s">
        <v>1598</v>
      </c>
      <c r="U79" s="853"/>
      <c r="V79" s="853"/>
      <c r="W79" s="853"/>
      <c r="X79" s="853"/>
      <c r="Y79" s="1013"/>
      <c r="Z79" s="856" t="s">
        <v>1599</v>
      </c>
      <c r="AA79" s="859"/>
      <c r="AB79" s="856"/>
      <c r="AC79" s="856"/>
      <c r="AD79" s="856"/>
    </row>
    <row customHeight="1" ht="45">
      <c r="A80" s="855"/>
      <c r="B80" s="911">
        <v>63</v>
      </c>
      <c r="C80" s="853" t="s">
        <v>1575</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127</v>
      </c>
      <c r="P80" s="970"/>
      <c r="Q80" s="970"/>
      <c r="R80" s="970"/>
      <c r="S80" s="970"/>
      <c r="T80" s="853" t="s">
        <v>1600</v>
      </c>
      <c r="U80" s="853"/>
      <c r="V80" s="853"/>
      <c r="W80" s="853"/>
      <c r="X80" s="853"/>
      <c r="Y80" s="1013"/>
      <c r="Z80" s="856" t="s">
        <v>1601</v>
      </c>
      <c r="AA80" s="859"/>
      <c r="AB80" s="856"/>
      <c r="AC80" s="856"/>
      <c r="AD80" s="856"/>
    </row>
    <row customHeight="1" ht="36">
      <c r="A81" s="855"/>
      <c r="B81" s="911">
        <v>64</v>
      </c>
      <c r="C81" s="853" t="s">
        <v>1577</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1464</v>
      </c>
      <c r="P81" s="970"/>
      <c r="Q81" s="970"/>
      <c r="R81" s="970"/>
      <c r="S81" s="970"/>
      <c r="T81" s="853" t="s">
        <v>1602</v>
      </c>
      <c r="U81" s="853"/>
      <c r="V81" s="853"/>
      <c r="W81" s="853"/>
      <c r="X81" s="853"/>
      <c r="Y81" s="1013"/>
      <c r="Z81" s="856" t="s">
        <v>1603</v>
      </c>
      <c r="AA81" s="859"/>
      <c r="AB81" s="856"/>
      <c r="AC81" s="856"/>
      <c r="AD81" s="856"/>
    </row>
    <row customHeight="1" ht="90">
      <c r="A82" s="855"/>
      <c r="B82" s="911">
        <v>65</v>
      </c>
      <c r="C82" s="853" t="s">
        <v>1586</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131</v>
      </c>
      <c r="P82" s="970"/>
      <c r="Q82" s="970"/>
      <c r="R82" s="970"/>
      <c r="S82" s="970"/>
      <c r="T82" s="853" t="s">
        <v>1604</v>
      </c>
      <c r="U82" s="853"/>
      <c r="V82" s="853"/>
      <c r="W82" s="853"/>
      <c r="X82" s="853"/>
      <c r="Y82" s="1013"/>
      <c r="Z82" s="856" t="s">
        <v>1605</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1476</v>
      </c>
      <c r="P83" s="970"/>
      <c r="Q83" s="970"/>
      <c r="R83" s="970"/>
      <c r="S83" s="970"/>
      <c r="T83" s="853" t="s">
        <v>1606</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1607</v>
      </c>
      <c r="P84" s="970"/>
      <c r="Q84" s="970"/>
      <c r="R84" s="970"/>
      <c r="S84" s="970"/>
      <c r="T84" s="853" t="s">
        <v>1608</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1480</v>
      </c>
      <c r="P85" s="970"/>
      <c r="Q85" s="970"/>
      <c r="R85" s="970"/>
      <c r="S85" s="970"/>
      <c r="T85" s="853" t="s">
        <v>1609</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1610</v>
      </c>
      <c r="P86" s="970"/>
      <c r="Q86" s="970"/>
      <c r="R86" s="970"/>
      <c r="S86" s="970"/>
      <c r="T86" s="853" t="s">
        <v>1611</v>
      </c>
      <c r="U86" s="853"/>
      <c r="V86" s="853"/>
      <c r="W86" s="853"/>
      <c r="X86" s="853"/>
      <c r="Y86" s="1013"/>
      <c r="Z86" s="856"/>
      <c r="AA86" s="859"/>
      <c r="AB86" s="856"/>
      <c r="AC86" s="856"/>
      <c r="AD86" s="856"/>
    </row>
    <row customHeight="1" ht="36">
      <c r="A87" s="855"/>
      <c r="B87" s="911">
        <v>70</v>
      </c>
      <c r="C87" s="853" t="s">
        <v>1612</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135</v>
      </c>
      <c r="P87" s="970"/>
      <c r="Q87" s="970"/>
      <c r="R87" s="970"/>
      <c r="S87" s="970"/>
      <c r="T87" s="853" t="s">
        <v>1613</v>
      </c>
      <c r="U87" s="853"/>
      <c r="V87" s="853"/>
      <c r="W87" s="853"/>
      <c r="X87" s="853"/>
      <c r="Y87" s="1013"/>
      <c r="Z87" s="856"/>
      <c r="AA87" s="859"/>
      <c r="AB87" s="856"/>
      <c r="AC87" s="856"/>
      <c r="AD87" s="856"/>
    </row>
    <row customHeight="1" ht="18">
      <c r="A88" s="855"/>
      <c r="B88" s="911">
        <v>71</v>
      </c>
      <c r="C88" s="853" t="s">
        <v>1614</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139</v>
      </c>
      <c r="P88" s="970"/>
      <c r="Q88" s="970"/>
      <c r="R88" s="970"/>
      <c r="S88" s="970"/>
      <c r="T88" s="853" t="s">
        <v>1615</v>
      </c>
      <c r="U88" s="853"/>
      <c r="V88" s="853"/>
      <c r="W88" s="853"/>
      <c r="X88" s="853"/>
      <c r="Y88" s="1013"/>
      <c r="Z88" s="856"/>
      <c r="AA88" s="859"/>
      <c r="AB88" s="856"/>
      <c r="AC88" s="856"/>
      <c r="AD88" s="856"/>
    </row>
    <row customHeight="1" ht="18">
      <c r="A89" s="855"/>
      <c r="B89" s="911">
        <v>72</v>
      </c>
      <c r="C89" s="853" t="s">
        <v>1616</v>
      </c>
      <c r="D89" s="980" t="s">
        <v>1612</v>
      </c>
      <c r="E89" s="853" t="s">
        <v>1612</v>
      </c>
      <c r="F89" s="853" t="s">
        <v>1577</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142</v>
      </c>
      <c r="P89" s="970" t="s">
        <v>139</v>
      </c>
      <c r="Q89" s="970" t="s">
        <v>139</v>
      </c>
      <c r="R89" s="970" t="s">
        <v>131</v>
      </c>
      <c r="S89" s="970"/>
      <c r="T89" s="853" t="s">
        <v>1617</v>
      </c>
      <c r="U89" s="853" t="s">
        <v>1617</v>
      </c>
      <c r="V89" s="853" t="s">
        <v>1617</v>
      </c>
      <c r="W89" s="853" t="s">
        <v>1617</v>
      </c>
      <c r="X89" s="853"/>
      <c r="Y89" s="1013"/>
      <c r="Z89" s="856"/>
      <c r="AA89" s="859"/>
      <c r="AB89" s="856"/>
      <c r="AC89" s="856"/>
      <c r="AD89" s="856"/>
    </row>
    <row customHeight="1" ht="27">
      <c r="A90" s="855"/>
      <c r="B90" s="911">
        <v>73</v>
      </c>
      <c r="C90" s="853" t="s">
        <v>1618</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146</v>
      </c>
      <c r="P90" s="970"/>
      <c r="Q90" s="970"/>
      <c r="R90" s="970"/>
      <c r="S90" s="970"/>
      <c r="T90" s="853" t="s">
        <v>1619</v>
      </c>
      <c r="U90" s="853"/>
      <c r="V90" s="853"/>
      <c r="W90" s="853"/>
      <c r="X90" s="853"/>
      <c r="Y90" s="1013"/>
      <c r="Z90" s="856"/>
      <c r="AA90" s="859"/>
      <c r="AB90" s="856"/>
      <c r="AC90" s="856"/>
      <c r="AD90" s="856"/>
    </row>
    <row customHeight="1" ht="18">
      <c r="A91" s="855"/>
      <c r="B91" s="911">
        <v>74</v>
      </c>
      <c r="C91" s="853"/>
      <c r="D91" s="980" t="s">
        <v>1614</v>
      </c>
      <c r="E91" s="853" t="s">
        <v>1614</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142</v>
      </c>
      <c r="Q91" s="970" t="s">
        <v>142</v>
      </c>
      <c r="R91" s="970"/>
      <c r="S91" s="970"/>
      <c r="T91" s="853"/>
      <c r="U91" s="853" t="s">
        <v>1620</v>
      </c>
      <c r="V91" s="853" t="s">
        <v>1620</v>
      </c>
      <c r="W91" s="853"/>
      <c r="X91" s="853"/>
      <c r="Y91" s="1013"/>
      <c r="Z91" s="856"/>
      <c r="AA91" s="859"/>
      <c r="AB91" s="856"/>
      <c r="AC91" s="856"/>
      <c r="AD91" s="856"/>
    </row>
    <row customHeight="1" ht="27">
      <c r="A92" s="855"/>
      <c r="B92" s="911">
        <v>75</v>
      </c>
      <c r="C92" s="853"/>
      <c r="D92" s="980" t="s">
        <v>1616</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146</v>
      </c>
      <c r="Q92" s="970"/>
      <c r="R92" s="970"/>
      <c r="S92" s="970"/>
      <c r="T92" s="853"/>
      <c r="U92" s="853" t="s">
        <v>1621</v>
      </c>
      <c r="V92" s="853"/>
      <c r="W92" s="853"/>
      <c r="X92" s="853"/>
      <c r="Y92" s="1013"/>
      <c r="Z92" s="856"/>
      <c r="AA92" s="859" t="s">
        <v>1622</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1510</v>
      </c>
      <c r="Q93" s="970"/>
      <c r="R93" s="970"/>
      <c r="S93" s="970"/>
      <c r="T93" s="853"/>
      <c r="U93" s="853" t="s">
        <v>1623</v>
      </c>
      <c r="V93" s="853"/>
      <c r="W93" s="853"/>
      <c r="X93" s="853"/>
      <c r="Y93" s="1013"/>
      <c r="Z93" s="856"/>
      <c r="AA93" s="859" t="s">
        <v>1624</v>
      </c>
      <c r="AB93" s="856"/>
      <c r="AC93" s="856"/>
      <c r="AD93" s="856"/>
    </row>
    <row customHeight="1" ht="45">
      <c r="A94" s="855"/>
      <c r="B94" s="911">
        <v>77</v>
      </c>
      <c r="C94" s="853"/>
      <c r="D94" s="980" t="s">
        <v>1618</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150</v>
      </c>
      <c r="Q94" s="970"/>
      <c r="R94" s="970"/>
      <c r="S94" s="970"/>
      <c r="T94" s="853"/>
      <c r="U94" s="853" t="s">
        <v>1625</v>
      </c>
      <c r="V94" s="853"/>
      <c r="W94" s="853"/>
      <c r="X94" s="853"/>
      <c r="Y94" s="1013"/>
      <c r="Z94" s="856"/>
      <c r="AA94" s="859" t="s">
        <v>1626</v>
      </c>
      <c r="AB94" s="856"/>
      <c r="AC94" s="856"/>
      <c r="AD94" s="856"/>
    </row>
    <row customHeight="1" ht="99">
      <c r="A95" s="855"/>
      <c r="B95" s="911">
        <v>78</v>
      </c>
      <c r="C95" s="853" t="s">
        <v>1627</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150</v>
      </c>
      <c r="P95" s="970"/>
      <c r="Q95" s="970"/>
      <c r="R95" s="970"/>
      <c r="S95" s="970"/>
      <c r="T95" s="853" t="s">
        <v>1628</v>
      </c>
      <c r="U95" s="853"/>
      <c r="V95" s="853"/>
      <c r="W95" s="853"/>
      <c r="X95" s="853"/>
      <c r="Y95" s="1013"/>
      <c r="Z95" s="856"/>
      <c r="AA95" s="859"/>
      <c r="AB95" s="856"/>
      <c r="AC95" s="856"/>
      <c r="AD95" s="856"/>
    </row>
    <row customHeight="1" ht="99">
      <c r="A96" s="855"/>
      <c r="B96" s="911">
        <v>79</v>
      </c>
      <c r="C96" s="853" t="s">
        <v>1629</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154</v>
      </c>
      <c r="P96" s="970"/>
      <c r="Q96" s="970"/>
      <c r="R96" s="970"/>
      <c r="S96" s="970"/>
      <c r="T96" s="853" t="s">
        <v>1630</v>
      </c>
      <c r="U96" s="853"/>
      <c r="V96" s="853"/>
      <c r="W96" s="853"/>
      <c r="X96" s="853"/>
      <c r="Y96" s="1013"/>
      <c r="Z96" s="856" t="s">
        <v>1631</v>
      </c>
      <c r="AA96" s="859"/>
      <c r="AB96" s="856"/>
      <c r="AC96" s="856"/>
      <c r="AD96" s="856"/>
    </row>
    <row customHeight="1" ht="63">
      <c r="A97" s="855"/>
      <c r="B97" s="911">
        <v>80</v>
      </c>
      <c r="C97" s="853" t="s">
        <v>1632</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158</v>
      </c>
      <c r="P97" s="970"/>
      <c r="Q97" s="970"/>
      <c r="R97" s="970"/>
      <c r="S97" s="970"/>
      <c r="T97" s="853" t="s">
        <v>1633</v>
      </c>
      <c r="U97" s="853"/>
      <c r="V97" s="853"/>
      <c r="W97" s="853"/>
      <c r="X97" s="853"/>
      <c r="Y97" s="1013"/>
      <c r="Z97" s="856" t="s">
        <v>1634</v>
      </c>
      <c r="AA97" s="859"/>
      <c r="AB97" s="856"/>
      <c r="AC97" s="856"/>
      <c r="AD97" s="856"/>
    </row>
    <row customHeight="1" ht="63">
      <c r="A98" s="855"/>
      <c r="B98" s="911">
        <v>81</v>
      </c>
      <c r="C98" s="853" t="s">
        <v>1635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162</v>
      </c>
      <c r="P98" s="970"/>
      <c r="Q98" s="970"/>
      <c r="R98" s="970"/>
      <c r="S98" s="970"/>
      <c r="T98" s="853" t="s">
        <v>1636</v>
      </c>
      <c r="U98" s="853"/>
      <c r="V98" s="853"/>
      <c r="W98" s="853"/>
      <c r="X98" s="853"/>
      <c r="Y98" s="1013"/>
      <c r="Z98" s="856" t="s">
        <v>1634</v>
      </c>
      <c r="AA98" s="859"/>
      <c r="AB98" s="856"/>
      <c r="AC98" s="856"/>
      <c r="AD98" s="856"/>
    </row>
    <row customHeight="1" ht="90">
      <c r="A99" s="855"/>
      <c r="B99" s="911">
        <v>82</v>
      </c>
      <c r="C99" s="853" t="s">
        <v>1637</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166</v>
      </c>
      <c r="P99" s="970"/>
      <c r="Q99" s="970"/>
      <c r="R99" s="970"/>
      <c r="S99" s="970"/>
      <c r="T99" s="853" t="s">
        <v>1638</v>
      </c>
      <c r="U99" s="853"/>
      <c r="V99" s="853"/>
      <c r="W99" s="853"/>
      <c r="X99" s="853"/>
      <c r="Y99" s="1013"/>
      <c r="Z99" s="856" t="s">
        <v>1639</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1640</v>
      </c>
      <c r="P100" s="970"/>
      <c r="Q100" s="970"/>
      <c r="R100" s="970"/>
      <c r="S100" s="970"/>
      <c r="T100" s="853" t="s">
        <v>1641</v>
      </c>
      <c r="U100" s="853"/>
      <c r="V100" s="853"/>
      <c r="W100" s="853"/>
      <c r="X100" s="853"/>
      <c r="Y100" s="1013"/>
      <c r="Z100" s="856" t="s">
        <v>1639</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1642</v>
      </c>
      <c r="P101" s="970"/>
      <c r="Q101" s="970"/>
      <c r="R101" s="970"/>
      <c r="S101" s="970"/>
      <c r="T101" s="853" t="s">
        <v>1643</v>
      </c>
      <c r="U101" s="853"/>
      <c r="V101" s="853"/>
      <c r="W101" s="853"/>
      <c r="X101" s="853"/>
      <c r="Y101" s="1013"/>
      <c r="Z101" s="856" t="s">
        <v>1639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1146</v>
      </c>
      <c r="B148" s="855"/>
      <c r="C148" s="853" t="s">
        <v>1644</v>
      </c>
      <c r="D148" s="853" t="s">
        <v>193</v>
      </c>
      <c r="E148" s="853" t="s">
        <v>167</v>
      </c>
      <c r="F148" s="853" t="s">
        <v>1645</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1646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1647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1151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1156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1161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123C9-CE6E-0963-532A-CAF963E2F40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2.28125" hidden="1" customWidth="1"/>
    <col min="6" max="8" style="3617" width="12.28125" hidden="1" customWidth="1"/>
    <col min="9" max="9" style="4022" width="3.7109375" customWidth="1"/>
    <col min="10" max="11" style="3692" width="3.7109375" customWidth="1"/>
    <col min="12" max="12" style="3693" width="12.7109375" customWidth="1"/>
    <col min="13" max="13" style="2867" width="32.00390625" customWidth="1"/>
    <col min="14" max="14" style="2867" width="1.7109375" customWidth="1"/>
    <col min="15" max="18" style="2867" width="24.7109375" customWidth="1"/>
    <col min="19" max="19" style="2867" width="11.7109375" customWidth="1"/>
    <col min="20" max="20" style="2867" width="3.7109375" customWidth="1"/>
    <col min="21" max="21" style="2867" width="11.7109375" customWidth="1"/>
    <col min="22" max="22" style="2867" width="8.57421875" customWidth="1"/>
    <col min="23" max="23" style="2867" width="4.7109375" customWidth="1"/>
    <col min="24" max="24" style="2867"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1648</v>
      </c>
      <c r="M5" s="2284"/>
      <c r="N5" s="2284"/>
      <c r="O5" s="2284"/>
      <c r="P5" s="2284"/>
      <c r="Q5" s="2284"/>
      <c r="R5" s="2284"/>
      <c r="S5" s="2284"/>
      <c r="T5" s="2284"/>
      <c r="U5" s="2284"/>
      <c r="V5" s="1267"/>
    </row>
    <row customHeight="1" ht="14.25">
      <c r="J6" s="377"/>
      <c r="K6" s="377"/>
      <c r="L6" s="2285" t="str">
        <f>IF(org=0,"Не определено",org)</f>
        <v>ГУП СК "Ставрополькрайводоканал"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A9" s="1404"/>
      <c r="B9" s="1404"/>
      <c r="C9" s="1404"/>
      <c r="D9" s="1404"/>
      <c r="E9" s="1404"/>
      <c r="F9" s="1404"/>
      <c r="G9" s="1404"/>
      <c r="H9" s="1404"/>
      <c r="L9" s="1312"/>
      <c r="M9" s="283" t="s">
        <v>581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A10" s="1404"/>
      <c r="B10" s="1404"/>
      <c r="C10" s="1404"/>
      <c r="D10" s="1404"/>
      <c r="E10" s="1404"/>
      <c r="F10" s="1404"/>
      <c r="G10" s="1404"/>
      <c r="H10" s="1404"/>
      <c r="L10" s="1275"/>
      <c r="M10" s="283" t="s">
        <v>582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389</v>
      </c>
      <c r="M14" s="1966"/>
      <c r="N14" s="1966"/>
      <c r="O14" s="1966"/>
      <c r="P14" s="1966"/>
      <c r="Q14" s="1966"/>
      <c r="R14" s="1966"/>
      <c r="S14" s="1966"/>
      <c r="T14" s="1966"/>
      <c r="U14" s="1966"/>
      <c r="V14" s="1966"/>
      <c r="W14" s="1966"/>
      <c r="X14" s="1966" t="s">
        <v>390</v>
      </c>
    </row>
    <row customHeight="1" ht="14.25">
      <c r="J15" s="377"/>
      <c r="K15" s="377"/>
      <c r="L15" s="2206" t="s">
        <v>88</v>
      </c>
      <c r="M15" s="2047" t="s">
        <v>586</v>
      </c>
      <c r="N15" s="289"/>
      <c r="O15" s="2207" t="s">
        <v>1649</v>
      </c>
      <c r="P15" s="2208"/>
      <c r="Q15" s="2208"/>
      <c r="R15" s="2208"/>
      <c r="S15" s="2208"/>
      <c r="T15" s="2208"/>
      <c r="U15" s="2209"/>
      <c r="V15" s="2210" t="s">
        <v>588</v>
      </c>
      <c r="W15" s="2213" t="s">
        <v>1650</v>
      </c>
      <c r="X15" s="1966"/>
    </row>
    <row customHeight="1" ht="33.75">
      <c r="J16" s="377"/>
      <c r="K16" s="377"/>
      <c r="L16" s="2206"/>
      <c r="M16" s="2047"/>
      <c r="N16" s="1044"/>
      <c r="O16" s="2193" t="s">
        <v>591</v>
      </c>
      <c r="P16" s="2193" t="s">
        <v>592</v>
      </c>
      <c r="Q16" s="2195" t="s">
        <v>593</v>
      </c>
      <c r="R16" s="2196"/>
      <c r="S16" s="2195" t="s">
        <v>612</v>
      </c>
      <c r="T16" s="2202"/>
      <c r="U16" s="2196"/>
      <c r="V16" s="2211"/>
      <c r="W16" s="2214"/>
      <c r="X16" s="1966"/>
    </row>
    <row customHeight="1" ht="33.75">
      <c r="A17" s="1406" t="s">
        <v>243</v>
      </c>
      <c r="B17" s="1406" t="s">
        <v>244</v>
      </c>
      <c r="C17" s="1406" t="s">
        <v>245</v>
      </c>
      <c r="D17" s="1406" t="s">
        <v>246</v>
      </c>
      <c r="E17" s="1406"/>
      <c r="J17" s="377"/>
      <c r="K17" s="377"/>
      <c r="L17" s="2206"/>
      <c r="M17" s="2047"/>
      <c r="N17" s="290"/>
      <c r="O17" s="2194"/>
      <c r="P17" s="2194"/>
      <c r="Q17" s="1243" t="s">
        <v>602</v>
      </c>
      <c r="R17" s="1243" t="s">
        <v>603</v>
      </c>
      <c r="S17" s="1328" t="s">
        <v>604</v>
      </c>
      <c r="T17" s="2203" t="s">
        <v>605</v>
      </c>
      <c r="U17" s="2204"/>
      <c r="V17" s="2212"/>
      <c r="W17" s="2215"/>
      <c r="X17" s="1966"/>
    </row>
    <row s="2585" customFormat="1" customHeight="1" ht="11.25">
      <c r="A18" s="1406"/>
      <c r="B18" s="1406"/>
      <c r="C18" s="1406"/>
      <c r="D18" s="1406"/>
      <c r="E18" s="1406"/>
      <c r="F18" s="1398"/>
      <c r="G18" s="1398"/>
      <c r="H18" s="1398"/>
      <c r="I18" s="1270"/>
      <c r="J18" s="1271"/>
      <c r="K18" s="1286">
        <v>1</v>
      </c>
      <c r="L18" s="1313" t="s">
        <v>159</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271</v>
      </c>
      <c r="B19" s="1399" t="s">
        <v>272</v>
      </c>
      <c r="C19" s="1399" t="s">
        <v>273</v>
      </c>
      <c r="D19" s="1399" t="s">
        <v>274</v>
      </c>
      <c r="E19" s="1399"/>
      <c r="F19" s="1401"/>
      <c r="G19" s="1401"/>
      <c r="H19" s="1401"/>
      <c r="I19" s="357"/>
      <c r="J19" s="356"/>
      <c r="K19" s="351"/>
      <c r="L19" s="1329">
        <f>INDEX(PT_DIFFERENTIATION_NUM_NTAR,MATCH(A19,PT_DIFFERENTIATION_NTAR_ID,0))</f>
        <v>0</v>
      </c>
      <c r="M19" s="286" t="s">
        <v>232</v>
      </c>
      <c r="N19" s="288"/>
      <c r="O19" s="2287" t="str">
        <f>INDEX(PT_DIFFERENTIATION_NTAR,MATCH(A19,PT_DIFFERENTIATION_NTAR_ID,0))</f>
        <v/>
      </c>
      <c r="P19" s="2287"/>
      <c r="Q19" s="2287"/>
      <c r="R19" s="2287"/>
      <c r="S19" s="2287"/>
      <c r="T19" s="2287"/>
      <c r="U19" s="2287"/>
      <c r="V19" s="2287"/>
      <c r="W19" s="2287"/>
      <c r="X19" s="1292" t="s">
        <v>557</v>
      </c>
      <c r="Z19" s="508"/>
      <c r="AA19" s="508" t="str">
        <f>IF(M19="","",M19)</f>
        <v>Наименование тарифа</v>
      </c>
      <c r="AB19" s="508"/>
      <c r="AC19" s="508"/>
    </row>
    <row customHeight="1" ht="21">
      <c r="A20" s="1399" t="s">
        <v>271</v>
      </c>
      <c r="B20" s="1399" t="s">
        <v>272</v>
      </c>
      <c r="C20" s="1399" t="s">
        <v>273</v>
      </c>
      <c r="D20" s="1399" t="s">
        <v>274</v>
      </c>
      <c r="E20" s="1399"/>
      <c r="F20" s="1401"/>
      <c r="G20" s="1401"/>
      <c r="H20" s="1401"/>
      <c r="I20" s="1326"/>
      <c r="J20" s="348"/>
      <c r="K20" s="349"/>
      <c r="L20" s="1329" t="str">
        <f>INDEX(PT_DIFFERENTIATION_NUM_TER,MATCH(B19,PT_DIFFERENTIATION_TER_ID,0))</f>
        <v>.</v>
      </c>
      <c r="M20" s="298" t="s">
        <v>558</v>
      </c>
      <c r="N20" s="288"/>
      <c r="O20" s="2287" t="str">
        <f>INDEX(PT_DIFFERENTIATION_TER,MATCH(B19,PT_DIFFERENTIATION_TER_ID,0))</f>
        <v/>
      </c>
      <c r="P20" s="2287"/>
      <c r="Q20" s="2287"/>
      <c r="R20" s="2287"/>
      <c r="S20" s="2287"/>
      <c r="T20" s="2287"/>
      <c r="U20" s="2287"/>
      <c r="V20" s="2287"/>
      <c r="W20" s="2287"/>
      <c r="X20" s="1292" t="s">
        <v>559</v>
      </c>
      <c r="Z20" s="508"/>
      <c r="AA20" s="508" t="str">
        <f>IF(M20="","",M20)</f>
        <v>Территория действия тарифа</v>
      </c>
      <c r="AB20" s="508"/>
      <c r="AC20" s="508"/>
    </row>
    <row customHeight="1" ht="22.5">
      <c r="A21" s="1399" t="s">
        <v>271</v>
      </c>
      <c r="B21" s="1399" t="s">
        <v>272</v>
      </c>
      <c r="C21" s="1399" t="s">
        <v>273</v>
      </c>
      <c r="D21" s="1399" t="s">
        <v>274</v>
      </c>
      <c r="E21" s="1399"/>
      <c r="F21" s="1401"/>
      <c r="G21" s="1401"/>
      <c r="H21" s="1401"/>
      <c r="I21" s="350"/>
      <c r="J21" s="348"/>
      <c r="K21" s="349"/>
      <c r="L21" s="1329" t="str">
        <f>INDEX(PT_DIFFERENTIATION_NUM_CS,MATCH(C19,PT_DIFFERENTIATION_CS_ID,0))</f>
        <v>..</v>
      </c>
      <c r="M21" s="299" t="s">
        <v>560</v>
      </c>
      <c r="N21" s="288"/>
      <c r="O21" s="2287" t="str">
        <f>INDEX(PT_DIFFERENTIATION_CS,MATCH(C19,PT_DIFFERENTIATION_CS_ID,0))</f>
        <v/>
      </c>
      <c r="P21" s="2287"/>
      <c r="Q21" s="2287"/>
      <c r="R21" s="2287"/>
      <c r="S21" s="2287"/>
      <c r="T21" s="2287"/>
      <c r="U21" s="2287"/>
      <c r="V21" s="2287"/>
      <c r="W21" s="2287"/>
      <c r="X21" s="1292" t="s">
        <v>561</v>
      </c>
      <c r="Z21" s="508"/>
      <c r="AA21" s="508" t="str">
        <f>IF(M21="","",M21)</f>
        <v>Наименование системы теплоснабжения </v>
      </c>
      <c r="AB21" s="508"/>
      <c r="AC21" s="508"/>
    </row>
    <row customHeight="1" ht="21">
      <c r="A22" s="1399" t="s">
        <v>271</v>
      </c>
      <c r="B22" s="1399" t="s">
        <v>272</v>
      </c>
      <c r="C22" s="1399" t="s">
        <v>273</v>
      </c>
      <c r="D22" s="1399" t="s">
        <v>274</v>
      </c>
      <c r="E22" s="1399"/>
      <c r="F22" s="1401"/>
      <c r="G22" s="1401"/>
      <c r="H22" s="1401"/>
      <c r="I22" s="350"/>
      <c r="J22" s="348"/>
      <c r="K22" s="349"/>
      <c r="L22" s="1329" t="str">
        <f>INDEX(PT_DIFFERENTIATION_NUM_IST_TE,MATCH(D19,PT_DIFFERENTIATION_IST_TE_ID,0))</f>
        <v>...</v>
      </c>
      <c r="M22" s="300" t="s">
        <v>562</v>
      </c>
      <c r="N22" s="288"/>
      <c r="O22" s="2287" t="str">
        <f>INDEX(PT_DIFFERENTIATION_IST_TE,MATCH(D19,PT_DIFFERENTIATION_IST_TE_ID,0))</f>
        <v/>
      </c>
      <c r="P22" s="2287"/>
      <c r="Q22" s="2287"/>
      <c r="R22" s="2287"/>
      <c r="S22" s="2287"/>
      <c r="T22" s="2287"/>
      <c r="U22" s="2287"/>
      <c r="V22" s="2287"/>
      <c r="W22" s="2287"/>
      <c r="X22" s="1292" t="s">
        <v>563</v>
      </c>
      <c r="Z22" s="508"/>
      <c r="AA22" s="508" t="str">
        <f>IF(M22="","",M22)</f>
        <v>Источник тепловой энергии  </v>
      </c>
      <c r="AB22" s="508"/>
      <c r="AC22" s="508"/>
    </row>
    <row customHeight="1" ht="94.5">
      <c r="A23" s="1399" t="s">
        <v>271</v>
      </c>
      <c r="B23" s="1399" t="s">
        <v>272</v>
      </c>
      <c r="C23" s="1399" t="s">
        <v>273</v>
      </c>
      <c r="D23" s="1399" t="s">
        <v>274</v>
      </c>
      <c r="E23" s="1399"/>
      <c r="F23" s="2288" t="str">
        <f>L22&amp;".1"</f>
        <v>....1</v>
      </c>
      <c r="I23" s="2190">
        <v>1</v>
      </c>
      <c r="J23" s="1327"/>
      <c r="K23" s="352"/>
      <c r="L23" s="1329" t="str">
        <f>$F$23</f>
        <v>....1</v>
      </c>
      <c r="M23" s="273" t="s">
        <v>565</v>
      </c>
      <c r="N23" s="288"/>
      <c r="O23" s="2289"/>
      <c r="P23" s="2289"/>
      <c r="Q23" s="2289"/>
      <c r="R23" s="2289"/>
      <c r="S23" s="2289"/>
      <c r="T23" s="2289"/>
      <c r="U23" s="2289"/>
      <c r="V23" s="2289"/>
      <c r="W23" s="2289"/>
      <c r="X23" s="1292" t="s">
        <v>566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271</v>
      </c>
      <c r="B24" s="1399" t="s">
        <v>272</v>
      </c>
      <c r="C24" s="1399" t="s">
        <v>273</v>
      </c>
      <c r="D24" s="1399" t="s">
        <v>274</v>
      </c>
      <c r="E24" s="1399"/>
      <c r="F24" s="2288"/>
      <c r="G24" s="2056" t="str">
        <f>F23&amp;".1"</f>
        <v>....1.1</v>
      </c>
      <c r="I24" s="2190"/>
      <c r="J24" s="2190">
        <v>1</v>
      </c>
      <c r="K24" s="353"/>
      <c r="L24" s="1329" t="str">
        <f>$G$24</f>
        <v>....1.1</v>
      </c>
      <c r="M24" s="274" t="s">
        <v>568</v>
      </c>
      <c r="N24" s="288"/>
      <c r="O24" s="2290"/>
      <c r="P24" s="2291"/>
      <c r="Q24" s="2291"/>
      <c r="R24" s="2291"/>
      <c r="S24" s="2291"/>
      <c r="T24" s="2291"/>
      <c r="U24" s="2291"/>
      <c r="V24" s="2291"/>
      <c r="W24" s="2292"/>
      <c r="X24" s="1292" t="s">
        <v>569</v>
      </c>
      <c r="Z24" s="508"/>
      <c r="AA24" s="508" t="str">
        <f>IF(M24="","",M24)</f>
        <v>Группа потребителей</v>
      </c>
      <c r="AB24" s="508"/>
      <c r="AC24" s="508"/>
    </row>
    <row customHeight="1" ht="11.25">
      <c r="A25" s="1399" t="s">
        <v>271</v>
      </c>
      <c r="B25" s="1399" t="s">
        <v>272</v>
      </c>
      <c r="C25" s="1399" t="s">
        <v>273</v>
      </c>
      <c r="D25" s="1399" t="s">
        <v>274</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571</v>
      </c>
      <c r="Y25" s="519">
        <f>STRCHECKDATE(O26:W26)</f>
      </c>
      <c r="Z25" s="508"/>
      <c r="AA25" s="508" t="str">
        <f>IF(M25="","",M25)</f>
        <v/>
      </c>
      <c r="AB25" s="508"/>
      <c r="AC25" s="508"/>
    </row>
    <row customHeight="1" ht="11.25">
      <c r="A26" s="1399" t="s">
        <v>271</v>
      </c>
      <c r="B26" s="1399" t="s">
        <v>272</v>
      </c>
      <c r="C26" s="1399" t="s">
        <v>273</v>
      </c>
      <c r="D26" s="1399" t="s">
        <v>274</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271</v>
      </c>
      <c r="B27" s="1399" t="s">
        <v>272</v>
      </c>
      <c r="C27" s="1399" t="s">
        <v>273</v>
      </c>
      <c r="D27" s="1399" t="s">
        <v>274</v>
      </c>
      <c r="E27" s="1399"/>
      <c r="F27" s="2288"/>
      <c r="G27" s="2056"/>
      <c r="I27" s="2190"/>
      <c r="J27" s="2190"/>
      <c r="K27" s="352"/>
      <c r="L27" s="1314"/>
      <c r="M27" s="276" t="s">
        <v>572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271</v>
      </c>
      <c r="B28" s="1399" t="s">
        <v>272</v>
      </c>
      <c r="C28" s="1399" t="s">
        <v>273</v>
      </c>
      <c r="D28" s="1399" t="s">
        <v>274</v>
      </c>
      <c r="E28" s="1399"/>
      <c r="F28" s="2288"/>
      <c r="I28" s="2190"/>
      <c r="J28" s="1327"/>
      <c r="K28" s="352"/>
      <c r="L28" s="1314"/>
      <c r="M28" s="275" t="s">
        <v>573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271</v>
      </c>
      <c r="B29" s="1399" t="s">
        <v>272</v>
      </c>
      <c r="C29" s="1399" t="s">
        <v>273</v>
      </c>
      <c r="D29" s="1399" t="s">
        <v>274</v>
      </c>
      <c r="E29" s="1399"/>
      <c r="F29" s="1401"/>
      <c r="G29" s="1401"/>
      <c r="H29" s="545"/>
      <c r="I29" s="356"/>
      <c r="J29" s="376"/>
      <c r="K29" s="351"/>
      <c r="L29" s="1314"/>
      <c r="M29" s="364" t="s">
        <v>574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271</v>
      </c>
      <c r="B30" s="1399" t="s">
        <v>272</v>
      </c>
      <c r="C30" s="1399" t="s">
        <v>273</v>
      </c>
      <c r="D30" s="1399"/>
      <c r="E30" s="1399" t="s">
        <v>1651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271</v>
      </c>
      <c r="B31" s="1399" t="s">
        <v>272</v>
      </c>
      <c r="C31" s="1399"/>
      <c r="D31" s="1399"/>
      <c r="E31" s="1399" t="s">
        <v>1652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1653</v>
      </c>
      <c r="B32" s="1399"/>
      <c r="C32" s="1399"/>
      <c r="D32" s="1399"/>
      <c r="E32" s="1399" t="s">
        <v>216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99"/>
      <c r="B33" s="1399"/>
      <c r="C33" s="1399"/>
      <c r="D33" s="1399"/>
      <c r="E33" s="1399" t="s">
        <v>534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606</v>
      </c>
      <c r="M35" s="2218" t="s">
        <v>613</v>
      </c>
      <c r="N35" s="2218"/>
      <c r="O35" s="2218"/>
      <c r="P35" s="2218"/>
      <c r="Q35" s="2218"/>
      <c r="R35" s="2218"/>
      <c r="S35" s="2218"/>
      <c r="T35" s="2218"/>
      <c r="U35" s="2218"/>
      <c r="V35" s="2218"/>
      <c r="W35" s="2218"/>
      <c r="X35" s="2218"/>
    </row>
    <row customHeight="1" ht="104.25">
      <c r="H36" s="545"/>
      <c r="I36" s="1339"/>
      <c r="M36" s="2218" t="s">
        <v>608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B2B7C-277E-6C91-16DE-3429B265AFF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7" width="11.57421875" customWidth="1"/>
    <col min="2" max="2" style="2867" width="10.7109375" customWidth="1"/>
    <col min="3" max="3" style="2867" width="10.00390625" customWidth="1"/>
    <col min="4" max="4" style="2867" width="12.8515625" customWidth="1"/>
    <col min="5" max="5" style="2867" width="12.28125" customWidth="1"/>
    <col min="6" max="8" style="4022" width="12.28125" customWidth="1"/>
    <col min="9" max="9" style="4022" width="3.7109375" customWidth="1"/>
    <col min="10" max="11" style="3692" width="3.7109375" customWidth="1"/>
    <col min="12" max="12" style="3693" width="12.7109375" customWidth="1"/>
    <col min="13" max="13" style="2867" width="32.00390625" customWidth="1"/>
    <col min="14" max="14" style="2867" width="1.7109375" customWidth="1"/>
    <col min="15" max="18" style="2867" width="24.7109375" customWidth="1"/>
    <col min="19" max="19" style="2867" width="11.7109375" customWidth="1"/>
    <col min="20" max="20" style="2867" width="3.7109375" customWidth="1"/>
    <col min="21" max="21" style="2867" width="11.7109375" customWidth="1"/>
    <col min="22" max="22" style="2867" width="8.57421875" customWidth="1"/>
    <col min="23" max="23" style="2867" width="4.7109375" customWidth="1"/>
    <col min="24" max="24" style="2867"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1648</v>
      </c>
      <c r="M5" s="2284"/>
      <c r="N5" s="2284"/>
      <c r="O5" s="2284"/>
      <c r="P5" s="2284"/>
      <c r="Q5" s="2284"/>
      <c r="R5" s="2284"/>
      <c r="S5" s="2284"/>
      <c r="T5" s="2284"/>
      <c r="U5" s="2284"/>
      <c r="V5" s="1267"/>
    </row>
    <row customHeight="1" ht="14.25">
      <c r="J6" s="377"/>
      <c r="K6" s="377"/>
      <c r="L6" s="2285" t="str">
        <f>IF(org=0,"Не определено",org)</f>
        <v>ГУП СК "Ставрополькрайводоканал"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581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582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585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389</v>
      </c>
      <c r="M14" s="1966"/>
      <c r="N14" s="1966"/>
      <c r="O14" s="1966"/>
      <c r="P14" s="1966"/>
      <c r="Q14" s="1966"/>
      <c r="R14" s="1966"/>
      <c r="S14" s="1966"/>
      <c r="T14" s="1966"/>
      <c r="U14" s="1966"/>
      <c r="V14" s="1966"/>
      <c r="W14" s="1966"/>
      <c r="X14" s="1966" t="s">
        <v>390</v>
      </c>
    </row>
    <row customHeight="1" ht="14.25">
      <c r="J15" s="377"/>
      <c r="K15" s="377"/>
      <c r="L15" s="2206" t="s">
        <v>88</v>
      </c>
      <c r="M15" s="2047" t="s">
        <v>586</v>
      </c>
      <c r="N15" s="289"/>
      <c r="O15" s="2207" t="s">
        <v>1649</v>
      </c>
      <c r="P15" s="2208"/>
      <c r="Q15" s="2208"/>
      <c r="R15" s="2208"/>
      <c r="S15" s="2208"/>
      <c r="T15" s="2208"/>
      <c r="U15" s="2209"/>
      <c r="V15" s="2210" t="s">
        <v>588</v>
      </c>
      <c r="W15" s="2213" t="s">
        <v>1650</v>
      </c>
      <c r="X15" s="1966"/>
    </row>
    <row customHeight="1" ht="33.75">
      <c r="J16" s="377"/>
      <c r="K16" s="377"/>
      <c r="L16" s="2206"/>
      <c r="M16" s="2047"/>
      <c r="N16" s="1044"/>
      <c r="O16" s="2193" t="s">
        <v>591</v>
      </c>
      <c r="P16" s="2193" t="s">
        <v>592</v>
      </c>
      <c r="Q16" s="2195" t="s">
        <v>593</v>
      </c>
      <c r="R16" s="2196"/>
      <c r="S16" s="2195" t="s">
        <v>612</v>
      </c>
      <c r="T16" s="2202"/>
      <c r="U16" s="2196"/>
      <c r="V16" s="2211"/>
      <c r="W16" s="2214"/>
      <c r="X16" s="1966"/>
    </row>
    <row customHeight="1" ht="33.75">
      <c r="A17" s="1294" t="s">
        <v>243</v>
      </c>
      <c r="B17" s="1294" t="s">
        <v>244</v>
      </c>
      <c r="C17" s="1294" t="s">
        <v>245</v>
      </c>
      <c r="D17" s="1294" t="s">
        <v>246</v>
      </c>
      <c r="E17" s="1294"/>
      <c r="J17" s="377"/>
      <c r="K17" s="377"/>
      <c r="L17" s="2206"/>
      <c r="M17" s="2047"/>
      <c r="N17" s="290"/>
      <c r="O17" s="2194"/>
      <c r="P17" s="2194"/>
      <c r="Q17" s="1243" t="s">
        <v>602</v>
      </c>
      <c r="R17" s="1243" t="s">
        <v>603</v>
      </c>
      <c r="S17" s="1328" t="s">
        <v>604</v>
      </c>
      <c r="T17" s="2203" t="s">
        <v>605</v>
      </c>
      <c r="U17" s="2204"/>
      <c r="V17" s="2212"/>
      <c r="W17" s="2215"/>
      <c r="X17" s="1966"/>
    </row>
    <row s="2585" customFormat="1" customHeight="1" ht="11.25">
      <c r="A18" s="1294"/>
      <c r="B18" s="1294"/>
      <c r="C18" s="1294"/>
      <c r="D18" s="1294"/>
      <c r="E18" s="1294"/>
      <c r="F18" s="1322"/>
      <c r="G18" s="1322"/>
      <c r="H18" s="1322"/>
      <c r="I18" s="1270"/>
      <c r="J18" s="1271"/>
      <c r="K18" s="1286">
        <v>1</v>
      </c>
      <c r="L18" s="1313" t="s">
        <v>159</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1654</v>
      </c>
      <c r="B19" s="1302" t="s">
        <v>1655</v>
      </c>
      <c r="C19" s="1302" t="s">
        <v>1656</v>
      </c>
      <c r="D19" s="1302" t="s">
        <v>1657</v>
      </c>
      <c r="E19" s="1302"/>
      <c r="F19" s="696"/>
      <c r="G19" s="696"/>
      <c r="H19" s="696"/>
      <c r="I19" s="357"/>
      <c r="J19" s="356"/>
      <c r="K19" s="351"/>
      <c r="L19" s="1329">
        <f>INDEX(PT_DIFFERENTIATION_NUM_NTAR,MATCH(A19,PT_DIFFERENTIATION_NTAR_ID,0))</f>
      </c>
      <c r="M19" s="286" t="s">
        <v>232</v>
      </c>
      <c r="N19" s="288"/>
      <c r="O19" s="2287">
        <f>INDEX(PT_DIFFERENTIATION_NTAR,MATCH(A19,PT_DIFFERENTIATION_NTAR_ID,0))</f>
      </c>
      <c r="P19" s="2287"/>
      <c r="Q19" s="2287"/>
      <c r="R19" s="2287"/>
      <c r="S19" s="2287"/>
      <c r="T19" s="2287"/>
      <c r="U19" s="2287"/>
      <c r="V19" s="2287"/>
      <c r="W19" s="2287"/>
      <c r="X19" s="1292" t="s">
        <v>557</v>
      </c>
      <c r="Z19" s="508"/>
      <c r="AA19" s="508" t="str">
        <f>IF(M19="","",M19)</f>
        <v>Наименование тарифа</v>
      </c>
      <c r="AB19" s="508"/>
      <c r="AC19" s="508"/>
    </row>
    <row customHeight="1" ht="21">
      <c r="A20" s="1302" t="s">
        <v>1654</v>
      </c>
      <c r="B20" s="1302" t="s">
        <v>1655</v>
      </c>
      <c r="C20" s="1302" t="s">
        <v>1656</v>
      </c>
      <c r="D20" s="1302" t="s">
        <v>1657</v>
      </c>
      <c r="E20" s="1302"/>
      <c r="F20" s="696"/>
      <c r="G20" s="696"/>
      <c r="H20" s="696"/>
      <c r="I20" s="1326"/>
      <c r="J20" s="348"/>
      <c r="K20" s="349"/>
      <c r="L20" s="1329">
        <f>INDEX(PT_DIFFERENTIATION_NUM_TER,MATCH(B19,PT_DIFFERENTIATION_TER_ID,0))</f>
      </c>
      <c r="M20" s="298" t="s">
        <v>558</v>
      </c>
      <c r="N20" s="288"/>
      <c r="O20" s="2287">
        <f>INDEX(PT_DIFFERENTIATION_TER,MATCH(B19,PT_DIFFERENTIATION_TER_ID,0))</f>
      </c>
      <c r="P20" s="2287"/>
      <c r="Q20" s="2287"/>
      <c r="R20" s="2287"/>
      <c r="S20" s="2287"/>
      <c r="T20" s="2287"/>
      <c r="U20" s="2287"/>
      <c r="V20" s="2287"/>
      <c r="W20" s="2287"/>
      <c r="X20" s="1292" t="s">
        <v>559</v>
      </c>
      <c r="Z20" s="508"/>
      <c r="AA20" s="508" t="str">
        <f>IF(M20="","",M20)</f>
        <v>Территория действия тарифа</v>
      </c>
      <c r="AB20" s="508"/>
      <c r="AC20" s="508"/>
    </row>
    <row customHeight="1" ht="22.5">
      <c r="A21" s="1302" t="s">
        <v>1654</v>
      </c>
      <c r="B21" s="1302" t="s">
        <v>1655</v>
      </c>
      <c r="C21" s="1302" t="s">
        <v>1656</v>
      </c>
      <c r="D21" s="1302" t="s">
        <v>1657</v>
      </c>
      <c r="E21" s="1302"/>
      <c r="F21" s="696"/>
      <c r="G21" s="696"/>
      <c r="H21" s="696"/>
      <c r="I21" s="350"/>
      <c r="J21" s="348"/>
      <c r="K21" s="349"/>
      <c r="L21" s="1329">
        <f>INDEX(PT_DIFFERENTIATION_NUM_CS,MATCH(C19,PT_DIFFERENTIATION_CS_ID,0))</f>
      </c>
      <c r="M21" s="299" t="s">
        <v>560</v>
      </c>
      <c r="N21" s="288"/>
      <c r="O21" s="2287">
        <f>INDEX(PT_DIFFERENTIATION_CS,MATCH(C19,PT_DIFFERENTIATION_CS_ID,0))</f>
      </c>
      <c r="P21" s="2287"/>
      <c r="Q21" s="2287"/>
      <c r="R21" s="2287"/>
      <c r="S21" s="2287"/>
      <c r="T21" s="2287"/>
      <c r="U21" s="2287"/>
      <c r="V21" s="2287"/>
      <c r="W21" s="2287"/>
      <c r="X21" s="1292" t="s">
        <v>561</v>
      </c>
      <c r="Z21" s="508"/>
      <c r="AA21" s="508" t="str">
        <f>IF(M21="","",M21)</f>
        <v>Наименование системы теплоснабжения </v>
      </c>
      <c r="AB21" s="508"/>
      <c r="AC21" s="508"/>
    </row>
    <row customHeight="1" ht="21">
      <c r="A22" s="1302" t="s">
        <v>1654</v>
      </c>
      <c r="B22" s="1302" t="s">
        <v>1655</v>
      </c>
      <c r="C22" s="1302" t="s">
        <v>1656</v>
      </c>
      <c r="D22" s="1302" t="s">
        <v>1657</v>
      </c>
      <c r="E22" s="1302"/>
      <c r="F22" s="696"/>
      <c r="G22" s="696"/>
      <c r="H22" s="696"/>
      <c r="I22" s="350"/>
      <c r="J22" s="348"/>
      <c r="K22" s="349"/>
      <c r="L22" s="1329">
        <f>INDEX(PT_DIFFERENTIATION_NUM_IST_TE,MATCH(D19,PT_DIFFERENTIATION_IST_TE_ID,0))</f>
      </c>
      <c r="M22" s="300" t="s">
        <v>562</v>
      </c>
      <c r="N22" s="288"/>
      <c r="O22" s="2287">
        <f>INDEX(PT_DIFFERENTIATION_IST_TE,MATCH(D19,PT_DIFFERENTIATION_IST_TE_ID,0))</f>
      </c>
      <c r="P22" s="2287"/>
      <c r="Q22" s="2287"/>
      <c r="R22" s="2287"/>
      <c r="S22" s="2287"/>
      <c r="T22" s="2287"/>
      <c r="U22" s="2287"/>
      <c r="V22" s="2287"/>
      <c r="W22" s="2287"/>
      <c r="X22" s="1292" t="s">
        <v>563</v>
      </c>
      <c r="Z22" s="508"/>
      <c r="AA22" s="508" t="str">
        <f>IF(M22="","",M22)</f>
        <v>Источник тепловой энергии  </v>
      </c>
      <c r="AB22" s="508"/>
      <c r="AC22" s="508"/>
    </row>
    <row customHeight="1" ht="94.5">
      <c r="A23" s="1302" t="s">
        <v>1654</v>
      </c>
      <c r="B23" s="1302" t="s">
        <v>1655</v>
      </c>
      <c r="C23" s="1302" t="s">
        <v>1656</v>
      </c>
      <c r="D23" s="1302" t="s">
        <v>1657</v>
      </c>
      <c r="E23" s="1302"/>
      <c r="F23" s="1964">
        <f>L22&amp;".1"</f>
      </c>
      <c r="I23" s="2190">
        <v>1</v>
      </c>
      <c r="J23" s="1327"/>
      <c r="K23" s="352"/>
      <c r="L23" s="1329">
        <f>$F$23</f>
      </c>
      <c r="M23" s="273" t="s">
        <v>565</v>
      </c>
      <c r="N23" s="288"/>
      <c r="O23" s="2289"/>
      <c r="P23" s="2289"/>
      <c r="Q23" s="2289"/>
      <c r="R23" s="2289"/>
      <c r="S23" s="2289"/>
      <c r="T23" s="2289"/>
      <c r="U23" s="2289"/>
      <c r="V23" s="2289"/>
      <c r="W23" s="2289"/>
      <c r="X23" s="1292" t="s">
        <v>566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1654</v>
      </c>
      <c r="B24" s="1302" t="s">
        <v>1655</v>
      </c>
      <c r="C24" s="1302" t="s">
        <v>1656</v>
      </c>
      <c r="D24" s="1302" t="s">
        <v>1657</v>
      </c>
      <c r="E24" s="1302"/>
      <c r="F24" s="1964"/>
      <c r="G24" s="1938">
        <f>F23&amp;".1"</f>
      </c>
      <c r="I24" s="2190"/>
      <c r="J24" s="2190">
        <v>1</v>
      </c>
      <c r="K24" s="353"/>
      <c r="L24" s="1329">
        <f>$G$24</f>
      </c>
      <c r="M24" s="274" t="s">
        <v>568</v>
      </c>
      <c r="N24" s="288"/>
      <c r="O24" s="2290"/>
      <c r="P24" s="2291"/>
      <c r="Q24" s="2291"/>
      <c r="R24" s="2291"/>
      <c r="S24" s="2291"/>
      <c r="T24" s="2291"/>
      <c r="U24" s="2291"/>
      <c r="V24" s="2291"/>
      <c r="W24" s="2292"/>
      <c r="X24" s="1292" t="s">
        <v>569</v>
      </c>
      <c r="Z24" s="508"/>
      <c r="AA24" s="508" t="str">
        <f>IF(M24="","",M24)</f>
        <v>Группа потребителей</v>
      </c>
      <c r="AB24" s="508"/>
      <c r="AC24" s="508"/>
    </row>
    <row customHeight="1" ht="11.25">
      <c r="A25" s="1302" t="s">
        <v>1654</v>
      </c>
      <c r="B25" s="1302" t="s">
        <v>1655</v>
      </c>
      <c r="C25" s="1302" t="s">
        <v>1656</v>
      </c>
      <c r="D25" s="1302" t="s">
        <v>1657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571</v>
      </c>
      <c r="Y25" s="519">
        <f>STRCHECKDATE(O26:W26)</f>
      </c>
      <c r="Z25" s="508"/>
      <c r="AA25" s="508" t="str">
        <f>IF(M25="","",M25)</f>
        <v/>
      </c>
      <c r="AB25" s="508"/>
      <c r="AC25" s="508"/>
    </row>
    <row customHeight="1" ht="11.25">
      <c r="A26" s="1302" t="s">
        <v>1654</v>
      </c>
      <c r="B26" s="1302" t="s">
        <v>1655</v>
      </c>
      <c r="C26" s="1302" t="s">
        <v>1656</v>
      </c>
      <c r="D26" s="1302" t="s">
        <v>1657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1654</v>
      </c>
      <c r="B27" s="1302" t="s">
        <v>1655</v>
      </c>
      <c r="C27" s="1302" t="s">
        <v>1656</v>
      </c>
      <c r="D27" s="1302" t="s">
        <v>1657</v>
      </c>
      <c r="E27" s="1302"/>
      <c r="F27" s="1964"/>
      <c r="G27" s="1938"/>
      <c r="I27" s="2190"/>
      <c r="J27" s="2190"/>
      <c r="K27" s="352"/>
      <c r="L27" s="1314"/>
      <c r="M27" s="276" t="s">
        <v>572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1654</v>
      </c>
      <c r="B28" s="1302" t="s">
        <v>1655</v>
      </c>
      <c r="C28" s="1302" t="s">
        <v>1656</v>
      </c>
      <c r="D28" s="1302" t="s">
        <v>1657</v>
      </c>
      <c r="E28" s="1302"/>
      <c r="F28" s="1964"/>
      <c r="I28" s="2190"/>
      <c r="J28" s="1327"/>
      <c r="K28" s="352"/>
      <c r="L28" s="1314"/>
      <c r="M28" s="275" t="s">
        <v>573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1654</v>
      </c>
      <c r="B29" s="1302" t="s">
        <v>1655</v>
      </c>
      <c r="C29" s="1302" t="s">
        <v>1656</v>
      </c>
      <c r="D29" s="1302" t="s">
        <v>1657</v>
      </c>
      <c r="E29" s="1302"/>
      <c r="F29" s="696"/>
      <c r="G29" s="696"/>
      <c r="H29" s="517"/>
      <c r="I29" s="356"/>
      <c r="J29" s="376"/>
      <c r="K29" s="351"/>
      <c r="L29" s="1314"/>
      <c r="M29" s="364" t="s">
        <v>574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1654</v>
      </c>
      <c r="B30" s="1302" t="s">
        <v>1655</v>
      </c>
      <c r="C30" s="1302" t="s">
        <v>1656</v>
      </c>
      <c r="D30" s="1302"/>
      <c r="E30" s="1302" t="s">
        <v>1651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1654</v>
      </c>
      <c r="B31" s="1302" t="s">
        <v>1655</v>
      </c>
      <c r="C31" s="1302"/>
      <c r="D31" s="1302"/>
      <c r="E31" s="1302" t="s">
        <v>1652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1658</v>
      </c>
      <c r="B32" s="1302"/>
      <c r="C32" s="1302"/>
      <c r="D32" s="1302"/>
      <c r="E32" s="1302" t="s">
        <v>216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534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606</v>
      </c>
      <c r="M35" s="2218" t="s">
        <v>613</v>
      </c>
      <c r="N35" s="2218"/>
      <c r="O35" s="2218"/>
      <c r="P35" s="2218"/>
      <c r="Q35" s="2218"/>
      <c r="R35" s="2218"/>
      <c r="S35" s="2218"/>
      <c r="T35" s="2218"/>
      <c r="U35" s="2218"/>
      <c r="V35" s="2218"/>
      <c r="W35" s="2218"/>
      <c r="X35" s="2218"/>
    </row>
    <row customHeight="1" ht="104.25">
      <c r="F36" s="1339"/>
      <c r="G36" s="1339"/>
      <c r="H36" s="517"/>
      <c r="I36" s="1339"/>
      <c r="M36" s="2218" t="s">
        <v>608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A9211-BF5F-38DA-2788-9C89D12C45F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7" width="10.57421875"/>
    <col min="2" max="2" style="2867" width="11.00390625" customWidth="1"/>
    <col min="3" max="3" style="2867" width="10.57421875"/>
    <col min="4" max="4" style="2867" width="11.8515625" customWidth="1"/>
    <col min="5" max="5" style="2867" width="12.28125" customWidth="1"/>
    <col min="6" max="8" style="4022" width="12.28125" customWidth="1"/>
    <col min="9" max="9" style="4022" width="3.7109375" customWidth="1"/>
    <col min="10" max="11" style="3692" width="3.7109375" customWidth="1"/>
    <col min="12" max="12" style="3693" width="12.7109375" customWidth="1"/>
    <col min="13" max="13" style="2867" width="32.00390625" customWidth="1"/>
    <col min="14" max="14" style="2867" width="1.7109375" customWidth="1"/>
    <col min="15" max="18" style="2867" width="24.7109375" customWidth="1"/>
    <col min="19" max="19" style="2867" width="11.7109375" customWidth="1"/>
    <col min="20" max="20" style="2867" width="3.7109375" customWidth="1"/>
    <col min="21" max="21" style="2867" width="11.7109375" customWidth="1"/>
    <col min="22" max="22" style="2867" width="8.57421875" customWidth="1"/>
    <col min="23" max="23" style="2867" width="4.7109375" customWidth="1"/>
    <col min="24" max="24" style="2867"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1648</v>
      </c>
      <c r="M5" s="2284"/>
      <c r="N5" s="2284"/>
      <c r="O5" s="2284"/>
      <c r="P5" s="2284"/>
      <c r="Q5" s="2284"/>
      <c r="R5" s="2284"/>
      <c r="S5" s="2284"/>
      <c r="T5" s="2284"/>
      <c r="U5" s="2284"/>
      <c r="V5" s="1267"/>
    </row>
    <row customHeight="1" ht="14.25">
      <c r="J6" s="377"/>
      <c r="K6" s="377"/>
      <c r="L6" s="2285" t="str">
        <f>IF(org=0,"Не определено",org)</f>
        <v>ГУП СК "Ставрополькрайводоканал"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581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582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585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389</v>
      </c>
      <c r="M14" s="1966"/>
      <c r="N14" s="1966"/>
      <c r="O14" s="1966"/>
      <c r="P14" s="1966"/>
      <c r="Q14" s="1966"/>
      <c r="R14" s="1966"/>
      <c r="S14" s="1966"/>
      <c r="T14" s="1966"/>
      <c r="U14" s="1966"/>
      <c r="V14" s="1966"/>
      <c r="W14" s="1966"/>
      <c r="X14" s="1966" t="s">
        <v>390</v>
      </c>
    </row>
    <row customHeight="1" ht="14.25">
      <c r="J15" s="377"/>
      <c r="K15" s="377"/>
      <c r="L15" s="2206" t="s">
        <v>88</v>
      </c>
      <c r="M15" s="2047" t="s">
        <v>586</v>
      </c>
      <c r="N15" s="289"/>
      <c r="O15" s="2207" t="s">
        <v>1649</v>
      </c>
      <c r="P15" s="2208"/>
      <c r="Q15" s="2208"/>
      <c r="R15" s="2208"/>
      <c r="S15" s="2208"/>
      <c r="T15" s="2208"/>
      <c r="U15" s="2209"/>
      <c r="V15" s="2210" t="s">
        <v>588</v>
      </c>
      <c r="W15" s="2213" t="s">
        <v>1650</v>
      </c>
      <c r="X15" s="1966"/>
    </row>
    <row customHeight="1" ht="33.75">
      <c r="J16" s="377"/>
      <c r="K16" s="377"/>
      <c r="L16" s="2206"/>
      <c r="M16" s="2047"/>
      <c r="N16" s="1044"/>
      <c r="O16" s="2193" t="s">
        <v>591</v>
      </c>
      <c r="P16" s="2193" t="s">
        <v>592</v>
      </c>
      <c r="Q16" s="2195" t="s">
        <v>593</v>
      </c>
      <c r="R16" s="2196"/>
      <c r="S16" s="2195" t="s">
        <v>612</v>
      </c>
      <c r="T16" s="2202"/>
      <c r="U16" s="2196"/>
      <c r="V16" s="2211"/>
      <c r="W16" s="2214"/>
      <c r="X16" s="1966"/>
    </row>
    <row customHeight="1" ht="33.75">
      <c r="A17" s="1294" t="s">
        <v>243</v>
      </c>
      <c r="B17" s="1294" t="s">
        <v>244</v>
      </c>
      <c r="C17" s="1294" t="s">
        <v>245</v>
      </c>
      <c r="D17" s="1294" t="s">
        <v>246</v>
      </c>
      <c r="E17" s="1294"/>
      <c r="J17" s="377"/>
      <c r="K17" s="377"/>
      <c r="L17" s="2206"/>
      <c r="M17" s="2047"/>
      <c r="N17" s="290"/>
      <c r="O17" s="2194"/>
      <c r="P17" s="2194"/>
      <c r="Q17" s="1243" t="s">
        <v>602</v>
      </c>
      <c r="R17" s="1243" t="s">
        <v>603</v>
      </c>
      <c r="S17" s="1328" t="s">
        <v>604</v>
      </c>
      <c r="T17" s="2203" t="s">
        <v>605</v>
      </c>
      <c r="U17" s="2204"/>
      <c r="V17" s="2212"/>
      <c r="W17" s="2215"/>
      <c r="X17" s="1966"/>
    </row>
    <row s="2585" customFormat="1" customHeight="1" ht="11.25">
      <c r="A18" s="1294"/>
      <c r="B18" s="1294"/>
      <c r="C18" s="1294"/>
      <c r="D18" s="1294"/>
      <c r="E18" s="1294"/>
      <c r="F18" s="1322"/>
      <c r="G18" s="1322"/>
      <c r="H18" s="1322"/>
      <c r="I18" s="1270"/>
      <c r="J18" s="1271"/>
      <c r="K18" s="1286">
        <v>1</v>
      </c>
      <c r="L18" s="1313" t="s">
        <v>159</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1659</v>
      </c>
      <c r="B19" s="1302" t="s">
        <v>1660</v>
      </c>
      <c r="C19" s="1302" t="s">
        <v>1661</v>
      </c>
      <c r="D19" s="1302" t="s">
        <v>1662</v>
      </c>
      <c r="E19" s="1302"/>
      <c r="F19" s="696"/>
      <c r="G19" s="696"/>
      <c r="H19" s="696"/>
      <c r="I19" s="357"/>
      <c r="J19" s="356"/>
      <c r="K19" s="351"/>
      <c r="L19" s="1329">
        <f>INDEX(PT_DIFFERENTIATION_NUM_NTAR,MATCH(A19,PT_DIFFERENTIATION_NTAR_ID,0))</f>
      </c>
      <c r="M19" s="286" t="s">
        <v>232</v>
      </c>
      <c r="N19" s="288"/>
      <c r="O19" s="2287">
        <f>INDEX(PT_DIFFERENTIATION_NTAR,MATCH(A19,PT_DIFFERENTIATION_NTAR_ID,0))</f>
      </c>
      <c r="P19" s="2287"/>
      <c r="Q19" s="2287"/>
      <c r="R19" s="2287"/>
      <c r="S19" s="2287"/>
      <c r="T19" s="2287"/>
      <c r="U19" s="2287"/>
      <c r="V19" s="2287"/>
      <c r="W19" s="2287"/>
      <c r="X19" s="1292" t="s">
        <v>557</v>
      </c>
      <c r="Z19" s="508"/>
      <c r="AA19" s="508" t="str">
        <f>IF(M19="","",M19)</f>
        <v>Наименование тарифа</v>
      </c>
      <c r="AB19" s="508"/>
      <c r="AC19" s="508"/>
    </row>
    <row customHeight="1" ht="21">
      <c r="A20" s="1302" t="s">
        <v>1659</v>
      </c>
      <c r="B20" s="1302" t="s">
        <v>1660</v>
      </c>
      <c r="C20" s="1302" t="s">
        <v>1661</v>
      </c>
      <c r="D20" s="1302" t="s">
        <v>1662</v>
      </c>
      <c r="E20" s="1302"/>
      <c r="F20" s="696"/>
      <c r="G20" s="696"/>
      <c r="H20" s="696"/>
      <c r="I20" s="1326"/>
      <c r="J20" s="348"/>
      <c r="K20" s="349"/>
      <c r="L20" s="1329">
        <f>INDEX(PT_DIFFERENTIATION_NUM_TER,MATCH(B19,PT_DIFFERENTIATION_TER_ID,0))</f>
      </c>
      <c r="M20" s="298" t="s">
        <v>558</v>
      </c>
      <c r="N20" s="288"/>
      <c r="O20" s="2287">
        <f>INDEX(PT_DIFFERENTIATION_TER,MATCH(B19,PT_DIFFERENTIATION_TER_ID,0))</f>
      </c>
      <c r="P20" s="2287"/>
      <c r="Q20" s="2287"/>
      <c r="R20" s="2287"/>
      <c r="S20" s="2287"/>
      <c r="T20" s="2287"/>
      <c r="U20" s="2287"/>
      <c r="V20" s="2287"/>
      <c r="W20" s="2287"/>
      <c r="X20" s="1292" t="s">
        <v>559</v>
      </c>
      <c r="Z20" s="508"/>
      <c r="AA20" s="508" t="str">
        <f>IF(M20="","",M20)</f>
        <v>Территория действия тарифа</v>
      </c>
      <c r="AB20" s="508"/>
      <c r="AC20" s="508"/>
    </row>
    <row customHeight="1" ht="22.5">
      <c r="A21" s="1302" t="s">
        <v>1659</v>
      </c>
      <c r="B21" s="1302" t="s">
        <v>1660</v>
      </c>
      <c r="C21" s="1302" t="s">
        <v>1661</v>
      </c>
      <c r="D21" s="1302" t="s">
        <v>1662</v>
      </c>
      <c r="E21" s="1302"/>
      <c r="F21" s="696"/>
      <c r="G21" s="696"/>
      <c r="H21" s="696"/>
      <c r="I21" s="350"/>
      <c r="J21" s="348"/>
      <c r="K21" s="349"/>
      <c r="L21" s="1329">
        <f>INDEX(PT_DIFFERENTIATION_NUM_CS,MATCH(C19,PT_DIFFERENTIATION_CS_ID,0))</f>
      </c>
      <c r="M21" s="299" t="s">
        <v>560</v>
      </c>
      <c r="N21" s="288"/>
      <c r="O21" s="2287">
        <f>INDEX(PT_DIFFERENTIATION_CS,MATCH(C19,PT_DIFFERENTIATION_CS_ID,0))</f>
      </c>
      <c r="P21" s="2287"/>
      <c r="Q21" s="2287"/>
      <c r="R21" s="2287"/>
      <c r="S21" s="2287"/>
      <c r="T21" s="2287"/>
      <c r="U21" s="2287"/>
      <c r="V21" s="2287"/>
      <c r="W21" s="2287"/>
      <c r="X21" s="1292" t="s">
        <v>561</v>
      </c>
      <c r="Z21" s="508"/>
      <c r="AA21" s="508" t="str">
        <f>IF(M21="","",M21)</f>
        <v>Наименование системы теплоснабжения </v>
      </c>
      <c r="AB21" s="508"/>
      <c r="AC21" s="508"/>
    </row>
    <row customHeight="1" ht="21">
      <c r="A22" s="1302" t="s">
        <v>1659</v>
      </c>
      <c r="B22" s="1302" t="s">
        <v>1660</v>
      </c>
      <c r="C22" s="1302" t="s">
        <v>1661</v>
      </c>
      <c r="D22" s="1302" t="s">
        <v>1662</v>
      </c>
      <c r="E22" s="1302"/>
      <c r="F22" s="696"/>
      <c r="G22" s="696"/>
      <c r="H22" s="696"/>
      <c r="I22" s="350"/>
      <c r="J22" s="348"/>
      <c r="K22" s="349"/>
      <c r="L22" s="1329">
        <f>INDEX(PT_DIFFERENTIATION_NUM_IST_TE,MATCH(D19,PT_DIFFERENTIATION_IST_TE_ID,0))</f>
      </c>
      <c r="M22" s="300" t="s">
        <v>562</v>
      </c>
      <c r="N22" s="288"/>
      <c r="O22" s="2287">
        <f>INDEX(PT_DIFFERENTIATION_IST_TE,MATCH(D19,PT_DIFFERENTIATION_IST_TE_ID,0))</f>
      </c>
      <c r="P22" s="2287"/>
      <c r="Q22" s="2287"/>
      <c r="R22" s="2287"/>
      <c r="S22" s="2287"/>
      <c r="T22" s="2287"/>
      <c r="U22" s="2287"/>
      <c r="V22" s="2287"/>
      <c r="W22" s="2287"/>
      <c r="X22" s="1292" t="s">
        <v>563</v>
      </c>
      <c r="Z22" s="508"/>
      <c r="AA22" s="508" t="str">
        <f>IF(M22="","",M22)</f>
        <v>Источник тепловой энергии  </v>
      </c>
      <c r="AB22" s="508"/>
      <c r="AC22" s="508"/>
    </row>
    <row customHeight="1" ht="94.5">
      <c r="A23" s="1302" t="s">
        <v>1659</v>
      </c>
      <c r="B23" s="1302" t="s">
        <v>1660</v>
      </c>
      <c r="C23" s="1302" t="s">
        <v>1661</v>
      </c>
      <c r="D23" s="1302" t="s">
        <v>1662</v>
      </c>
      <c r="E23" s="1302"/>
      <c r="F23" s="1964">
        <f>L22&amp;".1"</f>
      </c>
      <c r="I23" s="2190">
        <v>1</v>
      </c>
      <c r="J23" s="1327"/>
      <c r="K23" s="352"/>
      <c r="L23" s="1329">
        <f>$F$23</f>
      </c>
      <c r="M23" s="273" t="s">
        <v>565</v>
      </c>
      <c r="N23" s="288"/>
      <c r="O23" s="2289"/>
      <c r="P23" s="2289"/>
      <c r="Q23" s="2289"/>
      <c r="R23" s="2289"/>
      <c r="S23" s="2289"/>
      <c r="T23" s="2289"/>
      <c r="U23" s="2289"/>
      <c r="V23" s="2289"/>
      <c r="W23" s="2289"/>
      <c r="X23" s="1292" t="s">
        <v>566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1659</v>
      </c>
      <c r="B24" s="1302" t="s">
        <v>1660</v>
      </c>
      <c r="C24" s="1302" t="s">
        <v>1661</v>
      </c>
      <c r="D24" s="1302" t="s">
        <v>1662</v>
      </c>
      <c r="E24" s="1302"/>
      <c r="F24" s="1964"/>
      <c r="G24" s="1938">
        <f>F23&amp;".1"</f>
      </c>
      <c r="I24" s="2190"/>
      <c r="J24" s="2190">
        <v>1</v>
      </c>
      <c r="K24" s="353"/>
      <c r="L24" s="1329">
        <f>$G$24</f>
      </c>
      <c r="M24" s="274" t="s">
        <v>568</v>
      </c>
      <c r="N24" s="288"/>
      <c r="O24" s="2290"/>
      <c r="P24" s="2291"/>
      <c r="Q24" s="2291"/>
      <c r="R24" s="2291"/>
      <c r="S24" s="2291"/>
      <c r="T24" s="2291"/>
      <c r="U24" s="2291"/>
      <c r="V24" s="2291"/>
      <c r="W24" s="2292"/>
      <c r="X24" s="1292" t="s">
        <v>569</v>
      </c>
      <c r="Z24" s="508"/>
      <c r="AA24" s="508" t="str">
        <f>IF(M24="","",M24)</f>
        <v>Группа потребителей</v>
      </c>
      <c r="AB24" s="508"/>
      <c r="AC24" s="508"/>
    </row>
    <row customHeight="1" ht="11.25">
      <c r="A25" s="1302" t="s">
        <v>1659</v>
      </c>
      <c r="B25" s="1302" t="s">
        <v>1660</v>
      </c>
      <c r="C25" s="1302" t="s">
        <v>1661</v>
      </c>
      <c r="D25" s="1302" t="s">
        <v>1662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571</v>
      </c>
      <c r="Y25" s="519">
        <f>STRCHECKDATE(O26:W26)</f>
      </c>
      <c r="Z25" s="508"/>
      <c r="AA25" s="508" t="str">
        <f>IF(M25="","",M25)</f>
        <v/>
      </c>
      <c r="AB25" s="508"/>
      <c r="AC25" s="508"/>
    </row>
    <row customHeight="1" ht="11.25">
      <c r="A26" s="1302" t="s">
        <v>1659</v>
      </c>
      <c r="B26" s="1302" t="s">
        <v>1660</v>
      </c>
      <c r="C26" s="1302" t="s">
        <v>1661</v>
      </c>
      <c r="D26" s="1302" t="s">
        <v>1662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1659</v>
      </c>
      <c r="B27" s="1302" t="s">
        <v>1660</v>
      </c>
      <c r="C27" s="1302" t="s">
        <v>1661</v>
      </c>
      <c r="D27" s="1302" t="s">
        <v>1662</v>
      </c>
      <c r="E27" s="1302"/>
      <c r="F27" s="1964"/>
      <c r="G27" s="1938"/>
      <c r="I27" s="2190"/>
      <c r="J27" s="2190"/>
      <c r="K27" s="352"/>
      <c r="L27" s="1314"/>
      <c r="M27" s="276" t="s">
        <v>572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1659</v>
      </c>
      <c r="B28" s="1302" t="s">
        <v>1660</v>
      </c>
      <c r="C28" s="1302" t="s">
        <v>1661</v>
      </c>
      <c r="D28" s="1302" t="s">
        <v>1662</v>
      </c>
      <c r="E28" s="1302"/>
      <c r="F28" s="1964"/>
      <c r="I28" s="2190"/>
      <c r="J28" s="1327"/>
      <c r="K28" s="352"/>
      <c r="L28" s="1314"/>
      <c r="M28" s="275" t="s">
        <v>573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1659</v>
      </c>
      <c r="B29" s="1302" t="s">
        <v>1660</v>
      </c>
      <c r="C29" s="1302" t="s">
        <v>1661</v>
      </c>
      <c r="D29" s="1302" t="s">
        <v>1662</v>
      </c>
      <c r="E29" s="1302"/>
      <c r="F29" s="696"/>
      <c r="G29" s="696"/>
      <c r="H29" s="517"/>
      <c r="I29" s="356"/>
      <c r="J29" s="376"/>
      <c r="K29" s="351"/>
      <c r="L29" s="1314"/>
      <c r="M29" s="364" t="s">
        <v>574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1659</v>
      </c>
      <c r="B30" s="1302" t="s">
        <v>1660</v>
      </c>
      <c r="C30" s="1302" t="s">
        <v>1661</v>
      </c>
      <c r="D30" s="1302"/>
      <c r="E30" s="1302" t="s">
        <v>1651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1659</v>
      </c>
      <c r="B31" s="1302" t="s">
        <v>1660</v>
      </c>
      <c r="C31" s="1302"/>
      <c r="D31" s="1302"/>
      <c r="E31" s="1302" t="s">
        <v>1652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1663</v>
      </c>
      <c r="B32" s="1302"/>
      <c r="C32" s="1302"/>
      <c r="D32" s="1302"/>
      <c r="E32" s="1302" t="s">
        <v>216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534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606</v>
      </c>
      <c r="M35" s="2218" t="s">
        <v>613</v>
      </c>
      <c r="N35" s="2218"/>
      <c r="O35" s="2218"/>
      <c r="P35" s="2218"/>
      <c r="Q35" s="2218"/>
      <c r="R35" s="2218"/>
      <c r="S35" s="2218"/>
      <c r="T35" s="2218"/>
      <c r="U35" s="2218"/>
      <c r="V35" s="2218"/>
      <c r="W35" s="2218"/>
      <c r="X35" s="2218"/>
    </row>
    <row customHeight="1" ht="104.25">
      <c r="F36" s="1339"/>
      <c r="G36" s="1339"/>
      <c r="H36" s="517"/>
      <c r="I36" s="1339"/>
      <c r="M36" s="2218" t="s">
        <v>608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B313F-CFBA-9365-1673-9B75708E835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21" width="9.140625" customWidth="1"/>
    <col min="9" max="9" style="3691" width="3.7109375" customWidth="1"/>
    <col min="10" max="11" style="3692" width="3.7109375" customWidth="1"/>
    <col min="12" max="12" style="2867" width="12.7109375" customWidth="1"/>
    <col min="13" max="13" style="2867" width="47.421875" customWidth="1"/>
    <col min="14" max="14" style="2867" width="2.7109375" hidden="1" customWidth="1"/>
    <col min="15" max="18" style="2867" width="23.7109375" customWidth="1"/>
    <col min="19" max="19" style="2867" width="11.7109375" customWidth="1"/>
    <col min="20" max="20" style="2867" width="3.7109375" customWidth="1"/>
    <col min="21" max="21" style="2867" width="11.7109375" customWidth="1"/>
    <col min="22" max="22" style="2867" width="8.57421875" hidden="1" customWidth="1"/>
    <col min="23" max="23" style="2867" width="4.7109375" customWidth="1"/>
    <col min="24" max="24" style="2867"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1664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6"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6" customFormat="1" customHeight="1" ht="18.75">
      <c r="A8" s="368"/>
      <c r="B8" s="368"/>
      <c r="C8" s="368"/>
      <c r="D8" s="368"/>
      <c r="E8" s="368"/>
      <c r="F8" s="368"/>
      <c r="G8" s="368"/>
      <c r="H8" s="368"/>
      <c r="L8" s="265"/>
      <c r="M8" s="283" t="s">
        <v>581</v>
      </c>
      <c r="N8" s="292"/>
      <c r="O8" s="2294">
        <f>IF(datePr_ch="",IF(datePr="","",datePr),datePr_ch)</f>
      </c>
      <c r="P8" s="2295"/>
      <c r="Q8" s="2295"/>
      <c r="R8" s="2295"/>
      <c r="S8" s="2295"/>
      <c r="T8" s="2296"/>
      <c r="U8" s="1272"/>
      <c r="Y8" s="368"/>
      <c r="Z8" s="368"/>
      <c r="AA8" s="368"/>
      <c r="AB8" s="368"/>
      <c r="AC8" s="368"/>
    </row>
    <row s="3626" customFormat="1" customHeight="1" ht="18.75">
      <c r="A9" s="368"/>
      <c r="B9" s="368"/>
      <c r="C9" s="368"/>
      <c r="D9" s="368"/>
      <c r="E9" s="368"/>
      <c r="F9" s="368"/>
      <c r="G9" s="368"/>
      <c r="H9" s="368"/>
      <c r="L9" s="318"/>
      <c r="M9" s="283" t="s">
        <v>582</v>
      </c>
      <c r="N9" s="292"/>
      <c r="O9" s="2294">
        <f>IF(numberPr_ch="",IF(numberPr="","",numberPr),numberPr_ch)</f>
      </c>
      <c r="P9" s="2295"/>
      <c r="Q9" s="2295"/>
      <c r="R9" s="2295"/>
      <c r="S9" s="2295"/>
      <c r="T9" s="2296"/>
      <c r="U9" s="1272"/>
      <c r="Y9" s="368"/>
      <c r="Z9" s="368"/>
      <c r="AA9" s="368"/>
      <c r="AB9" s="368"/>
      <c r="AC9" s="368"/>
    </row>
    <row s="3626"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5" customFormat="1" customHeight="1" ht="18.75" hidden="1">
      <c r="A11" s="1276"/>
      <c r="B11" s="1276"/>
      <c r="C11" s="1276"/>
      <c r="D11" s="1276"/>
      <c r="E11" s="1276"/>
      <c r="F11" s="1276"/>
      <c r="G11" s="1276"/>
      <c r="H11" s="1276"/>
      <c r="L11" s="318"/>
      <c r="M11" s="315"/>
      <c r="O11" s="1277"/>
      <c r="P11" s="1277"/>
      <c r="Q11" s="368" t="s">
        <v>1665</v>
      </c>
      <c r="R11" s="368" t="s">
        <v>1666</v>
      </c>
      <c r="S11" s="1277"/>
      <c r="T11" s="1277"/>
      <c r="U11" s="1272"/>
      <c r="Y11" s="1276"/>
      <c r="Z11" s="1276"/>
      <c r="AA11" s="1276"/>
      <c r="AB11" s="1276"/>
      <c r="AC11" s="1276"/>
    </row>
    <row s="3626"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389</v>
      </c>
      <c r="M14" s="1966"/>
      <c r="N14" s="1966"/>
      <c r="O14" s="1966"/>
      <c r="P14" s="1966"/>
      <c r="Q14" s="1966"/>
      <c r="R14" s="1966"/>
      <c r="S14" s="1966"/>
      <c r="T14" s="1966"/>
      <c r="U14" s="1966"/>
      <c r="V14" s="1966"/>
      <c r="W14" s="1966"/>
      <c r="X14" s="1966" t="s">
        <v>390</v>
      </c>
    </row>
    <row customHeight="1" ht="14.25">
      <c r="J15" s="377"/>
      <c r="K15" s="377"/>
      <c r="L15" s="2047" t="s">
        <v>88</v>
      </c>
      <c r="M15" s="2047" t="s">
        <v>1667</v>
      </c>
      <c r="N15" s="1238"/>
      <c r="O15" s="2047" t="s">
        <v>1668</v>
      </c>
      <c r="P15" s="2046" t="s">
        <v>1669</v>
      </c>
      <c r="Q15" s="2046" t="s">
        <v>1649</v>
      </c>
      <c r="R15" s="2046"/>
      <c r="S15" s="2046"/>
      <c r="T15" s="2046"/>
      <c r="U15" s="2046"/>
      <c r="V15" s="2047" t="s">
        <v>588</v>
      </c>
      <c r="W15" s="2298" t="s">
        <v>1650</v>
      </c>
      <c r="X15" s="1966"/>
    </row>
    <row customHeight="1" ht="25.5">
      <c r="J16" s="377"/>
      <c r="K16" s="377"/>
      <c r="L16" s="2047"/>
      <c r="M16" s="2047"/>
      <c r="N16" s="1238"/>
      <c r="O16" s="2047"/>
      <c r="P16" s="2046"/>
      <c r="Q16" s="2046" t="s">
        <v>1670</v>
      </c>
      <c r="R16" s="2046"/>
      <c r="S16" s="2237" t="s">
        <v>612</v>
      </c>
      <c r="T16" s="2237"/>
      <c r="U16" s="2237"/>
      <c r="V16" s="2047"/>
      <c r="W16" s="2298"/>
      <c r="X16" s="1966"/>
    </row>
    <row customHeight="1" ht="14.25">
      <c r="J17" s="377"/>
      <c r="K17" s="377"/>
      <c r="L17" s="2047"/>
      <c r="M17" s="2047"/>
      <c r="N17" s="1238"/>
      <c r="O17" s="2047"/>
      <c r="P17" s="2046"/>
      <c r="Q17" s="1238" t="s">
        <v>649</v>
      </c>
      <c r="R17" s="1238" t="s">
        <v>650</v>
      </c>
      <c r="S17" s="1242" t="s">
        <v>604</v>
      </c>
      <c r="T17" s="2300" t="s">
        <v>605</v>
      </c>
      <c r="U17" s="2300"/>
      <c r="V17" s="2047"/>
      <c r="W17" s="2298"/>
      <c r="X17" s="1966"/>
    </row>
    <row customHeight="1" ht="14.25">
      <c r="J18" s="377"/>
      <c r="K18" s="279">
        <v>1</v>
      </c>
      <c r="L18" s="456" t="s">
        <v>159</v>
      </c>
      <c r="M18" s="456" t="s">
        <v>102</v>
      </c>
      <c r="N18" s="1274" t="s">
        <v>102</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232</v>
      </c>
      <c r="N19" s="305"/>
      <c r="O19" s="2299"/>
      <c r="P19" s="2299"/>
      <c r="Q19" s="2299"/>
      <c r="R19" s="2299"/>
      <c r="S19" s="2299"/>
      <c r="T19" s="2299"/>
      <c r="U19" s="2299"/>
      <c r="V19" s="2299"/>
      <c r="W19" s="2299"/>
      <c r="X19" s="341" t="s">
        <v>557</v>
      </c>
    </row>
    <row customHeight="1" ht="22.5">
      <c r="A20" s="2190"/>
      <c r="B20" s="2190">
        <v>1</v>
      </c>
      <c r="C20" s="526"/>
      <c r="D20" s="526"/>
      <c r="E20" s="526"/>
      <c r="F20" s="526"/>
      <c r="G20" s="386"/>
      <c r="H20" s="1241"/>
      <c r="I20" s="359"/>
      <c r="J20" s="1248"/>
      <c r="K20" s="1169"/>
      <c r="L20" s="1247">
        <f>MERGEVALUE(A20)&amp;"."&amp;MERGEVALUE(B20)</f>
      </c>
      <c r="M20" s="298" t="s">
        <v>558</v>
      </c>
      <c r="N20" s="305"/>
      <c r="O20" s="2299"/>
      <c r="P20" s="2299"/>
      <c r="Q20" s="2299"/>
      <c r="R20" s="2299"/>
      <c r="S20" s="2299"/>
      <c r="T20" s="2299"/>
      <c r="U20" s="2299"/>
      <c r="V20" s="2299"/>
      <c r="W20" s="2299"/>
      <c r="X20" s="341" t="s">
        <v>559</v>
      </c>
    </row>
    <row customHeight="1" ht="22.5">
      <c r="A21" s="2190"/>
      <c r="B21" s="2190"/>
      <c r="C21" s="2190">
        <v>1</v>
      </c>
      <c r="D21" s="526"/>
      <c r="E21" s="526"/>
      <c r="F21" s="526"/>
      <c r="G21" s="386"/>
      <c r="H21" s="1241"/>
      <c r="I21" s="360"/>
      <c r="J21" s="1248"/>
      <c r="K21" s="1169"/>
      <c r="L21" s="1247">
        <f>MERGEVALUE(A21)&amp;"."&amp;MERGEVALUE(B21)&amp;"."&amp;MERGEVALUE(C21)</f>
      </c>
      <c r="M21" s="299" t="s">
        <v>560</v>
      </c>
      <c r="N21" s="305"/>
      <c r="O21" s="2299"/>
      <c r="P21" s="2299"/>
      <c r="Q21" s="2299"/>
      <c r="R21" s="2299"/>
      <c r="S21" s="2299"/>
      <c r="T21" s="2299"/>
      <c r="U21" s="2299"/>
      <c r="V21" s="2299"/>
      <c r="W21" s="2299"/>
      <c r="X21" s="341" t="s">
        <v>561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562</v>
      </c>
      <c r="N22" s="305"/>
      <c r="O22" s="2299"/>
      <c r="P22" s="2299"/>
      <c r="Q22" s="2299"/>
      <c r="R22" s="2299"/>
      <c r="S22" s="2299"/>
      <c r="T22" s="2299"/>
      <c r="U22" s="2299"/>
      <c r="V22" s="2299"/>
      <c r="W22" s="2299"/>
      <c r="X22" s="333" t="s">
        <v>1671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1672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638</v>
      </c>
      <c r="N25" s="363"/>
      <c r="O25" s="317"/>
      <c r="P25" s="317"/>
      <c r="Q25" s="317"/>
      <c r="R25" s="317"/>
      <c r="S25" s="321"/>
      <c r="T25" s="367"/>
      <c r="U25" s="366"/>
      <c r="V25" s="363"/>
      <c r="W25" s="363"/>
      <c r="X25" s="2008"/>
    </row>
    <row s="4015" customFormat="1" customHeight="1" ht="14.25">
      <c r="A26" s="2190"/>
      <c r="B26" s="2190"/>
      <c r="C26" s="2190"/>
      <c r="D26" s="385"/>
      <c r="E26" s="385"/>
      <c r="F26" s="385"/>
      <c r="G26" s="386"/>
      <c r="H26" s="385"/>
      <c r="I26" s="360"/>
      <c r="J26" s="376"/>
      <c r="K26" s="378"/>
      <c r="L26" s="297"/>
      <c r="M26" s="372" t="s">
        <v>1651</v>
      </c>
      <c r="N26" s="363"/>
      <c r="O26" s="317"/>
      <c r="P26" s="317"/>
      <c r="Q26" s="317"/>
      <c r="R26" s="317"/>
      <c r="S26" s="321"/>
      <c r="T26" s="367"/>
      <c r="U26" s="366"/>
      <c r="V26" s="363"/>
      <c r="W26" s="367"/>
      <c r="X26" s="1283"/>
      <c r="Y26" s="383"/>
      <c r="Z26" s="383"/>
      <c r="AA26" s="383"/>
      <c r="AB26" s="383"/>
      <c r="AC26" s="383"/>
    </row>
    <row s="4015" customFormat="1" customHeight="1" ht="14.25">
      <c r="A27" s="2190"/>
      <c r="B27" s="2190"/>
      <c r="C27" s="385"/>
      <c r="D27" s="385"/>
      <c r="E27" s="385"/>
      <c r="F27" s="385"/>
      <c r="G27" s="386"/>
      <c r="H27" s="385"/>
      <c r="I27" s="356"/>
      <c r="J27" s="376"/>
      <c r="K27" s="378"/>
      <c r="L27" s="297"/>
      <c r="M27" s="363" t="s">
        <v>1652</v>
      </c>
      <c r="N27" s="363"/>
      <c r="O27" s="317"/>
      <c r="P27" s="317"/>
      <c r="Q27" s="317"/>
      <c r="R27" s="317"/>
      <c r="S27" s="321"/>
      <c r="T27" s="367"/>
      <c r="U27" s="366"/>
      <c r="V27" s="363"/>
      <c r="W27" s="367"/>
      <c r="X27" s="319"/>
      <c r="Y27" s="383"/>
      <c r="Z27" s="383"/>
      <c r="AA27" s="383"/>
      <c r="AB27" s="383"/>
      <c r="AC27" s="383"/>
    </row>
    <row s="4015" customFormat="1" customHeight="1" ht="14.25">
      <c r="A28" s="2190"/>
      <c r="B28" s="385"/>
      <c r="C28" s="385"/>
      <c r="D28" s="385"/>
      <c r="E28" s="385"/>
      <c r="F28" s="385"/>
      <c r="G28" s="386"/>
      <c r="H28" s="385"/>
      <c r="I28" s="356"/>
      <c r="J28" s="376"/>
      <c r="K28" s="378"/>
      <c r="L28" s="297"/>
      <c r="M28" s="422" t="s">
        <v>216</v>
      </c>
      <c r="N28" s="363"/>
      <c r="O28" s="317"/>
      <c r="P28" s="317"/>
      <c r="Q28" s="317"/>
      <c r="R28" s="317"/>
      <c r="S28" s="321"/>
      <c r="T28" s="367"/>
      <c r="U28" s="366"/>
      <c r="V28" s="363"/>
      <c r="W28" s="367"/>
      <c r="X28" s="319"/>
      <c r="Y28" s="383"/>
      <c r="Z28" s="383"/>
      <c r="AA28" s="383"/>
      <c r="AB28" s="383"/>
      <c r="AC28" s="383"/>
    </row>
    <row s="4015" customFormat="1" customHeight="1" ht="14.25">
      <c r="G29" s="365"/>
      <c r="H29" s="378"/>
      <c r="I29" s="375"/>
      <c r="J29" s="376"/>
      <c r="L29" s="297"/>
      <c r="M29" s="423" t="s">
        <v>534</v>
      </c>
      <c r="N29" s="363"/>
      <c r="O29" s="317"/>
      <c r="P29" s="317"/>
      <c r="Q29" s="317"/>
      <c r="R29" s="317"/>
      <c r="S29" s="321"/>
      <c r="T29" s="367"/>
      <c r="U29" s="366"/>
      <c r="V29" s="363"/>
      <c r="W29" s="367"/>
      <c r="X29" s="319"/>
      <c r="Y29" s="383"/>
      <c r="Z29" s="383"/>
      <c r="AA29" s="383"/>
      <c r="AB29" s="383"/>
      <c r="AC29" s="383"/>
    </row>
    <row r="31" customHeight="1" ht="14.25">
      <c r="L31" s="49">
        <v>1</v>
      </c>
      <c r="M31" s="2218" t="s">
        <v>1673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B171F-BDE8-69F4-5A3B-67FF78A2031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7" width="9.140625" hidden="1" customWidth="1"/>
    <col min="2" max="2" style="3518" width="9.140625" hidden="1" customWidth="1"/>
    <col min="3" max="3" style="3541" width="3.7109375" customWidth="1"/>
    <col min="4" max="4" style="2668" width="6.28125" customWidth="1"/>
    <col min="5" max="5" style="2668" width="63.421875" customWidth="1"/>
    <col min="6" max="6" style="2668" width="1.7109375" hidden="1" customWidth="1"/>
    <col min="7" max="8" style="2668" width="35.7109375" customWidth="1"/>
    <col min="9" max="9" style="2668" width="91.57421875" customWidth="1"/>
    <col min="10" max="10" style="2668" width="68.8515625" customWidth="1"/>
    <col min="11" max="12" style="2604" width="10.57421875"/>
  </cols>
  <sheetData>
    <row customHeight="1" ht="14.25" hidden="1"/>
    <row s="2876" customFormat="1" customHeight="1" ht="18.75" hidden="1">
      <c r="A2" s="1729"/>
      <c r="B2" s="1174"/>
      <c r="C2" s="1776" t="s">
        <v>103</v>
      </c>
      <c r="D2" s="1719"/>
      <c r="E2" s="185"/>
      <c r="F2" s="1716"/>
      <c r="G2" s="1716" t="s">
        <v>395</v>
      </c>
      <c r="H2" s="1175"/>
      <c r="K2" s="1670"/>
      <c r="L2" s="1670"/>
    </row>
    <row s="2876" customFormat="1" customHeight="1" ht="14.25" hidden="1">
      <c r="A3" s="1398"/>
      <c r="B3" s="1174"/>
      <c r="C3" s="340"/>
      <c r="K3" s="1670"/>
      <c r="L3" s="1670"/>
    </row>
    <row s="2876" customFormat="1" customHeight="1" ht="18.75" hidden="1">
      <c r="A4" s="1729"/>
      <c r="B4" s="1174"/>
      <c r="C4" s="1776" t="s">
        <v>103</v>
      </c>
      <c r="D4" s="1719"/>
      <c r="E4" s="191" t="s">
        <v>1674</v>
      </c>
      <c r="F4" s="1716"/>
      <c r="G4" s="243"/>
      <c r="H4" s="1716" t="s">
        <v>395</v>
      </c>
      <c r="K4" s="1670"/>
      <c r="L4" s="1670"/>
    </row>
    <row s="2876" customFormat="1" customHeight="1" ht="14.25" hidden="1">
      <c r="A5" s="1398"/>
      <c r="B5" s="1174"/>
      <c r="C5" s="340"/>
      <c r="K5" s="1670"/>
      <c r="L5" s="1670"/>
    </row>
    <row s="2876" customFormat="1" customHeight="1" ht="18.75" hidden="1">
      <c r="A6" s="1729"/>
      <c r="B6" s="1174"/>
      <c r="C6" s="1776" t="s">
        <v>103</v>
      </c>
      <c r="D6" s="1719"/>
      <c r="E6" s="192" t="s">
        <v>1675</v>
      </c>
      <c r="F6" s="1716"/>
      <c r="G6" s="243"/>
      <c r="H6" s="1716" t="s">
        <v>395</v>
      </c>
      <c r="K6" s="1670"/>
      <c r="L6" s="1670"/>
    </row>
    <row s="2876" customFormat="1" customHeight="1" ht="14.25" hidden="1">
      <c r="A7" s="1398"/>
      <c r="B7" s="1174"/>
      <c r="C7" s="340"/>
      <c r="K7" s="1670"/>
      <c r="L7" s="1670"/>
    </row>
    <row s="2876" customFormat="1" customHeight="1" ht="18.75" hidden="1">
      <c r="A8" s="1729"/>
      <c r="B8" s="1174"/>
      <c r="C8" s="1776" t="s">
        <v>103</v>
      </c>
      <c r="D8" s="1719"/>
      <c r="E8" s="192" t="s">
        <v>1676</v>
      </c>
      <c r="F8" s="1716"/>
      <c r="G8" s="243"/>
      <c r="H8" s="1716" t="s">
        <v>395</v>
      </c>
      <c r="K8" s="1670"/>
      <c r="L8" s="1670"/>
    </row>
    <row s="2876" customFormat="1" customHeight="1" ht="14.25" hidden="1">
      <c r="A9" s="1398"/>
      <c r="B9" s="1174"/>
      <c r="C9" s="340"/>
      <c r="K9" s="1670"/>
      <c r="L9" s="1670"/>
    </row>
    <row s="2876" customFormat="1" customHeight="1" ht="18.75" hidden="1">
      <c r="A10" s="1729"/>
      <c r="B10" s="1174"/>
      <c r="C10" s="1776" t="s">
        <v>103</v>
      </c>
      <c r="D10" s="1719"/>
      <c r="E10" s="192" t="s">
        <v>1677</v>
      </c>
      <c r="F10" s="1716"/>
      <c r="G10" s="1720"/>
      <c r="H10" s="1716" t="s">
        <v>395</v>
      </c>
      <c r="K10" s="1670"/>
      <c r="L10" s="1670" t="s">
        <v>1678</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6" customFormat="1" customHeight="1" ht="14.25">
      <c r="A15" s="1398"/>
      <c r="B15" s="1174"/>
      <c r="C15" s="377"/>
      <c r="D15" s="2171" t="str">
        <f>IF(org=0,"Не определено",org)</f>
        <v>ГУП СК "Ставрополькрайводоканал"</v>
      </c>
      <c r="E15" s="2172"/>
      <c r="F15" s="2172"/>
      <c r="G15" s="2172"/>
      <c r="H15" s="2173"/>
      <c r="J15" s="862"/>
      <c r="K15" s="1670"/>
      <c r="L15" s="1670"/>
    </row>
    <row customHeight="1" ht="14.25">
      <c r="C16" s="82"/>
      <c r="D16" s="69"/>
      <c r="E16" s="81"/>
      <c r="F16" s="81"/>
      <c r="G16" s="81"/>
      <c r="H16" s="762"/>
      <c r="I16" s="179"/>
    </row>
    <row s="2876" customFormat="1" customHeight="1" ht="14.25" hidden="1">
      <c r="A17" s="1398"/>
      <c r="B17" s="1174"/>
      <c r="C17" s="377"/>
      <c r="D17" s="361"/>
      <c r="E17" s="395"/>
      <c r="F17" s="395"/>
      <c r="G17" s="395"/>
      <c r="H17" s="762"/>
      <c r="I17" s="179"/>
      <c r="K17" s="1670"/>
      <c r="L17" s="1670"/>
    </row>
    <row customHeight="1" ht="21">
      <c r="C18" s="82"/>
      <c r="D18" s="2047" t="s">
        <v>389</v>
      </c>
      <c r="E18" s="2047"/>
      <c r="F18" s="2047"/>
      <c r="G18" s="2047"/>
      <c r="H18" s="2047"/>
      <c r="I18" s="2174" t="s">
        <v>390</v>
      </c>
    </row>
    <row customHeight="1" ht="21">
      <c r="C19" s="82"/>
      <c r="D19" s="91" t="s">
        <v>88</v>
      </c>
      <c r="E19" s="94" t="s">
        <v>391</v>
      </c>
      <c r="F19" s="94"/>
      <c r="G19" s="94" t="s">
        <v>392</v>
      </c>
      <c r="H19" s="94" t="s">
        <v>481</v>
      </c>
      <c r="I19" s="2174"/>
    </row>
    <row customHeight="1" ht="12">
      <c r="C20" s="82"/>
      <c r="D20" s="72" t="s">
        <v>159</v>
      </c>
      <c r="E20" s="72" t="s">
        <v>102</v>
      </c>
      <c r="F20" s="72"/>
      <c r="G20" s="72" t="s">
        <v>90</v>
      </c>
      <c r="H20" s="72" t="s">
        <v>91</v>
      </c>
      <c r="I20" s="72" t="s">
        <v>113</v>
      </c>
    </row>
    <row customHeight="1" ht="14.25">
      <c r="A21" s="1729"/>
      <c r="C21" s="82"/>
      <c r="D21" s="133">
        <v>1</v>
      </c>
      <c r="E21" s="2304" t="s">
        <v>1679</v>
      </c>
      <c r="F21" s="2304"/>
      <c r="G21" s="2304"/>
      <c r="H21" s="2304"/>
      <c r="I21" s="194"/>
    </row>
    <row customHeight="1" ht="20.25">
      <c r="A22" s="1729"/>
      <c r="C22" s="82"/>
      <c r="D22" s="133" t="s">
        <v>527</v>
      </c>
      <c r="E22" s="180" t="s">
        <v>1680</v>
      </c>
      <c r="F22" s="184"/>
      <c r="G22" s="1783"/>
      <c r="H22" s="184" t="s">
        <v>395</v>
      </c>
      <c r="I22" s="137" t="s">
        <v>1681</v>
      </c>
    </row>
    <row customHeight="1" ht="45">
      <c r="A23" s="1729"/>
      <c r="C23" s="82"/>
      <c r="D23" s="133" t="s">
        <v>542</v>
      </c>
      <c r="E23" s="180" t="s">
        <v>1682</v>
      </c>
      <c r="F23" s="184"/>
      <c r="G23" s="243"/>
      <c r="H23" s="199"/>
      <c r="I23" s="244" t="s">
        <v>1683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395</v>
      </c>
      <c r="H24" s="199"/>
      <c r="I24" s="245" t="s">
        <v>1639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415</v>
      </c>
      <c r="E26" s="185"/>
      <c r="F26" s="184"/>
      <c r="G26" s="184" t="s">
        <v>395</v>
      </c>
      <c r="H26" s="199"/>
      <c r="I26" s="2006" t="s">
        <v>1684</v>
      </c>
    </row>
    <row customHeight="1" ht="15">
      <c r="A27" s="1729" t="s">
        <v>159</v>
      </c>
      <c r="C27" s="82"/>
      <c r="D27" s="95"/>
      <c r="E27" s="189" t="s">
        <v>550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1544</v>
      </c>
      <c r="E29" s="191" t="s">
        <v>1674</v>
      </c>
      <c r="F29" s="184"/>
      <c r="G29" s="243"/>
      <c r="H29" s="184" t="s">
        <v>395</v>
      </c>
      <c r="I29" s="2006" t="s">
        <v>1685</v>
      </c>
    </row>
    <row customHeight="1" ht="15">
      <c r="A30" s="1729" t="s">
        <v>102</v>
      </c>
      <c r="C30" s="82"/>
      <c r="D30" s="95"/>
      <c r="E30" s="189" t="s">
        <v>550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404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1551</v>
      </c>
      <c r="E33" s="192" t="s">
        <v>1675</v>
      </c>
      <c r="F33" s="184"/>
      <c r="G33" s="243"/>
      <c r="H33" s="184" t="s">
        <v>395</v>
      </c>
      <c r="I33" s="2006" t="s">
        <v>1686</v>
      </c>
    </row>
    <row customHeight="1" ht="15">
      <c r="A34" s="1729" t="s">
        <v>90</v>
      </c>
      <c r="C34" s="82"/>
      <c r="D34" s="95"/>
      <c r="E34" s="190" t="s">
        <v>550</v>
      </c>
      <c r="F34" s="186"/>
      <c r="G34" s="186"/>
      <c r="H34" s="187"/>
      <c r="I34" s="2008"/>
    </row>
    <row customHeight="1" ht="24">
      <c r="A35" s="1729"/>
      <c r="C35" s="82"/>
      <c r="D35" s="133" t="s">
        <v>406</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1687</v>
      </c>
      <c r="E36" s="192" t="s">
        <v>1676</v>
      </c>
      <c r="F36" s="184"/>
      <c r="G36" s="243"/>
      <c r="H36" s="184" t="s">
        <v>395</v>
      </c>
      <c r="I36" s="1982" t="s">
        <v>1688</v>
      </c>
    </row>
    <row customHeight="1" ht="15">
      <c r="A37" s="1729" t="s">
        <v>91</v>
      </c>
      <c r="C37" s="82"/>
      <c r="D37" s="95"/>
      <c r="E37" s="190" t="s">
        <v>550</v>
      </c>
      <c r="F37" s="186"/>
      <c r="G37" s="186"/>
      <c r="H37" s="187"/>
      <c r="I37" s="1982"/>
    </row>
    <row customHeight="1" ht="26.25">
      <c r="A38" s="1729"/>
      <c r="C38" s="82"/>
      <c r="D38" s="133" t="s">
        <v>409</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1689</v>
      </c>
      <c r="E39" s="192" t="s">
        <v>1677</v>
      </c>
      <c r="F39" s="184"/>
      <c r="G39" s="193"/>
      <c r="H39" s="184" t="s">
        <v>395</v>
      </c>
      <c r="I39" s="2006" t="s">
        <v>1690</v>
      </c>
      <c r="L39" s="141" t="s">
        <v>1678</v>
      </c>
    </row>
    <row customHeight="1" ht="15">
      <c r="A40" s="1729" t="s">
        <v>113</v>
      </c>
      <c r="C40" s="82"/>
      <c r="D40" s="95"/>
      <c r="E40" s="190" t="s">
        <v>550</v>
      </c>
      <c r="F40" s="186"/>
      <c r="G40" s="186"/>
      <c r="H40" s="187"/>
      <c r="I40" s="2008"/>
    </row>
    <row s="4095" customFormat="1" customHeight="1" ht="3">
      <c r="A41" s="1729"/>
      <c r="K41" s="182"/>
      <c r="L41" s="182"/>
    </row>
    <row customHeight="1" ht="24.75">
      <c r="D42" s="1727" t="s">
        <v>606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0CD54-4DFA-9F45-3A9E-741329845E5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2" width="9.140625" hidden="1" customWidth="1"/>
    <col min="2" max="2" style="3518" width="9.140625" hidden="1" customWidth="1"/>
    <col min="3" max="3" style="3692" width="3.7109375" customWidth="1"/>
    <col min="4" max="4" style="4100" width="6.28125" customWidth="1"/>
    <col min="5" max="5" style="4100" width="38.140625" customWidth="1"/>
    <col min="6" max="7" style="4100" width="35.7109375" customWidth="1"/>
    <col min="8" max="8" style="4100" width="89.57421875" customWidth="1"/>
    <col min="9" max="9" style="4100" width="10.57421875"/>
    <col min="10" max="11" style="3521" width="10.57421875"/>
    <col min="12" max="17" style="4100" width="10.57421875"/>
  </cols>
  <sheetData>
    <row customHeight="1" ht="14.25" hidden="1">
      <c r="N1" s="241"/>
      <c r="O1" s="241"/>
      <c r="Q1" s="241"/>
    </row>
    <row s="2876" customFormat="1" customHeight="1" ht="18.75" hidden="1">
      <c r="A2" s="88"/>
      <c r="B2" s="1174"/>
      <c r="C2" s="1776" t="s">
        <v>103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6" customFormat="1" customHeight="1" ht="17.25">
      <c r="A6" s="1715"/>
      <c r="B6" s="1174"/>
      <c r="C6" s="377"/>
      <c r="D6" s="2171" t="str">
        <f>IF(org=0,"Не определено",org)</f>
        <v>ГУП СК "Ставрополькрайводоканал"</v>
      </c>
      <c r="E6" s="2172"/>
      <c r="F6" s="2172"/>
      <c r="G6" s="2173"/>
      <c r="H6" s="252"/>
      <c r="J6" s="1670"/>
      <c r="K6" s="1670"/>
    </row>
    <row customHeight="1" ht="14.25">
      <c r="C7" s="377"/>
      <c r="D7" s="361"/>
      <c r="E7" s="395"/>
      <c r="F7" s="395"/>
      <c r="G7" s="762"/>
      <c r="H7" s="179"/>
    </row>
    <row customHeight="1" ht="14.25">
      <c r="C8" s="377"/>
      <c r="D8" s="2047" t="s">
        <v>389</v>
      </c>
      <c r="E8" s="2047"/>
      <c r="F8" s="2047"/>
      <c r="G8" s="2047"/>
      <c r="H8" s="2174" t="s">
        <v>390</v>
      </c>
    </row>
    <row customHeight="1" ht="14.25">
      <c r="C9" s="377"/>
      <c r="D9" s="392" t="s">
        <v>88</v>
      </c>
      <c r="E9" s="94" t="s">
        <v>391</v>
      </c>
      <c r="F9" s="94" t="s">
        <v>392</v>
      </c>
      <c r="G9" s="94" t="s">
        <v>481</v>
      </c>
      <c r="H9" s="2174"/>
    </row>
    <row customHeight="1" ht="14.25">
      <c r="A10" s="339"/>
      <c r="C10" s="377"/>
      <c r="D10" s="133" t="s">
        <v>159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1691</v>
      </c>
    </row>
    <row customHeight="1" ht="14.25">
      <c r="A11" s="339"/>
      <c r="C11" s="377"/>
      <c r="D11" s="133" t="s">
        <v>102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550</v>
      </c>
      <c r="F14" s="345"/>
      <c r="G14" s="187"/>
      <c r="H14" s="2008"/>
    </row>
    <row s="2876" customFormat="1" customHeight="1" ht="14.25">
      <c r="A15" s="339"/>
      <c r="B15" s="1174"/>
      <c r="C15" s="377"/>
      <c r="D15" s="402"/>
      <c r="E15" s="1723"/>
      <c r="F15" s="1724"/>
      <c r="G15" s="1725"/>
      <c r="H15" s="1726"/>
      <c r="J15" s="1670"/>
      <c r="K15" s="1670"/>
    </row>
    <row customHeight="1" ht="21.75">
      <c r="D16" s="1727" t="s">
        <v>606</v>
      </c>
      <c r="E16" s="2305" t="s">
        <v>1692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5CA81-EC5E-DFC7-A34D-D3F5C8051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E8C3-41EA-D981-677F-3E291048547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8" width="9.140625" hidden="1" customWidth="1"/>
    <col min="2" max="2" style="3080" width="9.140625" hidden="1" customWidth="1"/>
    <col min="3" max="3" style="4148" width="4.7109375" customWidth="1"/>
    <col min="4" max="4" style="3080" width="6.28125" customWidth="1"/>
    <col min="5" max="5" style="3080" width="47.8515625" customWidth="1"/>
    <col min="6" max="6" style="3080" width="9.57421875" customWidth="1"/>
    <col min="7" max="7" style="2598" width="25.7109375" hidden="1" customWidth="1"/>
    <col min="8" max="8" style="2598" width="34.00390625" hidden="1" customWidth="1"/>
    <col min="9" max="9" style="3080" width="25.7109375" customWidth="1"/>
    <col min="10" max="10" style="3080" width="34.00390625" customWidth="1"/>
    <col min="11" max="11" style="2599" width="50.8515625" customWidth="1"/>
    <col min="12" max="20" style="3080" width="10.57421875"/>
    <col min="21" max="21" style="411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1693</v>
      </c>
      <c r="E5" s="1997"/>
      <c r="F5" s="1997"/>
      <c r="G5" s="1997"/>
      <c r="H5" s="1997"/>
      <c r="I5" s="1997"/>
      <c r="J5" s="1998"/>
    </row>
    <row customHeight="1" ht="15">
      <c r="C6" s="162"/>
      <c r="D6" s="2053" t="str">
        <f>IF(org=0,"Не определено",org)</f>
        <v>ГУП СК "Ставрополькрайводоканал"</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225</v>
      </c>
      <c r="J8" s="762"/>
      <c r="K8" s="424"/>
      <c r="U8" s="683"/>
    </row>
    <row customHeight="1" ht="15">
      <c r="C9" s="162"/>
      <c r="D9" s="719"/>
      <c r="E9" s="2308" t="s">
        <v>217</v>
      </c>
      <c r="F9" s="2309"/>
      <c r="G9" s="2306" t="str">
        <f>IF(G8="","",INDEX(DIFFERENTIATION_UNMERGE_VD,MATCH(G8,DIFFERENTIATION_ID_DIFF,0)))</f>
        <v/>
      </c>
      <c r="H9" s="2307"/>
      <c r="I9" s="2306" t="str">
        <f>IF(I8="","",INDEX(DIFFERENTIATION_UNMERGE_VD,MATCH(I8,DIFFERENTIATION_ID_DIFF,0)))</f>
        <v>Подключение (технологическое присоединение) к централизованной системе водоснабжения</v>
      </c>
      <c r="J9" s="2307"/>
      <c r="K9" s="2012" t="s">
        <v>390</v>
      </c>
    </row>
    <row s="2598" customFormat="1" customHeight="1" ht="15">
      <c r="A10" s="769"/>
      <c r="C10" s="162"/>
      <c r="D10" s="719"/>
      <c r="E10" s="2308" t="s">
        <v>514</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8" customFormat="1" customHeight="1" ht="15">
      <c r="A11" s="769"/>
      <c r="C11" s="162"/>
      <c r="D11" s="719"/>
      <c r="E11" s="2308" t="s">
        <v>515</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389</v>
      </c>
      <c r="E12" s="2311"/>
      <c r="F12" s="2311"/>
      <c r="G12" s="898"/>
      <c r="H12" s="898"/>
      <c r="I12" s="898"/>
      <c r="J12" s="898"/>
      <c r="K12" s="2036"/>
      <c r="U12" s="683"/>
    </row>
    <row customHeight="1" ht="33.75">
      <c r="C13" s="162"/>
      <c r="D13" s="815" t="s">
        <v>88</v>
      </c>
      <c r="E13" s="817" t="s">
        <v>391</v>
      </c>
      <c r="F13" s="817" t="s">
        <v>1694</v>
      </c>
      <c r="G13" s="818" t="s">
        <v>392</v>
      </c>
      <c r="H13" s="817" t="s">
        <v>481</v>
      </c>
      <c r="I13" s="818" t="s">
        <v>392</v>
      </c>
      <c r="J13" s="817" t="s">
        <v>481</v>
      </c>
      <c r="K13" s="2071"/>
    </row>
    <row customHeight="1" ht="15" hidden="1">
      <c r="C14" s="162"/>
      <c r="D14" s="601" t="s">
        <v>159</v>
      </c>
      <c r="E14" s="601" t="s">
        <v>102</v>
      </c>
      <c r="F14" s="601" t="s">
        <v>90</v>
      </c>
      <c r="G14" s="667" t="str">
        <f>G1&amp;".1"</f>
        <v>4.1</v>
      </c>
      <c r="H14" s="667"/>
      <c r="I14" s="667" t="str">
        <f>I1&amp;".1"</f>
        <v>4.1</v>
      </c>
      <c r="J14" s="667"/>
      <c r="K14" s="277"/>
    </row>
    <row customHeight="1" ht="22.5" hidden="1">
      <c r="A15" s="513"/>
      <c r="C15" s="534"/>
      <c r="D15" s="529">
        <v>1</v>
      </c>
      <c r="E15" s="685" t="s">
        <v>1695</v>
      </c>
      <c r="F15" s="529" t="s">
        <v>1696</v>
      </c>
      <c r="G15" s="686"/>
      <c r="H15" s="686"/>
      <c r="I15" s="686"/>
      <c r="J15" s="686"/>
      <c r="K15" s="277" t="s">
        <v>1697</v>
      </c>
    </row>
    <row customHeight="1" ht="22.5" hidden="1">
      <c r="A16" s="513"/>
      <c r="C16" s="534"/>
      <c r="D16" s="529">
        <v>2</v>
      </c>
      <c r="E16" s="267" t="s">
        <v>1698</v>
      </c>
      <c r="F16" s="529" t="s">
        <v>1699</v>
      </c>
      <c r="G16" s="686"/>
      <c r="H16" s="686"/>
      <c r="I16" s="686"/>
      <c r="J16" s="686"/>
      <c r="K16" s="277" t="s">
        <v>1700</v>
      </c>
    </row>
    <row customHeight="1" ht="123.75" hidden="1">
      <c r="A17" s="513"/>
      <c r="C17" s="534"/>
      <c r="D17" s="529">
        <v>3</v>
      </c>
      <c r="E17" s="267" t="s">
        <v>1701</v>
      </c>
      <c r="F17" s="529" t="s">
        <v>395</v>
      </c>
      <c r="G17" s="686"/>
      <c r="H17" s="686"/>
      <c r="I17" s="686"/>
      <c r="J17" s="686"/>
      <c r="K17" s="277" t="s">
        <v>1702</v>
      </c>
    </row>
    <row customHeight="1" ht="45">
      <c r="A18" s="513"/>
      <c r="C18" s="534"/>
      <c r="D18" s="529">
        <v>4</v>
      </c>
      <c r="E18" s="267" t="s">
        <v>1703</v>
      </c>
      <c r="F18" s="529" t="s">
        <v>395</v>
      </c>
      <c r="G18" s="819" t="s">
        <v>395</v>
      </c>
      <c r="H18" s="820" t="s">
        <v>395</v>
      </c>
      <c r="I18" s="529" t="s">
        <v>395</v>
      </c>
      <c r="J18" s="586" t="s">
        <v>395</v>
      </c>
      <c r="K18" s="277" t="s">
        <v>1704</v>
      </c>
    </row>
    <row customHeight="1" ht="33.75">
      <c r="A19" s="513"/>
      <c r="C19" s="534"/>
      <c r="D19" s="547" t="s">
        <v>1544</v>
      </c>
      <c r="E19" s="567" t="s">
        <v>1705</v>
      </c>
      <c r="F19" s="529" t="s">
        <v>1706</v>
      </c>
      <c r="G19" s="827"/>
      <c r="H19" s="92"/>
      <c r="I19" s="827"/>
      <c r="J19" s="828"/>
      <c r="K19" s="687"/>
    </row>
    <row customHeight="1" ht="33.75">
      <c r="A20" s="513"/>
      <c r="C20" s="534"/>
      <c r="D20" s="547" t="s">
        <v>1561</v>
      </c>
      <c r="E20" s="567" t="s">
        <v>1707</v>
      </c>
      <c r="F20" s="529" t="s">
        <v>1708</v>
      </c>
      <c r="G20" s="827"/>
      <c r="H20" s="92"/>
      <c r="I20" s="827"/>
      <c r="J20" s="92"/>
      <c r="K20" s="687"/>
    </row>
    <row customHeight="1" ht="45">
      <c r="A21" s="513"/>
      <c r="C21" s="534"/>
      <c r="D21" s="547" t="s">
        <v>1709</v>
      </c>
      <c r="E21" s="567" t="s">
        <v>1710</v>
      </c>
      <c r="F21" s="529" t="s">
        <v>1323</v>
      </c>
      <c r="G21" s="688"/>
      <c r="H21" s="92"/>
      <c r="I21" s="688"/>
      <c r="J21" s="92"/>
      <c r="K21" s="687"/>
    </row>
    <row customHeight="1" ht="67.5" hidden="1">
      <c r="A22" s="513"/>
      <c r="C22" s="534"/>
      <c r="D22" s="529">
        <v>5</v>
      </c>
      <c r="E22" s="267" t="s">
        <v>1711</v>
      </c>
      <c r="F22" s="529" t="s">
        <v>1712</v>
      </c>
      <c r="G22" s="689"/>
      <c r="H22" s="690"/>
      <c r="I22" s="689"/>
      <c r="J22" s="690"/>
      <c r="K22" s="277" t="s">
        <v>1713</v>
      </c>
    </row>
    <row customHeight="1" ht="33.75" hidden="1">
      <c r="C23" s="459"/>
      <c r="D23" s="529">
        <v>6</v>
      </c>
      <c r="E23" s="267" t="s">
        <v>1714</v>
      </c>
      <c r="F23" s="529" t="s">
        <v>1715</v>
      </c>
      <c r="G23" s="689"/>
      <c r="H23" s="689"/>
      <c r="I23" s="689"/>
      <c r="J23" s="689"/>
      <c r="K23" s="277" t="s">
        <v>1716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506F-8346-052A-CA8D-05F28B33827F}" mc:Ignorable="x14ac xr xr2 xr3">
  <sheetPr>
    <tabColor theme="2" tint="-0.1"/>
  </sheetPr>
  <dimension ref="A1:R291"/>
  <sheetViews>
    <sheetView topLeftCell="C37" showGridLines="0" zoomScale="90" workbookViewId="0">
      <selection activeCell="H23" sqref="H23"/>
    </sheetView>
  </sheetViews>
  <sheetFormatPr defaultColWidth="10.57421875" customHeight="1" defaultRowHeight="15"/>
  <cols>
    <col min="1" max="1" style="3078" width="9.140625" hidden="1" customWidth="1"/>
    <col min="2" max="2" style="3080" width="9.140625" hidden="1" customWidth="1"/>
    <col min="3" max="3" style="4148" width="4.7109375" customWidth="1"/>
    <col min="4" max="4" style="3080" width="6.28125" customWidth="1"/>
    <col min="5" max="5" style="3080" width="36.7109375" customWidth="1"/>
    <col min="6" max="6" style="3080" width="9.57421875" customWidth="1"/>
    <col min="7" max="7" style="2598" width="42.421875" hidden="1" customWidth="1"/>
    <col min="8" max="8" style="3080" width="40.7109375" customWidth="1"/>
    <col min="9" max="9" style="2599" width="93.421875" customWidth="1"/>
    <col min="10" max="17" style="3080" width="10.57421875"/>
    <col min="18" max="18" style="4118" width="10.57421875"/>
  </cols>
  <sheetData>
    <row s="2599"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ГУП СК "Ставрополькрайводоканал"</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225</v>
      </c>
    </row>
    <row customHeight="1" ht="15">
      <c r="C9" s="162"/>
      <c r="D9" s="719"/>
      <c r="E9" s="2308" t="s">
        <v>217</v>
      </c>
      <c r="F9" s="2309"/>
      <c r="G9" s="826" t="str">
        <f>IF(G8="","",INDEX(DIFFERENTIATION_UNMERGE_VD,MATCH(G8,DIFFERENTIATION_ID_DIFF,0)))</f>
        <v/>
      </c>
      <c r="H9" s="826" t="str">
        <f>IF(H8="","",INDEX(DIFFERENTIATION_UNMERGE_VD,MATCH(H8,DIFFERENTIATION_ID_DIFF,0)))</f>
        <v>Подключение (технологическое присоединение) к централизованной системе водоснабжения</v>
      </c>
      <c r="I9" s="1966" t="s">
        <v>390</v>
      </c>
    </row>
    <row s="2598" customFormat="1" customHeight="1" ht="15">
      <c r="A10" s="769"/>
      <c r="C10" s="162"/>
      <c r="D10" s="719"/>
      <c r="E10" s="2308" t="s">
        <v>514</v>
      </c>
      <c r="F10" s="2309"/>
      <c r="G10" s="826" t="str">
        <f>IF(G8="","",INDEX(DIFFERENTIATION_UNMERGE_AREA,MATCH(G8,DIFFERENTIATION_ID_DIFF,0)))</f>
        <v/>
      </c>
      <c r="H10" s="826" t="str">
        <f>IF(H8="","",INDEX(DIFFERENTIATION_UNMERGE_AREA,MATCH(H8,DIFFERENTIATION_ID_DIFF,0)))</f>
        <v>без дифференциации</v>
      </c>
      <c r="I10" s="1966"/>
      <c r="R10" s="683"/>
    </row>
    <row s="2598" customFormat="1" customHeight="1" ht="15">
      <c r="A11" s="769"/>
      <c r="C11" s="162"/>
      <c r="D11" s="719"/>
      <c r="E11" s="2308" t="s">
        <v>515</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389</v>
      </c>
      <c r="E12" s="2311"/>
      <c r="F12" s="2311"/>
      <c r="G12" s="898"/>
      <c r="H12" s="898"/>
      <c r="I12" s="1966"/>
      <c r="R12" s="683"/>
    </row>
    <row customHeight="1" ht="33.75">
      <c r="C13" s="162"/>
      <c r="D13" s="771" t="s">
        <v>88</v>
      </c>
      <c r="E13" s="770" t="s">
        <v>391</v>
      </c>
      <c r="F13" s="770" t="s">
        <v>1694</v>
      </c>
      <c r="G13" s="818" t="s">
        <v>392</v>
      </c>
      <c r="H13" s="764" t="s">
        <v>392</v>
      </c>
      <c r="I13" s="1966"/>
    </row>
    <row customHeight="1" ht="15" hidden="1">
      <c r="C14" s="162"/>
      <c r="D14" s="601" t="s">
        <v>159</v>
      </c>
      <c r="E14" s="601" t="s">
        <v>102</v>
      </c>
      <c r="F14" s="601" t="s">
        <v>90</v>
      </c>
      <c r="G14" s="667" t="str">
        <f>G1&amp;".1"</f>
        <v>.1</v>
      </c>
      <c r="H14" s="667" t="str">
        <f>H1&amp;".1"</f>
        <v>4.1</v>
      </c>
      <c r="I14" s="277"/>
    </row>
    <row customHeight="1" ht="26.666666666666668">
      <c r="A15" s="513"/>
      <c r="C15" s="534"/>
      <c r="D15" s="529">
        <v>1</v>
      </c>
      <c r="E15" s="685" t="str">
        <f>TP_P_A</f>
        <v>Количество поданных заявлений </v>
      </c>
      <c r="F15" s="529" t="s">
        <v>1717</v>
      </c>
      <c r="G15" s="693"/>
      <c r="H15" s="693">
        <v>1349</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3.333333333333332">
      <c r="A16" s="513"/>
      <c r="C16" s="534"/>
      <c r="D16" s="529">
        <v>2</v>
      </c>
      <c r="E16" s="267" t="str">
        <f>TP_P_B</f>
        <v>Количество исполненных заявлений </v>
      </c>
      <c r="F16" s="529" t="s">
        <v>1717</v>
      </c>
      <c r="G16" s="693"/>
      <c r="H16" s="693">
        <v>1329</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9.166666666666664">
      <c r="A17" s="513"/>
      <c r="C17" s="534"/>
      <c r="D17" s="529">
        <v>3</v>
      </c>
      <c r="E17" s="267" t="str">
        <f>TP_P_V</f>
        <v>Количество заявлений о заключении договоров о подключении (технологическом присоединении)</v>
      </c>
      <c r="F17" s="529" t="s">
        <v>1717</v>
      </c>
      <c r="G17" s="693"/>
      <c r="H17" s="693">
        <v>3</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4.16666666666666">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395</v>
      </c>
      <c r="G18" s="694"/>
      <c r="H18" s="4159" t="s">
        <v>1718</v>
      </c>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33.333333333333336">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SUM(G20:G291)</f>
        <v>0</v>
      </c>
      <c r="H19" s="695">
        <f>SUM(H20:H291)</f>
        <v>387.4911</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1719</v>
      </c>
      <c r="E20" s="696"/>
      <c r="F20" s="517"/>
      <c r="G20" s="517"/>
      <c r="H20" s="517"/>
      <c r="I20" s="1809"/>
    </row>
    <row customHeight="1" ht="27.75">
      <c r="C21" s="459"/>
      <c r="D21" s="547" t="s">
        <v>404</v>
      </c>
      <c r="E21" s="678" t="s">
        <v>1720</v>
      </c>
      <c r="F21" s="1807" t="str">
        <f>IF(TEMPLATE_SPHERE="HEAT","Гкал/час","тыс. куб. м/сутки")</f>
        <v>тыс. куб. м/сутки</v>
      </c>
      <c r="G21" s="688"/>
      <c r="H21" s="688">
        <v>0</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4164" customFormat="1" customHeight="1" ht="75">
      <c r="A22" s="4165"/>
      <c r="B22" s="4166"/>
      <c r="C22" s="4167" t="s">
        <v>103</v>
      </c>
      <c r="D22" s="4168" t="s">
        <v>406</v>
      </c>
      <c r="E22" s="4169" t="s">
        <v>1721</v>
      </c>
      <c r="F22" s="4170" t="str">
        <f>IF(TEMPLATE_SPHERE="HEAT","Гкал/час","тыс. куб. м/сутки")</f>
        <v>тыс. куб. м/сутки</v>
      </c>
      <c r="G22" s="4171"/>
      <c r="H22" s="4171">
        <v>0.0169</v>
      </c>
      <c r="I22" s="4172"/>
      <c r="J22" s="4166"/>
      <c r="K22" s="4166"/>
      <c r="L22" s="4166"/>
      <c r="M22" s="4166"/>
      <c r="N22" s="4166"/>
      <c r="O22" s="4166"/>
      <c r="P22" s="4166"/>
      <c r="Q22" s="4166"/>
      <c r="R22" s="4173"/>
    </row>
    <row s="4174" customFormat="1" customHeight="1" ht="75">
      <c r="A23" s="4165"/>
      <c r="B23" s="4166"/>
      <c r="C23" s="4167" t="s">
        <v>103</v>
      </c>
      <c r="D23" s="4168" t="s">
        <v>409</v>
      </c>
      <c r="E23" s="4169" t="s">
        <v>1722</v>
      </c>
      <c r="F23" s="4170" t="str">
        <f>IF(TEMPLATE_SPHERE="HEAT","Гкал/час","тыс. куб. м/сутки")</f>
        <v>тыс. куб. м/сутки</v>
      </c>
      <c r="G23" s="4171"/>
      <c r="H23" s="4171">
        <v>0.0114</v>
      </c>
      <c r="I23" s="4172"/>
      <c r="J23" s="4166"/>
      <c r="K23" s="4166"/>
      <c r="L23" s="4166"/>
      <c r="M23" s="4166"/>
      <c r="N23" s="4166"/>
      <c r="O23" s="4166"/>
      <c r="P23" s="4166"/>
      <c r="Q23" s="4166"/>
      <c r="R23" s="4173"/>
    </row>
    <row s="4175" customFormat="1" customHeight="1" ht="75">
      <c r="A24" s="4165"/>
      <c r="B24" s="4166"/>
      <c r="C24" s="4167" t="s">
        <v>103</v>
      </c>
      <c r="D24" s="4168" t="s">
        <v>411</v>
      </c>
      <c r="E24" s="4169" t="s">
        <v>1723</v>
      </c>
      <c r="F24" s="4170" t="str">
        <f>IF(TEMPLATE_SPHERE="HEAT","Гкал/час","тыс. куб. м/сутки")</f>
        <v>тыс. куб. м/сутки</v>
      </c>
      <c r="G24" s="4171"/>
      <c r="H24" s="4171">
        <v>0</v>
      </c>
      <c r="I24" s="4172"/>
      <c r="J24" s="4166"/>
      <c r="K24" s="4166"/>
      <c r="L24" s="4166"/>
      <c r="M24" s="4166"/>
      <c r="N24" s="4166"/>
      <c r="O24" s="4166"/>
      <c r="P24" s="4166"/>
      <c r="Q24" s="4166"/>
      <c r="R24" s="4173"/>
    </row>
    <row s="4176" customFormat="1" customHeight="1" ht="75">
      <c r="A25" s="4165"/>
      <c r="B25" s="4166"/>
      <c r="C25" s="4167" t="s">
        <v>103</v>
      </c>
      <c r="D25" s="4168" t="s">
        <v>1724</v>
      </c>
      <c r="E25" s="4169" t="s">
        <v>1725</v>
      </c>
      <c r="F25" s="4170" t="str">
        <f>IF(TEMPLATE_SPHERE="HEAT","Гкал/час","тыс. куб. м/сутки")</f>
        <v>тыс. куб. м/сутки</v>
      </c>
      <c r="G25" s="4171"/>
      <c r="H25" s="4171">
        <v>0</v>
      </c>
      <c r="I25" s="4172"/>
      <c r="J25" s="4166"/>
      <c r="K25" s="4166"/>
      <c r="L25" s="4166"/>
      <c r="M25" s="4166"/>
      <c r="N25" s="4166"/>
      <c r="O25" s="4166"/>
      <c r="P25" s="4166"/>
      <c r="Q25" s="4166"/>
      <c r="R25" s="4173"/>
    </row>
    <row s="4177" customFormat="1" customHeight="1" ht="75">
      <c r="A26" s="4165"/>
      <c r="B26" s="4166"/>
      <c r="C26" s="4167" t="s">
        <v>103</v>
      </c>
      <c r="D26" s="4168" t="s">
        <v>1726</v>
      </c>
      <c r="E26" s="4169" t="s">
        <v>1727</v>
      </c>
      <c r="F26" s="4170" t="str">
        <f>IF(TEMPLATE_SPHERE="HEAT","Гкал/час","тыс. куб. м/сутки")</f>
        <v>тыс. куб. м/сутки</v>
      </c>
      <c r="G26" s="4171"/>
      <c r="H26" s="4171">
        <v>0.4345</v>
      </c>
      <c r="I26" s="4172"/>
      <c r="J26" s="4166"/>
      <c r="K26" s="4166"/>
      <c r="L26" s="4166"/>
      <c r="M26" s="4166"/>
      <c r="N26" s="4166"/>
      <c r="O26" s="4166"/>
      <c r="P26" s="4166"/>
      <c r="Q26" s="4166"/>
      <c r="R26" s="4173"/>
    </row>
    <row s="4178" customFormat="1" customHeight="1" ht="75">
      <c r="A27" s="4165"/>
      <c r="B27" s="4166"/>
      <c r="C27" s="4167" t="s">
        <v>103</v>
      </c>
      <c r="D27" s="4168" t="s">
        <v>1728</v>
      </c>
      <c r="E27" s="4169" t="s">
        <v>1729</v>
      </c>
      <c r="F27" s="4170" t="str">
        <f>IF(TEMPLATE_SPHERE="HEAT","Гкал/час","тыс. куб. м/сутки")</f>
        <v>тыс. куб. м/сутки</v>
      </c>
      <c r="G27" s="4171"/>
      <c r="H27" s="4171">
        <v>0</v>
      </c>
      <c r="I27" s="4172"/>
      <c r="J27" s="4166"/>
      <c r="K27" s="4166"/>
      <c r="L27" s="4166"/>
      <c r="M27" s="4166"/>
      <c r="N27" s="4166"/>
      <c r="O27" s="4166"/>
      <c r="P27" s="4166"/>
      <c r="Q27" s="4166"/>
      <c r="R27" s="4173"/>
    </row>
    <row s="4179" customFormat="1" customHeight="1" ht="75">
      <c r="A28" s="4165"/>
      <c r="B28" s="4166"/>
      <c r="C28" s="4167" t="s">
        <v>103</v>
      </c>
      <c r="D28" s="4168" t="s">
        <v>1730</v>
      </c>
      <c r="E28" s="4169" t="s">
        <v>1731</v>
      </c>
      <c r="F28" s="4170" t="str">
        <f>IF(TEMPLATE_SPHERE="HEAT","Гкал/час","тыс. куб. м/сутки")</f>
        <v>тыс. куб. м/сутки</v>
      </c>
      <c r="G28" s="4171"/>
      <c r="H28" s="4171">
        <v>0</v>
      </c>
      <c r="I28" s="4172"/>
      <c r="J28" s="4166"/>
      <c r="K28" s="4166"/>
      <c r="L28" s="4166"/>
      <c r="M28" s="4166"/>
      <c r="N28" s="4166"/>
      <c r="O28" s="4166"/>
      <c r="P28" s="4166"/>
      <c r="Q28" s="4166"/>
      <c r="R28" s="4173"/>
    </row>
    <row s="4180" customFormat="1" customHeight="1" ht="75">
      <c r="A29" s="4165"/>
      <c r="B29" s="4166"/>
      <c r="C29" s="4167" t="s">
        <v>103</v>
      </c>
      <c r="D29" s="4168" t="s">
        <v>1732</v>
      </c>
      <c r="E29" s="4169" t="s">
        <v>1733</v>
      </c>
      <c r="F29" s="4170" t="str">
        <f>IF(TEMPLATE_SPHERE="HEAT","Гкал/час","тыс. куб. м/сутки")</f>
        <v>тыс. куб. м/сутки</v>
      </c>
      <c r="G29" s="4171"/>
      <c r="H29" s="4171">
        <v>0</v>
      </c>
      <c r="I29" s="4172"/>
      <c r="J29" s="4166"/>
      <c r="K29" s="4166"/>
      <c r="L29" s="4166"/>
      <c r="M29" s="4166"/>
      <c r="N29" s="4166"/>
      <c r="O29" s="4166"/>
      <c r="P29" s="4166"/>
      <c r="Q29" s="4166"/>
      <c r="R29" s="4173"/>
    </row>
    <row s="4181" customFormat="1" customHeight="1" ht="75">
      <c r="A30" s="4165"/>
      <c r="B30" s="4166"/>
      <c r="C30" s="4167" t="s">
        <v>103</v>
      </c>
      <c r="D30" s="4168" t="s">
        <v>1734</v>
      </c>
      <c r="E30" s="4169" t="s">
        <v>1735</v>
      </c>
      <c r="F30" s="4170" t="str">
        <f>IF(TEMPLATE_SPHERE="HEAT","Гкал/час","тыс. куб. м/сутки")</f>
        <v>тыс. куб. м/сутки</v>
      </c>
      <c r="G30" s="4171"/>
      <c r="H30" s="4171">
        <v>0</v>
      </c>
      <c r="I30" s="4172"/>
      <c r="J30" s="4166"/>
      <c r="K30" s="4166"/>
      <c r="L30" s="4166"/>
      <c r="M30" s="4166"/>
      <c r="N30" s="4166"/>
      <c r="O30" s="4166"/>
      <c r="P30" s="4166"/>
      <c r="Q30" s="4166"/>
      <c r="R30" s="4173"/>
    </row>
    <row s="4182" customFormat="1" customHeight="1" ht="75">
      <c r="A31" s="4165"/>
      <c r="B31" s="4166"/>
      <c r="C31" s="4167" t="s">
        <v>103</v>
      </c>
      <c r="D31" s="4168" t="s">
        <v>1736</v>
      </c>
      <c r="E31" s="4169" t="s">
        <v>1737</v>
      </c>
      <c r="F31" s="4170" t="str">
        <f>IF(TEMPLATE_SPHERE="HEAT","Гкал/час","тыс. куб. м/сутки")</f>
        <v>тыс. куб. м/сутки</v>
      </c>
      <c r="G31" s="4171"/>
      <c r="H31" s="4171">
        <v>0</v>
      </c>
      <c r="I31" s="4172"/>
      <c r="J31" s="4166"/>
      <c r="K31" s="4166"/>
      <c r="L31" s="4166"/>
      <c r="M31" s="4166"/>
      <c r="N31" s="4166"/>
      <c r="O31" s="4166"/>
      <c r="P31" s="4166"/>
      <c r="Q31" s="4166"/>
      <c r="R31" s="4173"/>
    </row>
    <row s="4183" customFormat="1" customHeight="1" ht="75">
      <c r="A32" s="4165"/>
      <c r="B32" s="4166"/>
      <c r="C32" s="4167" t="s">
        <v>103</v>
      </c>
      <c r="D32" s="4168" t="s">
        <v>1738</v>
      </c>
      <c r="E32" s="4169" t="s">
        <v>1739</v>
      </c>
      <c r="F32" s="4170" t="str">
        <f>IF(TEMPLATE_SPHERE="HEAT","Гкал/час","тыс. куб. м/сутки")</f>
        <v>тыс. куб. м/сутки</v>
      </c>
      <c r="G32" s="4171"/>
      <c r="H32" s="4171">
        <v>0</v>
      </c>
      <c r="I32" s="4172"/>
      <c r="J32" s="4166"/>
      <c r="K32" s="4166"/>
      <c r="L32" s="4166"/>
      <c r="M32" s="4166"/>
      <c r="N32" s="4166"/>
      <c r="O32" s="4166"/>
      <c r="P32" s="4166"/>
      <c r="Q32" s="4166"/>
      <c r="R32" s="4173"/>
    </row>
    <row s="4184" customFormat="1" customHeight="1" ht="75">
      <c r="A33" s="4165"/>
      <c r="B33" s="4166"/>
      <c r="C33" s="4167" t="s">
        <v>103</v>
      </c>
      <c r="D33" s="4168" t="s">
        <v>1740</v>
      </c>
      <c r="E33" s="4169" t="s">
        <v>1741</v>
      </c>
      <c r="F33" s="4170" t="str">
        <f>IF(TEMPLATE_SPHERE="HEAT","Гкал/час","тыс. куб. м/сутки")</f>
        <v>тыс. куб. м/сутки</v>
      </c>
      <c r="G33" s="4171"/>
      <c r="H33" s="4171">
        <v>5.5191</v>
      </c>
      <c r="I33" s="4172"/>
      <c r="J33" s="4166"/>
      <c r="K33" s="4166"/>
      <c r="L33" s="4166"/>
      <c r="M33" s="4166"/>
      <c r="N33" s="4166"/>
      <c r="O33" s="4166"/>
      <c r="P33" s="4166"/>
      <c r="Q33" s="4166"/>
      <c r="R33" s="4173"/>
    </row>
    <row s="4185" customFormat="1" customHeight="1" ht="75">
      <c r="A34" s="4165"/>
      <c r="B34" s="4166"/>
      <c r="C34" s="4167" t="s">
        <v>103</v>
      </c>
      <c r="D34" s="4168" t="s">
        <v>1742</v>
      </c>
      <c r="E34" s="4169" t="s">
        <v>1743</v>
      </c>
      <c r="F34" s="4170" t="str">
        <f>IF(TEMPLATE_SPHERE="HEAT","Гкал/час","тыс. куб. м/сутки")</f>
        <v>тыс. куб. м/сутки</v>
      </c>
      <c r="G34" s="4171"/>
      <c r="H34" s="4171">
        <v>0</v>
      </c>
      <c r="I34" s="4172"/>
      <c r="J34" s="4166"/>
      <c r="K34" s="4166"/>
      <c r="L34" s="4166"/>
      <c r="M34" s="4166"/>
      <c r="N34" s="4166"/>
      <c r="O34" s="4166"/>
      <c r="P34" s="4166"/>
      <c r="Q34" s="4166"/>
      <c r="R34" s="4173"/>
    </row>
    <row s="4186" customFormat="1" customHeight="1" ht="75">
      <c r="A35" s="4165"/>
      <c r="B35" s="4166"/>
      <c r="C35" s="4167" t="s">
        <v>103</v>
      </c>
      <c r="D35" s="4168" t="s">
        <v>1744</v>
      </c>
      <c r="E35" s="4169" t="s">
        <v>1745</v>
      </c>
      <c r="F35" s="4170" t="str">
        <f>IF(TEMPLATE_SPHERE="HEAT","Гкал/час","тыс. куб. м/сутки")</f>
        <v>тыс. куб. м/сутки</v>
      </c>
      <c r="G35" s="4171"/>
      <c r="H35" s="4171">
        <v>0</v>
      </c>
      <c r="I35" s="4172"/>
      <c r="J35" s="4166"/>
      <c r="K35" s="4166"/>
      <c r="L35" s="4166"/>
      <c r="M35" s="4166"/>
      <c r="N35" s="4166"/>
      <c r="O35" s="4166"/>
      <c r="P35" s="4166"/>
      <c r="Q35" s="4166"/>
      <c r="R35" s="4173"/>
    </row>
    <row s="4187" customFormat="1" customHeight="1" ht="75">
      <c r="A36" s="4165"/>
      <c r="B36" s="4166"/>
      <c r="C36" s="4167" t="s">
        <v>103</v>
      </c>
      <c r="D36" s="4168" t="s">
        <v>1746</v>
      </c>
      <c r="E36" s="4169" t="s">
        <v>1747</v>
      </c>
      <c r="F36" s="4170" t="str">
        <f>IF(TEMPLATE_SPHERE="HEAT","Гкал/час","тыс. куб. м/сутки")</f>
        <v>тыс. куб. м/сутки</v>
      </c>
      <c r="G36" s="4171"/>
      <c r="H36" s="4171">
        <v>0</v>
      </c>
      <c r="I36" s="4172"/>
      <c r="J36" s="4166"/>
      <c r="K36" s="4166"/>
      <c r="L36" s="4166"/>
      <c r="M36" s="4166"/>
      <c r="N36" s="4166"/>
      <c r="O36" s="4166"/>
      <c r="P36" s="4166"/>
      <c r="Q36" s="4166"/>
      <c r="R36" s="4173"/>
    </row>
    <row s="4188" customFormat="1" customHeight="1" ht="75">
      <c r="A37" s="4165"/>
      <c r="B37" s="4166"/>
      <c r="C37" s="4167" t="s">
        <v>103</v>
      </c>
      <c r="D37" s="4168" t="s">
        <v>1748</v>
      </c>
      <c r="E37" s="4169" t="s">
        <v>1749</v>
      </c>
      <c r="F37" s="4170" t="str">
        <f>IF(TEMPLATE_SPHERE="HEAT","Гкал/час","тыс. куб. м/сутки")</f>
        <v>тыс. куб. м/сутки</v>
      </c>
      <c r="G37" s="4171"/>
      <c r="H37" s="4171">
        <v>0</v>
      </c>
      <c r="I37" s="4172"/>
      <c r="J37" s="4166"/>
      <c r="K37" s="4166"/>
      <c r="L37" s="4166"/>
      <c r="M37" s="4166"/>
      <c r="N37" s="4166"/>
      <c r="O37" s="4166"/>
      <c r="P37" s="4166"/>
      <c r="Q37" s="4166"/>
      <c r="R37" s="4173"/>
    </row>
    <row s="4189" customFormat="1" customHeight="1" ht="75">
      <c r="A38" s="4165"/>
      <c r="B38" s="4166"/>
      <c r="C38" s="4167" t="s">
        <v>103</v>
      </c>
      <c r="D38" s="4168" t="s">
        <v>1750</v>
      </c>
      <c r="E38" s="4169" t="s">
        <v>1751</v>
      </c>
      <c r="F38" s="4170" t="str">
        <f>IF(TEMPLATE_SPHERE="HEAT","Гкал/час","тыс. куб. м/сутки")</f>
        <v>тыс. куб. м/сутки</v>
      </c>
      <c r="G38" s="4171"/>
      <c r="H38" s="4171">
        <v>0</v>
      </c>
      <c r="I38" s="4172"/>
      <c r="J38" s="4166"/>
      <c r="K38" s="4166"/>
      <c r="L38" s="4166"/>
      <c r="M38" s="4166"/>
      <c r="N38" s="4166"/>
      <c r="O38" s="4166"/>
      <c r="P38" s="4166"/>
      <c r="Q38" s="4166"/>
      <c r="R38" s="4173"/>
    </row>
    <row s="4190" customFormat="1" customHeight="1" ht="75">
      <c r="A39" s="4165"/>
      <c r="B39" s="4166"/>
      <c r="C39" s="4167" t="s">
        <v>103</v>
      </c>
      <c r="D39" s="4168" t="s">
        <v>1752</v>
      </c>
      <c r="E39" s="4169" t="s">
        <v>1753</v>
      </c>
      <c r="F39" s="4170" t="str">
        <f>IF(TEMPLATE_SPHERE="HEAT","Гкал/час","тыс. куб. м/сутки")</f>
        <v>тыс. куб. м/сутки</v>
      </c>
      <c r="G39" s="4171"/>
      <c r="H39" s="4171">
        <v>3.2411</v>
      </c>
      <c r="I39" s="4172"/>
      <c r="J39" s="4166"/>
      <c r="K39" s="4166"/>
      <c r="L39" s="4166"/>
      <c r="M39" s="4166"/>
      <c r="N39" s="4166"/>
      <c r="O39" s="4166"/>
      <c r="P39" s="4166"/>
      <c r="Q39" s="4166"/>
      <c r="R39" s="4173"/>
    </row>
    <row s="4191" customFormat="1" customHeight="1" ht="75">
      <c r="A40" s="4165"/>
      <c r="B40" s="4166"/>
      <c r="C40" s="4167" t="s">
        <v>103</v>
      </c>
      <c r="D40" s="4168" t="s">
        <v>1754</v>
      </c>
      <c r="E40" s="4169" t="s">
        <v>1755</v>
      </c>
      <c r="F40" s="4170" t="str">
        <f>IF(TEMPLATE_SPHERE="HEAT","Гкал/час","тыс. куб. м/сутки")</f>
        <v>тыс. куб. м/сутки</v>
      </c>
      <c r="G40" s="4171"/>
      <c r="H40" s="4171">
        <v>0.3679</v>
      </c>
      <c r="I40" s="4172"/>
      <c r="J40" s="4166"/>
      <c r="K40" s="4166"/>
      <c r="L40" s="4166"/>
      <c r="M40" s="4166"/>
      <c r="N40" s="4166"/>
      <c r="O40" s="4166"/>
      <c r="P40" s="4166"/>
      <c r="Q40" s="4166"/>
      <c r="R40" s="4173"/>
    </row>
    <row s="4192" customFormat="1" customHeight="1" ht="75">
      <c r="A41" s="4165"/>
      <c r="B41" s="4166"/>
      <c r="C41" s="4167" t="s">
        <v>103</v>
      </c>
      <c r="D41" s="4168" t="s">
        <v>1756</v>
      </c>
      <c r="E41" s="4169" t="s">
        <v>1757</v>
      </c>
      <c r="F41" s="4170" t="str">
        <f>IF(TEMPLATE_SPHERE="HEAT","Гкал/час","тыс. куб. м/сутки")</f>
        <v>тыс. куб. м/сутки</v>
      </c>
      <c r="G41" s="4171"/>
      <c r="H41" s="4171">
        <v>0.2717</v>
      </c>
      <c r="I41" s="4172"/>
      <c r="J41" s="4166"/>
      <c r="K41" s="4166"/>
      <c r="L41" s="4166"/>
      <c r="M41" s="4166"/>
      <c r="N41" s="4166"/>
      <c r="O41" s="4166"/>
      <c r="P41" s="4166"/>
      <c r="Q41" s="4166"/>
      <c r="R41" s="4173"/>
    </row>
    <row s="4193" customFormat="1" customHeight="1" ht="75">
      <c r="A42" s="4165"/>
      <c r="B42" s="4166"/>
      <c r="C42" s="4167" t="s">
        <v>103</v>
      </c>
      <c r="D42" s="4168" t="s">
        <v>1758</v>
      </c>
      <c r="E42" s="4169" t="s">
        <v>1759</v>
      </c>
      <c r="F42" s="4170" t="str">
        <f>IF(TEMPLATE_SPHERE="HEAT","Гкал/час","тыс. куб. м/сутки")</f>
        <v>тыс. куб. м/сутки</v>
      </c>
      <c r="G42" s="4171"/>
      <c r="H42" s="4171">
        <v>0.27</v>
      </c>
      <c r="I42" s="4172"/>
      <c r="J42" s="4166"/>
      <c r="K42" s="4166"/>
      <c r="L42" s="4166"/>
      <c r="M42" s="4166"/>
      <c r="N42" s="4166"/>
      <c r="O42" s="4166"/>
      <c r="P42" s="4166"/>
      <c r="Q42" s="4166"/>
      <c r="R42" s="4173"/>
    </row>
    <row s="4194" customFormat="1" customHeight="1" ht="75">
      <c r="A43" s="4165"/>
      <c r="B43" s="4166"/>
      <c r="C43" s="4167" t="s">
        <v>103</v>
      </c>
      <c r="D43" s="4168" t="s">
        <v>1760</v>
      </c>
      <c r="E43" s="4169" t="s">
        <v>1761</v>
      </c>
      <c r="F43" s="4170" t="str">
        <f>IF(TEMPLATE_SPHERE="HEAT","Гкал/час","тыс. куб. м/сутки")</f>
        <v>тыс. куб. м/сутки</v>
      </c>
      <c r="G43" s="4171"/>
      <c r="H43" s="4171">
        <v>0.2034</v>
      </c>
      <c r="I43" s="4172"/>
      <c r="J43" s="4166"/>
      <c r="K43" s="4166"/>
      <c r="L43" s="4166"/>
      <c r="M43" s="4166"/>
      <c r="N43" s="4166"/>
      <c r="O43" s="4166"/>
      <c r="P43" s="4166"/>
      <c r="Q43" s="4166"/>
      <c r="R43" s="4173"/>
    </row>
    <row s="4195" customFormat="1" customHeight="1" ht="75">
      <c r="A44" s="4165"/>
      <c r="B44" s="4166"/>
      <c r="C44" s="4167" t="s">
        <v>103</v>
      </c>
      <c r="D44" s="4168" t="s">
        <v>1762</v>
      </c>
      <c r="E44" s="4169" t="s">
        <v>1763</v>
      </c>
      <c r="F44" s="4170" t="str">
        <f>IF(TEMPLATE_SPHERE="HEAT","Гкал/час","тыс. куб. м/сутки")</f>
        <v>тыс. куб. м/сутки</v>
      </c>
      <c r="G44" s="4171"/>
      <c r="H44" s="4171">
        <v>7.9654</v>
      </c>
      <c r="I44" s="4172"/>
      <c r="J44" s="4166"/>
      <c r="K44" s="4166"/>
      <c r="L44" s="4166"/>
      <c r="M44" s="4166"/>
      <c r="N44" s="4166"/>
      <c r="O44" s="4166"/>
      <c r="P44" s="4166"/>
      <c r="Q44" s="4166"/>
      <c r="R44" s="4173"/>
    </row>
    <row s="4196" customFormat="1" customHeight="1" ht="75">
      <c r="A45" s="4165"/>
      <c r="B45" s="4166"/>
      <c r="C45" s="4167" t="s">
        <v>103</v>
      </c>
      <c r="D45" s="4168" t="s">
        <v>1764</v>
      </c>
      <c r="E45" s="4169" t="s">
        <v>1765</v>
      </c>
      <c r="F45" s="4170" t="str">
        <f>IF(TEMPLATE_SPHERE="HEAT","Гкал/час","тыс. куб. м/сутки")</f>
        <v>тыс. куб. м/сутки</v>
      </c>
      <c r="G45" s="4171"/>
      <c r="H45" s="4171">
        <v>1.0269</v>
      </c>
      <c r="I45" s="4172"/>
      <c r="J45" s="4166"/>
      <c r="K45" s="4166"/>
      <c r="L45" s="4166"/>
      <c r="M45" s="4166"/>
      <c r="N45" s="4166"/>
      <c r="O45" s="4166"/>
      <c r="P45" s="4166"/>
      <c r="Q45" s="4166"/>
      <c r="R45" s="4173"/>
    </row>
    <row s="4197" customFormat="1" customHeight="1" ht="75">
      <c r="A46" s="4165"/>
      <c r="B46" s="4166"/>
      <c r="C46" s="4167" t="s">
        <v>103</v>
      </c>
      <c r="D46" s="4168" t="s">
        <v>1766</v>
      </c>
      <c r="E46" s="4169" t="s">
        <v>1767</v>
      </c>
      <c r="F46" s="4170" t="str">
        <f>IF(TEMPLATE_SPHERE="HEAT","Гкал/час","тыс. куб. м/сутки")</f>
        <v>тыс. куб. м/сутки</v>
      </c>
      <c r="G46" s="4171"/>
      <c r="H46" s="4171">
        <v>0.3959</v>
      </c>
      <c r="I46" s="4172"/>
      <c r="J46" s="4166"/>
      <c r="K46" s="4166"/>
      <c r="L46" s="4166"/>
      <c r="M46" s="4166"/>
      <c r="N46" s="4166"/>
      <c r="O46" s="4166"/>
      <c r="P46" s="4166"/>
      <c r="Q46" s="4166"/>
      <c r="R46" s="4173"/>
    </row>
    <row s="4198" customFormat="1" customHeight="1" ht="75">
      <c r="A47" s="4165"/>
      <c r="B47" s="4166"/>
      <c r="C47" s="4167" t="s">
        <v>103</v>
      </c>
      <c r="D47" s="4168" t="s">
        <v>1768</v>
      </c>
      <c r="E47" s="4169" t="s">
        <v>1769</v>
      </c>
      <c r="F47" s="4170" t="str">
        <f>IF(TEMPLATE_SPHERE="HEAT","Гкал/час","тыс. куб. м/сутки")</f>
        <v>тыс. куб. м/сутки</v>
      </c>
      <c r="G47" s="4171"/>
      <c r="H47" s="4171">
        <v>1.4121</v>
      </c>
      <c r="I47" s="4172"/>
      <c r="J47" s="4166"/>
      <c r="K47" s="4166"/>
      <c r="L47" s="4166"/>
      <c r="M47" s="4166"/>
      <c r="N47" s="4166"/>
      <c r="O47" s="4166"/>
      <c r="P47" s="4166"/>
      <c r="Q47" s="4166"/>
      <c r="R47" s="4173"/>
    </row>
    <row s="4199" customFormat="1" customHeight="1" ht="75">
      <c r="A48" s="4165"/>
      <c r="B48" s="4166"/>
      <c r="C48" s="4167" t="s">
        <v>103</v>
      </c>
      <c r="D48" s="4168" t="s">
        <v>1770</v>
      </c>
      <c r="E48" s="4169" t="s">
        <v>1771</v>
      </c>
      <c r="F48" s="4170" t="str">
        <f>IF(TEMPLATE_SPHERE="HEAT","Гкал/час","тыс. куб. м/сутки")</f>
        <v>тыс. куб. м/сутки</v>
      </c>
      <c r="G48" s="4171"/>
      <c r="H48" s="4171">
        <v>0.4492</v>
      </c>
      <c r="I48" s="4172"/>
      <c r="J48" s="4166"/>
      <c r="K48" s="4166"/>
      <c r="L48" s="4166"/>
      <c r="M48" s="4166"/>
      <c r="N48" s="4166"/>
      <c r="O48" s="4166"/>
      <c r="P48" s="4166"/>
      <c r="Q48" s="4166"/>
      <c r="R48" s="4173"/>
    </row>
    <row s="4200" customFormat="1" customHeight="1" ht="75">
      <c r="A49" s="4165"/>
      <c r="B49" s="4166"/>
      <c r="C49" s="4167" t="s">
        <v>103</v>
      </c>
      <c r="D49" s="4168" t="s">
        <v>1772</v>
      </c>
      <c r="E49" s="4169" t="s">
        <v>1773</v>
      </c>
      <c r="F49" s="4170" t="str">
        <f>IF(TEMPLATE_SPHERE="HEAT","Гкал/час","тыс. куб. м/сутки")</f>
        <v>тыс. куб. м/сутки</v>
      </c>
      <c r="G49" s="4171"/>
      <c r="H49" s="4171">
        <v>3.0721</v>
      </c>
      <c r="I49" s="4172"/>
      <c r="J49" s="4166"/>
      <c r="K49" s="4166"/>
      <c r="L49" s="4166"/>
      <c r="M49" s="4166"/>
      <c r="N49" s="4166"/>
      <c r="O49" s="4166"/>
      <c r="P49" s="4166"/>
      <c r="Q49" s="4166"/>
      <c r="R49" s="4173"/>
    </row>
    <row s="4201" customFormat="1" customHeight="1" ht="75">
      <c r="A50" s="4165"/>
      <c r="B50" s="4166"/>
      <c r="C50" s="4167" t="s">
        <v>103</v>
      </c>
      <c r="D50" s="4168" t="s">
        <v>1774</v>
      </c>
      <c r="E50" s="4169" t="s">
        <v>1775</v>
      </c>
      <c r="F50" s="4170" t="str">
        <f>IF(TEMPLATE_SPHERE="HEAT","Гкал/час","тыс. куб. м/сутки")</f>
        <v>тыс. куб. м/сутки</v>
      </c>
      <c r="G50" s="4171"/>
      <c r="H50" s="4171">
        <v>0.535</v>
      </c>
      <c r="I50" s="4172"/>
      <c r="J50" s="4166"/>
      <c r="K50" s="4166"/>
      <c r="L50" s="4166"/>
      <c r="M50" s="4166"/>
      <c r="N50" s="4166"/>
      <c r="O50" s="4166"/>
      <c r="P50" s="4166"/>
      <c r="Q50" s="4166"/>
      <c r="R50" s="4173"/>
    </row>
    <row s="4202" customFormat="1" customHeight="1" ht="75">
      <c r="A51" s="4165"/>
      <c r="B51" s="4166"/>
      <c r="C51" s="4167" t="s">
        <v>103</v>
      </c>
      <c r="D51" s="4168" t="s">
        <v>1776</v>
      </c>
      <c r="E51" s="4169" t="s">
        <v>1777</v>
      </c>
      <c r="F51" s="4170" t="str">
        <f>IF(TEMPLATE_SPHERE="HEAT","Гкал/час","тыс. куб. м/сутки")</f>
        <v>тыс. куб. м/сутки</v>
      </c>
      <c r="G51" s="4171"/>
      <c r="H51" s="4171">
        <v>1.1266</v>
      </c>
      <c r="I51" s="4172"/>
      <c r="J51" s="4166"/>
      <c r="K51" s="4166"/>
      <c r="L51" s="4166"/>
      <c r="M51" s="4166"/>
      <c r="N51" s="4166"/>
      <c r="O51" s="4166"/>
      <c r="P51" s="4166"/>
      <c r="Q51" s="4166"/>
      <c r="R51" s="4173"/>
    </row>
    <row s="4203" customFormat="1" customHeight="1" ht="75">
      <c r="A52" s="4165"/>
      <c r="B52" s="4166"/>
      <c r="C52" s="4167" t="s">
        <v>103</v>
      </c>
      <c r="D52" s="4168" t="s">
        <v>1778</v>
      </c>
      <c r="E52" s="4169" t="s">
        <v>1779</v>
      </c>
      <c r="F52" s="4170" t="str">
        <f>IF(TEMPLATE_SPHERE="HEAT","Гкал/час","тыс. куб. м/сутки")</f>
        <v>тыс. куб. м/сутки</v>
      </c>
      <c r="G52" s="4171"/>
      <c r="H52" s="4171">
        <v>1.4596</v>
      </c>
      <c r="I52" s="4172"/>
      <c r="J52" s="4166"/>
      <c r="K52" s="4166"/>
      <c r="L52" s="4166"/>
      <c r="M52" s="4166"/>
      <c r="N52" s="4166"/>
      <c r="O52" s="4166"/>
      <c r="P52" s="4166"/>
      <c r="Q52" s="4166"/>
      <c r="R52" s="4173"/>
    </row>
    <row s="4204" customFormat="1" customHeight="1" ht="75">
      <c r="A53" s="4165"/>
      <c r="B53" s="4166"/>
      <c r="C53" s="4167" t="s">
        <v>103</v>
      </c>
      <c r="D53" s="4168" t="s">
        <v>1780</v>
      </c>
      <c r="E53" s="4169" t="s">
        <v>1781</v>
      </c>
      <c r="F53" s="4170" t="str">
        <f>IF(TEMPLATE_SPHERE="HEAT","Гкал/час","тыс. куб. м/сутки")</f>
        <v>тыс. куб. м/сутки</v>
      </c>
      <c r="G53" s="4171"/>
      <c r="H53" s="4171">
        <v>0.9405</v>
      </c>
      <c r="I53" s="4172"/>
      <c r="J53" s="4166"/>
      <c r="K53" s="4166"/>
      <c r="L53" s="4166"/>
      <c r="M53" s="4166"/>
      <c r="N53" s="4166"/>
      <c r="O53" s="4166"/>
      <c r="P53" s="4166"/>
      <c r="Q53" s="4166"/>
      <c r="R53" s="4173"/>
    </row>
    <row s="4205" customFormat="1" customHeight="1" ht="75">
      <c r="A54" s="4165"/>
      <c r="B54" s="4166"/>
      <c r="C54" s="4167" t="s">
        <v>103</v>
      </c>
      <c r="D54" s="4168" t="s">
        <v>1782</v>
      </c>
      <c r="E54" s="4169" t="s">
        <v>1783</v>
      </c>
      <c r="F54" s="4170" t="str">
        <f>IF(TEMPLATE_SPHERE="HEAT","Гкал/час","тыс. куб. м/сутки")</f>
        <v>тыс. куб. м/сутки</v>
      </c>
      <c r="G54" s="4171"/>
      <c r="H54" s="4171">
        <v>0.5058</v>
      </c>
      <c r="I54" s="4172"/>
      <c r="J54" s="4166"/>
      <c r="K54" s="4166"/>
      <c r="L54" s="4166"/>
      <c r="M54" s="4166"/>
      <c r="N54" s="4166"/>
      <c r="O54" s="4166"/>
      <c r="P54" s="4166"/>
      <c r="Q54" s="4166"/>
      <c r="R54" s="4173"/>
    </row>
    <row s="4206" customFormat="1" customHeight="1" ht="75">
      <c r="A55" s="4165"/>
      <c r="B55" s="4166"/>
      <c r="C55" s="4167" t="s">
        <v>103</v>
      </c>
      <c r="D55" s="4168" t="s">
        <v>1784</v>
      </c>
      <c r="E55" s="4169" t="s">
        <v>1785</v>
      </c>
      <c r="F55" s="4170" t="str">
        <f>IF(TEMPLATE_SPHERE="HEAT","Гкал/час","тыс. куб. м/сутки")</f>
        <v>тыс. куб. м/сутки</v>
      </c>
      <c r="G55" s="4171"/>
      <c r="H55" s="4171">
        <v>0.3027</v>
      </c>
      <c r="I55" s="4172"/>
      <c r="J55" s="4166"/>
      <c r="K55" s="4166"/>
      <c r="L55" s="4166"/>
      <c r="M55" s="4166"/>
      <c r="N55" s="4166"/>
      <c r="O55" s="4166"/>
      <c r="P55" s="4166"/>
      <c r="Q55" s="4166"/>
      <c r="R55" s="4173"/>
    </row>
    <row s="4207" customFormat="1" customHeight="1" ht="75">
      <c r="A56" s="4165"/>
      <c r="B56" s="4166"/>
      <c r="C56" s="4167" t="s">
        <v>103</v>
      </c>
      <c r="D56" s="4168" t="s">
        <v>1786</v>
      </c>
      <c r="E56" s="4169" t="s">
        <v>1787</v>
      </c>
      <c r="F56" s="4170" t="str">
        <f>IF(TEMPLATE_SPHERE="HEAT","Гкал/час","тыс. куб. м/сутки")</f>
        <v>тыс. куб. м/сутки</v>
      </c>
      <c r="G56" s="4171"/>
      <c r="H56" s="4171">
        <v>0.8075</v>
      </c>
      <c r="I56" s="4172"/>
      <c r="J56" s="4166"/>
      <c r="K56" s="4166"/>
      <c r="L56" s="4166"/>
      <c r="M56" s="4166"/>
      <c r="N56" s="4166"/>
      <c r="O56" s="4166"/>
      <c r="P56" s="4166"/>
      <c r="Q56" s="4166"/>
      <c r="R56" s="4173"/>
    </row>
    <row s="4208" customFormat="1" customHeight="1" ht="75">
      <c r="A57" s="4165"/>
      <c r="B57" s="4166"/>
      <c r="C57" s="4167" t="s">
        <v>103</v>
      </c>
      <c r="D57" s="4168" t="s">
        <v>1788</v>
      </c>
      <c r="E57" s="4169" t="s">
        <v>1789</v>
      </c>
      <c r="F57" s="4170" t="str">
        <f>IF(TEMPLATE_SPHERE="HEAT","Гкал/час","тыс. куб. м/сутки")</f>
        <v>тыс. куб. м/сутки</v>
      </c>
      <c r="G57" s="4171"/>
      <c r="H57" s="4171">
        <v>0.179</v>
      </c>
      <c r="I57" s="4172"/>
      <c r="J57" s="4166"/>
      <c r="K57" s="4166"/>
      <c r="L57" s="4166"/>
      <c r="M57" s="4166"/>
      <c r="N57" s="4166"/>
      <c r="O57" s="4166"/>
      <c r="P57" s="4166"/>
      <c r="Q57" s="4166"/>
      <c r="R57" s="4173"/>
    </row>
    <row s="4209" customFormat="1" customHeight="1" ht="75">
      <c r="A58" s="4165"/>
      <c r="B58" s="4166"/>
      <c r="C58" s="4167" t="s">
        <v>103</v>
      </c>
      <c r="D58" s="4168" t="s">
        <v>1790</v>
      </c>
      <c r="E58" s="4169" t="s">
        <v>1791</v>
      </c>
      <c r="F58" s="4170" t="str">
        <f>IF(TEMPLATE_SPHERE="HEAT","Гкал/час","тыс. куб. м/сутки")</f>
        <v>тыс. куб. м/сутки</v>
      </c>
      <c r="G58" s="4171"/>
      <c r="H58" s="4171">
        <v>0.2933</v>
      </c>
      <c r="I58" s="4172"/>
      <c r="J58" s="4166"/>
      <c r="K58" s="4166"/>
      <c r="L58" s="4166"/>
      <c r="M58" s="4166"/>
      <c r="N58" s="4166"/>
      <c r="O58" s="4166"/>
      <c r="P58" s="4166"/>
      <c r="Q58" s="4166"/>
      <c r="R58" s="4173"/>
    </row>
    <row s="4210" customFormat="1" customHeight="1" ht="75">
      <c r="A59" s="4165"/>
      <c r="B59" s="4166"/>
      <c r="C59" s="4167" t="s">
        <v>103</v>
      </c>
      <c r="D59" s="4168" t="s">
        <v>1792</v>
      </c>
      <c r="E59" s="4169" t="s">
        <v>1793</v>
      </c>
      <c r="F59" s="4170" t="str">
        <f>IF(TEMPLATE_SPHERE="HEAT","Гкал/час","тыс. куб. м/сутки")</f>
        <v>тыс. куб. м/сутки</v>
      </c>
      <c r="G59" s="4171"/>
      <c r="H59" s="4171">
        <v>0.2761</v>
      </c>
      <c r="I59" s="4172"/>
      <c r="J59" s="4166"/>
      <c r="K59" s="4166"/>
      <c r="L59" s="4166"/>
      <c r="M59" s="4166"/>
      <c r="N59" s="4166"/>
      <c r="O59" s="4166"/>
      <c r="P59" s="4166"/>
      <c r="Q59" s="4166"/>
      <c r="R59" s="4173"/>
    </row>
    <row s="4211" customFormat="1" customHeight="1" ht="75">
      <c r="A60" s="4165"/>
      <c r="B60" s="4166"/>
      <c r="C60" s="4167" t="s">
        <v>103</v>
      </c>
      <c r="D60" s="4168" t="s">
        <v>1794</v>
      </c>
      <c r="E60" s="4169" t="s">
        <v>1795</v>
      </c>
      <c r="F60" s="4170" t="str">
        <f>IF(TEMPLATE_SPHERE="HEAT","Гкал/час","тыс. куб. м/сутки")</f>
        <v>тыс. куб. м/сутки</v>
      </c>
      <c r="G60" s="4171"/>
      <c r="H60" s="4171">
        <v>0.1523</v>
      </c>
      <c r="I60" s="4172"/>
      <c r="J60" s="4166"/>
      <c r="K60" s="4166"/>
      <c r="L60" s="4166"/>
      <c r="M60" s="4166"/>
      <c r="N60" s="4166"/>
      <c r="O60" s="4166"/>
      <c r="P60" s="4166"/>
      <c r="Q60" s="4166"/>
      <c r="R60" s="4173"/>
    </row>
    <row s="4212" customFormat="1" customHeight="1" ht="75">
      <c r="A61" s="4165"/>
      <c r="B61" s="4166"/>
      <c r="C61" s="4167" t="s">
        <v>103</v>
      </c>
      <c r="D61" s="4168" t="s">
        <v>1796</v>
      </c>
      <c r="E61" s="4169" t="s">
        <v>1797</v>
      </c>
      <c r="F61" s="4170" t="str">
        <f>IF(TEMPLATE_SPHERE="HEAT","Гкал/час","тыс. куб. м/сутки")</f>
        <v>тыс. куб. м/сутки</v>
      </c>
      <c r="G61" s="4171"/>
      <c r="H61" s="4171">
        <v>0.447</v>
      </c>
      <c r="I61" s="4172"/>
      <c r="J61" s="4166"/>
      <c r="K61" s="4166"/>
      <c r="L61" s="4166"/>
      <c r="M61" s="4166"/>
      <c r="N61" s="4166"/>
      <c r="O61" s="4166"/>
      <c r="P61" s="4166"/>
      <c r="Q61" s="4166"/>
      <c r="R61" s="4173"/>
    </row>
    <row s="4213" customFormat="1" customHeight="1" ht="75">
      <c r="A62" s="4165"/>
      <c r="B62" s="4166"/>
      <c r="C62" s="4167" t="s">
        <v>103</v>
      </c>
      <c r="D62" s="4168" t="s">
        <v>1798</v>
      </c>
      <c r="E62" s="4169" t="s">
        <v>1799</v>
      </c>
      <c r="F62" s="4170" t="str">
        <f>IF(TEMPLATE_SPHERE="HEAT","Гкал/час","тыс. куб. м/сутки")</f>
        <v>тыс. куб. м/сутки</v>
      </c>
      <c r="G62" s="4171"/>
      <c r="H62" s="4171">
        <v>0.3946</v>
      </c>
      <c r="I62" s="4172"/>
      <c r="J62" s="4166"/>
      <c r="K62" s="4166"/>
      <c r="L62" s="4166"/>
      <c r="M62" s="4166"/>
      <c r="N62" s="4166"/>
      <c r="O62" s="4166"/>
      <c r="P62" s="4166"/>
      <c r="Q62" s="4166"/>
      <c r="R62" s="4173"/>
    </row>
    <row s="4214" customFormat="1" customHeight="1" ht="75">
      <c r="A63" s="4165"/>
      <c r="B63" s="4166"/>
      <c r="C63" s="4167" t="s">
        <v>103</v>
      </c>
      <c r="D63" s="4168" t="s">
        <v>1800</v>
      </c>
      <c r="E63" s="4169" t="s">
        <v>1801</v>
      </c>
      <c r="F63" s="4170" t="str">
        <f>IF(TEMPLATE_SPHERE="HEAT","Гкал/час","тыс. куб. м/сутки")</f>
        <v>тыс. куб. м/сутки</v>
      </c>
      <c r="G63" s="4171"/>
      <c r="H63" s="4171">
        <v>0.7948</v>
      </c>
      <c r="I63" s="4172"/>
      <c r="J63" s="4166"/>
      <c r="K63" s="4166"/>
      <c r="L63" s="4166"/>
      <c r="M63" s="4166"/>
      <c r="N63" s="4166"/>
      <c r="O63" s="4166"/>
      <c r="P63" s="4166"/>
      <c r="Q63" s="4166"/>
      <c r="R63" s="4173"/>
    </row>
    <row s="4215" customFormat="1" customHeight="1" ht="75">
      <c r="A64" s="4165"/>
      <c r="B64" s="4166"/>
      <c r="C64" s="4167" t="s">
        <v>103</v>
      </c>
      <c r="D64" s="4168" t="s">
        <v>1802</v>
      </c>
      <c r="E64" s="4169" t="s">
        <v>1803</v>
      </c>
      <c r="F64" s="4170" t="str">
        <f>IF(TEMPLATE_SPHERE="HEAT","Гкал/час","тыс. куб. м/сутки")</f>
        <v>тыс. куб. м/сутки</v>
      </c>
      <c r="G64" s="4171"/>
      <c r="H64" s="4171">
        <v>0.7602</v>
      </c>
      <c r="I64" s="4172"/>
      <c r="J64" s="4166"/>
      <c r="K64" s="4166"/>
      <c r="L64" s="4166"/>
      <c r="M64" s="4166"/>
      <c r="N64" s="4166"/>
      <c r="O64" s="4166"/>
      <c r="P64" s="4166"/>
      <c r="Q64" s="4166"/>
      <c r="R64" s="4173"/>
    </row>
    <row s="4216" customFormat="1" customHeight="1" ht="75">
      <c r="A65" s="4165"/>
      <c r="B65" s="4166"/>
      <c r="C65" s="4167" t="s">
        <v>103</v>
      </c>
      <c r="D65" s="4168" t="s">
        <v>1804</v>
      </c>
      <c r="E65" s="4169" t="s">
        <v>1805</v>
      </c>
      <c r="F65" s="4170" t="str">
        <f>IF(TEMPLATE_SPHERE="HEAT","Гкал/час","тыс. куб. м/сутки")</f>
        <v>тыс. куб. м/сутки</v>
      </c>
      <c r="G65" s="4171"/>
      <c r="H65" s="4171">
        <v>0.28</v>
      </c>
      <c r="I65" s="4172"/>
      <c r="J65" s="4166"/>
      <c r="K65" s="4166"/>
      <c r="L65" s="4166"/>
      <c r="M65" s="4166"/>
      <c r="N65" s="4166"/>
      <c r="O65" s="4166"/>
      <c r="P65" s="4166"/>
      <c r="Q65" s="4166"/>
      <c r="R65" s="4173"/>
    </row>
    <row s="4217" customFormat="1" customHeight="1" ht="75">
      <c r="A66" s="4165"/>
      <c r="B66" s="4166"/>
      <c r="C66" s="4167" t="s">
        <v>103</v>
      </c>
      <c r="D66" s="4168" t="s">
        <v>1806</v>
      </c>
      <c r="E66" s="4169" t="s">
        <v>1807</v>
      </c>
      <c r="F66" s="4170" t="str">
        <f>IF(TEMPLATE_SPHERE="HEAT","Гкал/час","тыс. куб. м/сутки")</f>
        <v>тыс. куб. м/сутки</v>
      </c>
      <c r="G66" s="4171"/>
      <c r="H66" s="4171">
        <v>1.3543</v>
      </c>
      <c r="I66" s="4172"/>
      <c r="J66" s="4166"/>
      <c r="K66" s="4166"/>
      <c r="L66" s="4166"/>
      <c r="M66" s="4166"/>
      <c r="N66" s="4166"/>
      <c r="O66" s="4166"/>
      <c r="P66" s="4166"/>
      <c r="Q66" s="4166"/>
      <c r="R66" s="4173"/>
    </row>
    <row s="4218" customFormat="1" customHeight="1" ht="75">
      <c r="A67" s="4165"/>
      <c r="B67" s="4166"/>
      <c r="C67" s="4167" t="s">
        <v>103</v>
      </c>
      <c r="D67" s="4168" t="s">
        <v>1808</v>
      </c>
      <c r="E67" s="4169" t="s">
        <v>1809</v>
      </c>
      <c r="F67" s="4170" t="str">
        <f>IF(TEMPLATE_SPHERE="HEAT","Гкал/час","тыс. куб. м/сутки")</f>
        <v>тыс. куб. м/сутки</v>
      </c>
      <c r="G67" s="4171"/>
      <c r="H67" s="4171">
        <v>0.3978</v>
      </c>
      <c r="I67" s="4172"/>
      <c r="J67" s="4166"/>
      <c r="K67" s="4166"/>
      <c r="L67" s="4166"/>
      <c r="M67" s="4166"/>
      <c r="N67" s="4166"/>
      <c r="O67" s="4166"/>
      <c r="P67" s="4166"/>
      <c r="Q67" s="4166"/>
      <c r="R67" s="4173"/>
    </row>
    <row s="4219" customFormat="1" customHeight="1" ht="75">
      <c r="A68" s="4165"/>
      <c r="B68" s="4166"/>
      <c r="C68" s="4167" t="s">
        <v>103</v>
      </c>
      <c r="D68" s="4168" t="s">
        <v>1810</v>
      </c>
      <c r="E68" s="4169" t="s">
        <v>1811</v>
      </c>
      <c r="F68" s="4170" t="str">
        <f>IF(TEMPLATE_SPHERE="HEAT","Гкал/час","тыс. куб. м/сутки")</f>
        <v>тыс. куб. м/сутки</v>
      </c>
      <c r="G68" s="4171"/>
      <c r="H68" s="4171">
        <v>4.3</v>
      </c>
      <c r="I68" s="4172"/>
      <c r="J68" s="4166"/>
      <c r="K68" s="4166"/>
      <c r="L68" s="4166"/>
      <c r="M68" s="4166"/>
      <c r="N68" s="4166"/>
      <c r="O68" s="4166"/>
      <c r="P68" s="4166"/>
      <c r="Q68" s="4166"/>
      <c r="R68" s="4173"/>
    </row>
    <row s="4220" customFormat="1" customHeight="1" ht="75">
      <c r="A69" s="4165"/>
      <c r="B69" s="4166"/>
      <c r="C69" s="4167" t="s">
        <v>103</v>
      </c>
      <c r="D69" s="4168" t="s">
        <v>1812</v>
      </c>
      <c r="E69" s="4169" t="s">
        <v>1813</v>
      </c>
      <c r="F69" s="4170" t="str">
        <f>IF(TEMPLATE_SPHERE="HEAT","Гкал/час","тыс. куб. м/сутки")</f>
        <v>тыс. куб. м/сутки</v>
      </c>
      <c r="G69" s="4171"/>
      <c r="H69" s="4171">
        <v>0.3992</v>
      </c>
      <c r="I69" s="4172"/>
      <c r="J69" s="4166"/>
      <c r="K69" s="4166"/>
      <c r="L69" s="4166"/>
      <c r="M69" s="4166"/>
      <c r="N69" s="4166"/>
      <c r="O69" s="4166"/>
      <c r="P69" s="4166"/>
      <c r="Q69" s="4166"/>
      <c r="R69" s="4173"/>
    </row>
    <row s="4221" customFormat="1" customHeight="1" ht="75">
      <c r="A70" s="4165"/>
      <c r="B70" s="4166"/>
      <c r="C70" s="4167" t="s">
        <v>103</v>
      </c>
      <c r="D70" s="4168" t="s">
        <v>1814</v>
      </c>
      <c r="E70" s="4169" t="s">
        <v>1815</v>
      </c>
      <c r="F70" s="4170" t="str">
        <f>IF(TEMPLATE_SPHERE="HEAT","Гкал/час","тыс. куб. м/сутки")</f>
        <v>тыс. куб. м/сутки</v>
      </c>
      <c r="G70" s="4171"/>
      <c r="H70" s="4171">
        <v>0.5768</v>
      </c>
      <c r="I70" s="4172"/>
      <c r="J70" s="4166"/>
      <c r="K70" s="4166"/>
      <c r="L70" s="4166"/>
      <c r="M70" s="4166"/>
      <c r="N70" s="4166"/>
      <c r="O70" s="4166"/>
      <c r="P70" s="4166"/>
      <c r="Q70" s="4166"/>
      <c r="R70" s="4173"/>
    </row>
    <row s="4222" customFormat="1" customHeight="1" ht="75">
      <c r="A71" s="4165"/>
      <c r="B71" s="4166"/>
      <c r="C71" s="4167" t="s">
        <v>103</v>
      </c>
      <c r="D71" s="4168" t="s">
        <v>1816</v>
      </c>
      <c r="E71" s="4169" t="s">
        <v>1817</v>
      </c>
      <c r="F71" s="4170" t="str">
        <f>IF(TEMPLATE_SPHERE="HEAT","Гкал/час","тыс. куб. м/сутки")</f>
        <v>тыс. куб. м/сутки</v>
      </c>
      <c r="G71" s="4171"/>
      <c r="H71" s="4171">
        <v>0.499</v>
      </c>
      <c r="I71" s="4172"/>
      <c r="J71" s="4166"/>
      <c r="K71" s="4166"/>
      <c r="L71" s="4166"/>
      <c r="M71" s="4166"/>
      <c r="N71" s="4166"/>
      <c r="O71" s="4166"/>
      <c r="P71" s="4166"/>
      <c r="Q71" s="4166"/>
      <c r="R71" s="4173"/>
    </row>
    <row s="4223" customFormat="1" customHeight="1" ht="75">
      <c r="A72" s="4165"/>
      <c r="B72" s="4166"/>
      <c r="C72" s="4167" t="s">
        <v>103</v>
      </c>
      <c r="D72" s="4168" t="s">
        <v>1818</v>
      </c>
      <c r="E72" s="4169" t="s">
        <v>1819</v>
      </c>
      <c r="F72" s="4170" t="str">
        <f>IF(TEMPLATE_SPHERE="HEAT","Гкал/час","тыс. куб. м/сутки")</f>
        <v>тыс. куб. м/сутки</v>
      </c>
      <c r="G72" s="4171"/>
      <c r="H72" s="4171">
        <v>0.5</v>
      </c>
      <c r="I72" s="4172"/>
      <c r="J72" s="4166"/>
      <c r="K72" s="4166"/>
      <c r="L72" s="4166"/>
      <c r="M72" s="4166"/>
      <c r="N72" s="4166"/>
      <c r="O72" s="4166"/>
      <c r="P72" s="4166"/>
      <c r="Q72" s="4166"/>
      <c r="R72" s="4173"/>
    </row>
    <row s="4224" customFormat="1" customHeight="1" ht="75">
      <c r="A73" s="4165"/>
      <c r="B73" s="4166"/>
      <c r="C73" s="4167" t="s">
        <v>103</v>
      </c>
      <c r="D73" s="4168" t="s">
        <v>1820</v>
      </c>
      <c r="E73" s="4169" t="s">
        <v>1821</v>
      </c>
      <c r="F73" s="4170" t="str">
        <f>IF(TEMPLATE_SPHERE="HEAT","Гкал/час","тыс. куб. м/сутки")</f>
        <v>тыс. куб. м/сутки</v>
      </c>
      <c r="G73" s="4171"/>
      <c r="H73" s="4171">
        <v>0.199</v>
      </c>
      <c r="I73" s="4172"/>
      <c r="J73" s="4166"/>
      <c r="K73" s="4166"/>
      <c r="L73" s="4166"/>
      <c r="M73" s="4166"/>
      <c r="N73" s="4166"/>
      <c r="O73" s="4166"/>
      <c r="P73" s="4166"/>
      <c r="Q73" s="4166"/>
      <c r="R73" s="4173"/>
    </row>
    <row s="4225" customFormat="1" customHeight="1" ht="75">
      <c r="A74" s="4165"/>
      <c r="B74" s="4166"/>
      <c r="C74" s="4167" t="s">
        <v>103</v>
      </c>
      <c r="D74" s="4168" t="s">
        <v>1822</v>
      </c>
      <c r="E74" s="4169" t="s">
        <v>1823</v>
      </c>
      <c r="F74" s="4170" t="str">
        <f>IF(TEMPLATE_SPHERE="HEAT","Гкал/час","тыс. куб. м/сутки")</f>
        <v>тыс. куб. м/сутки</v>
      </c>
      <c r="G74" s="4171"/>
      <c r="H74" s="4171">
        <v>0.299</v>
      </c>
      <c r="I74" s="4172"/>
      <c r="J74" s="4166"/>
      <c r="K74" s="4166"/>
      <c r="L74" s="4166"/>
      <c r="M74" s="4166"/>
      <c r="N74" s="4166"/>
      <c r="O74" s="4166"/>
      <c r="P74" s="4166"/>
      <c r="Q74" s="4166"/>
      <c r="R74" s="4173"/>
    </row>
    <row s="4226" customFormat="1" customHeight="1" ht="75">
      <c r="A75" s="4165"/>
      <c r="B75" s="4166"/>
      <c r="C75" s="4167" t="s">
        <v>103</v>
      </c>
      <c r="D75" s="4168" t="s">
        <v>1824</v>
      </c>
      <c r="E75" s="4169" t="s">
        <v>1825</v>
      </c>
      <c r="F75" s="4170" t="str">
        <f>IF(TEMPLATE_SPHERE="HEAT","Гкал/час","тыс. куб. м/сутки")</f>
        <v>тыс. куб. м/сутки</v>
      </c>
      <c r="G75" s="4171"/>
      <c r="H75" s="4171">
        <v>0.197</v>
      </c>
      <c r="I75" s="4172"/>
      <c r="J75" s="4166"/>
      <c r="K75" s="4166"/>
      <c r="L75" s="4166"/>
      <c r="M75" s="4166"/>
      <c r="N75" s="4166"/>
      <c r="O75" s="4166"/>
      <c r="P75" s="4166"/>
      <c r="Q75" s="4166"/>
      <c r="R75" s="4173"/>
    </row>
    <row s="4227" customFormat="1" customHeight="1" ht="75">
      <c r="A76" s="4165"/>
      <c r="B76" s="4166"/>
      <c r="C76" s="4167" t="s">
        <v>103</v>
      </c>
      <c r="D76" s="4168" t="s">
        <v>1826</v>
      </c>
      <c r="E76" s="4169" t="s">
        <v>1827</v>
      </c>
      <c r="F76" s="4170" t="str">
        <f>IF(TEMPLATE_SPHERE="HEAT","Гкал/час","тыс. куб. м/сутки")</f>
        <v>тыс. куб. м/сутки</v>
      </c>
      <c r="G76" s="4171"/>
      <c r="H76" s="4171">
        <v>8.9985</v>
      </c>
      <c r="I76" s="4172"/>
      <c r="J76" s="4166"/>
      <c r="K76" s="4166"/>
      <c r="L76" s="4166"/>
      <c r="M76" s="4166"/>
      <c r="N76" s="4166"/>
      <c r="O76" s="4166"/>
      <c r="P76" s="4166"/>
      <c r="Q76" s="4166"/>
      <c r="R76" s="4173"/>
    </row>
    <row s="4228" customFormat="1" customHeight="1" ht="75">
      <c r="A77" s="4165"/>
      <c r="B77" s="4166"/>
      <c r="C77" s="4167" t="s">
        <v>103</v>
      </c>
      <c r="D77" s="4168" t="s">
        <v>1828</v>
      </c>
      <c r="E77" s="4169" t="s">
        <v>1829</v>
      </c>
      <c r="F77" s="4170" t="str">
        <f>IF(TEMPLATE_SPHERE="HEAT","Гкал/час","тыс. куб. м/сутки")</f>
        <v>тыс. куб. м/сутки</v>
      </c>
      <c r="G77" s="4171"/>
      <c r="H77" s="4171">
        <v>3.4829</v>
      </c>
      <c r="I77" s="4172"/>
      <c r="J77" s="4166"/>
      <c r="K77" s="4166"/>
      <c r="L77" s="4166"/>
      <c r="M77" s="4166"/>
      <c r="N77" s="4166"/>
      <c r="O77" s="4166"/>
      <c r="P77" s="4166"/>
      <c r="Q77" s="4166"/>
      <c r="R77" s="4173"/>
    </row>
    <row s="4229" customFormat="1" customHeight="1" ht="75">
      <c r="A78" s="4165"/>
      <c r="B78" s="4166"/>
      <c r="C78" s="4167" t="s">
        <v>103</v>
      </c>
      <c r="D78" s="4168" t="s">
        <v>1830</v>
      </c>
      <c r="E78" s="4169" t="s">
        <v>1831</v>
      </c>
      <c r="F78" s="4170" t="str">
        <f>IF(TEMPLATE_SPHERE="HEAT","Гкал/час","тыс. куб. м/сутки")</f>
        <v>тыс. куб. м/сутки</v>
      </c>
      <c r="G78" s="4171"/>
      <c r="H78" s="4171">
        <v>0.159</v>
      </c>
      <c r="I78" s="4172"/>
      <c r="J78" s="4166"/>
      <c r="K78" s="4166"/>
      <c r="L78" s="4166"/>
      <c r="M78" s="4166"/>
      <c r="N78" s="4166"/>
      <c r="O78" s="4166"/>
      <c r="P78" s="4166"/>
      <c r="Q78" s="4166"/>
      <c r="R78" s="4173"/>
    </row>
    <row s="4230" customFormat="1" customHeight="1" ht="75">
      <c r="A79" s="4165"/>
      <c r="B79" s="4166"/>
      <c r="C79" s="4167" t="s">
        <v>103</v>
      </c>
      <c r="D79" s="4168" t="s">
        <v>1832</v>
      </c>
      <c r="E79" s="4169" t="s">
        <v>1833</v>
      </c>
      <c r="F79" s="4170" t="str">
        <f>IF(TEMPLATE_SPHERE="HEAT","Гкал/час","тыс. куб. м/сутки")</f>
        <v>тыс. куб. м/сутки</v>
      </c>
      <c r="G79" s="4171"/>
      <c r="H79" s="4171">
        <v>1.5713</v>
      </c>
      <c r="I79" s="4172"/>
      <c r="J79" s="4166"/>
      <c r="K79" s="4166"/>
      <c r="L79" s="4166"/>
      <c r="M79" s="4166"/>
      <c r="N79" s="4166"/>
      <c r="O79" s="4166"/>
      <c r="P79" s="4166"/>
      <c r="Q79" s="4166"/>
      <c r="R79" s="4173"/>
    </row>
    <row s="4231" customFormat="1" customHeight="1" ht="75">
      <c r="A80" s="4165"/>
      <c r="B80" s="4166"/>
      <c r="C80" s="4167" t="s">
        <v>103</v>
      </c>
      <c r="D80" s="4168" t="s">
        <v>1834</v>
      </c>
      <c r="E80" s="4169" t="s">
        <v>1835</v>
      </c>
      <c r="F80" s="4170" t="str">
        <f>IF(TEMPLATE_SPHERE="HEAT","Гкал/час","тыс. куб. м/сутки")</f>
        <v>тыс. куб. м/сутки</v>
      </c>
      <c r="G80" s="4171"/>
      <c r="H80" s="4171">
        <v>0.4792</v>
      </c>
      <c r="I80" s="4172"/>
      <c r="J80" s="4166"/>
      <c r="K80" s="4166"/>
      <c r="L80" s="4166"/>
      <c r="M80" s="4166"/>
      <c r="N80" s="4166"/>
      <c r="O80" s="4166"/>
      <c r="P80" s="4166"/>
      <c r="Q80" s="4166"/>
      <c r="R80" s="4173"/>
    </row>
    <row s="4232" customFormat="1" customHeight="1" ht="75">
      <c r="A81" s="4165"/>
      <c r="B81" s="4166"/>
      <c r="C81" s="4167" t="s">
        <v>103</v>
      </c>
      <c r="D81" s="4168" t="s">
        <v>1836</v>
      </c>
      <c r="E81" s="4169" t="s">
        <v>1837</v>
      </c>
      <c r="F81" s="4170" t="str">
        <f>IF(TEMPLATE_SPHERE="HEAT","Гкал/час","тыс. куб. м/сутки")</f>
        <v>тыс. куб. м/сутки</v>
      </c>
      <c r="G81" s="4171"/>
      <c r="H81" s="4171">
        <v>0.6</v>
      </c>
      <c r="I81" s="4172"/>
      <c r="J81" s="4166"/>
      <c r="K81" s="4166"/>
      <c r="L81" s="4166"/>
      <c r="M81" s="4166"/>
      <c r="N81" s="4166"/>
      <c r="O81" s="4166"/>
      <c r="P81" s="4166"/>
      <c r="Q81" s="4166"/>
      <c r="R81" s="4173"/>
    </row>
    <row s="4233" customFormat="1" customHeight="1" ht="75">
      <c r="A82" s="4165"/>
      <c r="B82" s="4166"/>
      <c r="C82" s="4167" t="s">
        <v>103</v>
      </c>
      <c r="D82" s="4168" t="s">
        <v>1838</v>
      </c>
      <c r="E82" s="4169" t="s">
        <v>1839</v>
      </c>
      <c r="F82" s="4170" t="str">
        <f>IF(TEMPLATE_SPHERE="HEAT","Гкал/час","тыс. куб. м/сутки")</f>
        <v>тыс. куб. м/сутки</v>
      </c>
      <c r="G82" s="4171"/>
      <c r="H82" s="4171">
        <v>0.96</v>
      </c>
      <c r="I82" s="4172"/>
      <c r="J82" s="4166"/>
      <c r="K82" s="4166"/>
      <c r="L82" s="4166"/>
      <c r="M82" s="4166"/>
      <c r="N82" s="4166"/>
      <c r="O82" s="4166"/>
      <c r="P82" s="4166"/>
      <c r="Q82" s="4166"/>
      <c r="R82" s="4173"/>
    </row>
    <row s="4234" customFormat="1" customHeight="1" ht="75">
      <c r="A83" s="4165"/>
      <c r="B83" s="4166"/>
      <c r="C83" s="4167" t="s">
        <v>103</v>
      </c>
      <c r="D83" s="4168" t="s">
        <v>1840</v>
      </c>
      <c r="E83" s="4169" t="s">
        <v>1841</v>
      </c>
      <c r="F83" s="4170" t="str">
        <f>IF(TEMPLATE_SPHERE="HEAT","Гкал/час","тыс. куб. м/сутки")</f>
        <v>тыс. куб. м/сутки</v>
      </c>
      <c r="G83" s="4171"/>
      <c r="H83" s="4171">
        <v>0.3929</v>
      </c>
      <c r="I83" s="4172"/>
      <c r="J83" s="4166"/>
      <c r="K83" s="4166"/>
      <c r="L83" s="4166"/>
      <c r="M83" s="4166"/>
      <c r="N83" s="4166"/>
      <c r="O83" s="4166"/>
      <c r="P83" s="4166"/>
      <c r="Q83" s="4166"/>
      <c r="R83" s="4173"/>
    </row>
    <row s="4235" customFormat="1" customHeight="1" ht="75">
      <c r="A84" s="4165"/>
      <c r="B84" s="4166"/>
      <c r="C84" s="4167" t="s">
        <v>103</v>
      </c>
      <c r="D84" s="4168" t="s">
        <v>1842</v>
      </c>
      <c r="E84" s="4169" t="s">
        <v>1843</v>
      </c>
      <c r="F84" s="4170" t="str">
        <f>IF(TEMPLATE_SPHERE="HEAT","Гкал/час","тыс. куб. м/сутки")</f>
        <v>тыс. куб. м/сутки</v>
      </c>
      <c r="G84" s="4171"/>
      <c r="H84" s="4171">
        <v>0.6898</v>
      </c>
      <c r="I84" s="4172"/>
      <c r="J84" s="4166"/>
      <c r="K84" s="4166"/>
      <c r="L84" s="4166"/>
      <c r="M84" s="4166"/>
      <c r="N84" s="4166"/>
      <c r="O84" s="4166"/>
      <c r="P84" s="4166"/>
      <c r="Q84" s="4166"/>
      <c r="R84" s="4173"/>
    </row>
    <row s="4236" customFormat="1" customHeight="1" ht="75">
      <c r="A85" s="4165"/>
      <c r="B85" s="4166"/>
      <c r="C85" s="4167" t="s">
        <v>103</v>
      </c>
      <c r="D85" s="4168" t="s">
        <v>1844</v>
      </c>
      <c r="E85" s="4169" t="s">
        <v>1845</v>
      </c>
      <c r="F85" s="4170" t="str">
        <f>IF(TEMPLATE_SPHERE="HEAT","Гкал/час","тыс. куб. м/сутки")</f>
        <v>тыс. куб. м/сутки</v>
      </c>
      <c r="G85" s="4171"/>
      <c r="H85" s="4171">
        <v>0.4977</v>
      </c>
      <c r="I85" s="4172"/>
      <c r="J85" s="4166"/>
      <c r="K85" s="4166"/>
      <c r="L85" s="4166"/>
      <c r="M85" s="4166"/>
      <c r="N85" s="4166"/>
      <c r="O85" s="4166"/>
      <c r="P85" s="4166"/>
      <c r="Q85" s="4166"/>
      <c r="R85" s="4173"/>
    </row>
    <row s="4237" customFormat="1" customHeight="1" ht="75">
      <c r="A86" s="4165"/>
      <c r="B86" s="4166"/>
      <c r="C86" s="4167" t="s">
        <v>103</v>
      </c>
      <c r="D86" s="4168" t="s">
        <v>1846</v>
      </c>
      <c r="E86" s="4169" t="s">
        <v>1847</v>
      </c>
      <c r="F86" s="4170" t="str">
        <f>IF(TEMPLATE_SPHERE="HEAT","Гкал/час","тыс. куб. м/сутки")</f>
        <v>тыс. куб. м/сутки</v>
      </c>
      <c r="G86" s="4171"/>
      <c r="H86" s="4171">
        <v>0.3783</v>
      </c>
      <c r="I86" s="4172"/>
      <c r="J86" s="4166"/>
      <c r="K86" s="4166"/>
      <c r="L86" s="4166"/>
      <c r="M86" s="4166"/>
      <c r="N86" s="4166"/>
      <c r="O86" s="4166"/>
      <c r="P86" s="4166"/>
      <c r="Q86" s="4166"/>
      <c r="R86" s="4173"/>
    </row>
    <row s="4238" customFormat="1" customHeight="1" ht="75">
      <c r="A87" s="4165"/>
      <c r="B87" s="4166"/>
      <c r="C87" s="4167" t="s">
        <v>103</v>
      </c>
      <c r="D87" s="4168" t="s">
        <v>1848</v>
      </c>
      <c r="E87" s="4169" t="s">
        <v>1849</v>
      </c>
      <c r="F87" s="4170" t="str">
        <f>IF(TEMPLATE_SPHERE="HEAT","Гкал/час","тыс. куб. м/сутки")</f>
        <v>тыс. куб. м/сутки</v>
      </c>
      <c r="G87" s="4171"/>
      <c r="H87" s="4171">
        <v>0.7982</v>
      </c>
      <c r="I87" s="4172"/>
      <c r="J87" s="4166"/>
      <c r="K87" s="4166"/>
      <c r="L87" s="4166"/>
      <c r="M87" s="4166"/>
      <c r="N87" s="4166"/>
      <c r="O87" s="4166"/>
      <c r="P87" s="4166"/>
      <c r="Q87" s="4166"/>
      <c r="R87" s="4173"/>
    </row>
    <row s="4239" customFormat="1" customHeight="1" ht="75">
      <c r="A88" s="4165"/>
      <c r="B88" s="4166"/>
      <c r="C88" s="4167" t="s">
        <v>103</v>
      </c>
      <c r="D88" s="4168" t="s">
        <v>1850</v>
      </c>
      <c r="E88" s="4169" t="s">
        <v>1851</v>
      </c>
      <c r="F88" s="4170" t="str">
        <f>IF(TEMPLATE_SPHERE="HEAT","Гкал/час","тыс. куб. м/сутки")</f>
        <v>тыс. куб. м/сутки</v>
      </c>
      <c r="G88" s="4171"/>
      <c r="H88" s="4171">
        <v>0.5945</v>
      </c>
      <c r="I88" s="4172"/>
      <c r="J88" s="4166"/>
      <c r="K88" s="4166"/>
      <c r="L88" s="4166"/>
      <c r="M88" s="4166"/>
      <c r="N88" s="4166"/>
      <c r="O88" s="4166"/>
      <c r="P88" s="4166"/>
      <c r="Q88" s="4166"/>
      <c r="R88" s="4173"/>
    </row>
    <row s="4240" customFormat="1" customHeight="1" ht="75">
      <c r="A89" s="4165"/>
      <c r="B89" s="4166"/>
      <c r="C89" s="4167" t="s">
        <v>103</v>
      </c>
      <c r="D89" s="4168" t="s">
        <v>1852</v>
      </c>
      <c r="E89" s="4169" t="s">
        <v>1853</v>
      </c>
      <c r="F89" s="4170" t="str">
        <f>IF(TEMPLATE_SPHERE="HEAT","Гкал/час","тыс. куб. м/сутки")</f>
        <v>тыс. куб. м/сутки</v>
      </c>
      <c r="G89" s="4171"/>
      <c r="H89" s="4171">
        <v>0.8335</v>
      </c>
      <c r="I89" s="4172"/>
      <c r="J89" s="4166"/>
      <c r="K89" s="4166"/>
      <c r="L89" s="4166"/>
      <c r="M89" s="4166"/>
      <c r="N89" s="4166"/>
      <c r="O89" s="4166"/>
      <c r="P89" s="4166"/>
      <c r="Q89" s="4166"/>
      <c r="R89" s="4173"/>
    </row>
    <row s="4241" customFormat="1" customHeight="1" ht="75">
      <c r="A90" s="4165"/>
      <c r="B90" s="4166"/>
      <c r="C90" s="4167" t="s">
        <v>103</v>
      </c>
      <c r="D90" s="4168" t="s">
        <v>1854</v>
      </c>
      <c r="E90" s="4169" t="s">
        <v>1855</v>
      </c>
      <c r="F90" s="4170" t="str">
        <f>IF(TEMPLATE_SPHERE="HEAT","Гкал/час","тыс. куб. м/сутки")</f>
        <v>тыс. куб. м/сутки</v>
      </c>
      <c r="G90" s="4171"/>
      <c r="H90" s="4171">
        <v>0.7245</v>
      </c>
      <c r="I90" s="4172"/>
      <c r="J90" s="4166"/>
      <c r="K90" s="4166"/>
      <c r="L90" s="4166"/>
      <c r="M90" s="4166"/>
      <c r="N90" s="4166"/>
      <c r="O90" s="4166"/>
      <c r="P90" s="4166"/>
      <c r="Q90" s="4166"/>
      <c r="R90" s="4173"/>
    </row>
    <row s="4242" customFormat="1" customHeight="1" ht="75">
      <c r="A91" s="4165"/>
      <c r="B91" s="4166"/>
      <c r="C91" s="4167" t="s">
        <v>103</v>
      </c>
      <c r="D91" s="4168" t="s">
        <v>1856</v>
      </c>
      <c r="E91" s="4169" t="s">
        <v>1857</v>
      </c>
      <c r="F91" s="4170" t="str">
        <f>IF(TEMPLATE_SPHERE="HEAT","Гкал/час","тыс. куб. м/сутки")</f>
        <v>тыс. куб. м/сутки</v>
      </c>
      <c r="G91" s="4171"/>
      <c r="H91" s="4171">
        <v>1.0151</v>
      </c>
      <c r="I91" s="4172"/>
      <c r="J91" s="4166"/>
      <c r="K91" s="4166"/>
      <c r="L91" s="4166"/>
      <c r="M91" s="4166"/>
      <c r="N91" s="4166"/>
      <c r="O91" s="4166"/>
      <c r="P91" s="4166"/>
      <c r="Q91" s="4166"/>
      <c r="R91" s="4173"/>
    </row>
    <row s="4243" customFormat="1" customHeight="1" ht="75">
      <c r="A92" s="4165"/>
      <c r="B92" s="4166"/>
      <c r="C92" s="4167" t="s">
        <v>103</v>
      </c>
      <c r="D92" s="4168" t="s">
        <v>1858</v>
      </c>
      <c r="E92" s="4169" t="s">
        <v>1859</v>
      </c>
      <c r="F92" s="4170" t="str">
        <f>IF(TEMPLATE_SPHERE="HEAT","Гкал/час","тыс. куб. м/сутки")</f>
        <v>тыс. куб. м/сутки</v>
      </c>
      <c r="G92" s="4171"/>
      <c r="H92" s="4171">
        <v>1.104</v>
      </c>
      <c r="I92" s="4172"/>
      <c r="J92" s="4166"/>
      <c r="K92" s="4166"/>
      <c r="L92" s="4166"/>
      <c r="M92" s="4166"/>
      <c r="N92" s="4166"/>
      <c r="O92" s="4166"/>
      <c r="P92" s="4166"/>
      <c r="Q92" s="4166"/>
      <c r="R92" s="4173"/>
    </row>
    <row s="4244" customFormat="1" customHeight="1" ht="75">
      <c r="A93" s="4165"/>
      <c r="B93" s="4166"/>
      <c r="C93" s="4167" t="s">
        <v>103</v>
      </c>
      <c r="D93" s="4168" t="s">
        <v>1860</v>
      </c>
      <c r="E93" s="4169" t="s">
        <v>1861</v>
      </c>
      <c r="F93" s="4170" t="str">
        <f>IF(TEMPLATE_SPHERE="HEAT","Гкал/час","тыс. куб. м/сутки")</f>
        <v>тыс. куб. м/сутки</v>
      </c>
      <c r="G93" s="4171"/>
      <c r="H93" s="4171">
        <v>0.3875</v>
      </c>
      <c r="I93" s="4172"/>
      <c r="J93" s="4166"/>
      <c r="K93" s="4166"/>
      <c r="L93" s="4166"/>
      <c r="M93" s="4166"/>
      <c r="N93" s="4166"/>
      <c r="O93" s="4166"/>
      <c r="P93" s="4166"/>
      <c r="Q93" s="4166"/>
      <c r="R93" s="4173"/>
    </row>
    <row s="4245" customFormat="1" customHeight="1" ht="75">
      <c r="A94" s="4165"/>
      <c r="B94" s="4166"/>
      <c r="C94" s="4167" t="s">
        <v>103</v>
      </c>
      <c r="D94" s="4168" t="s">
        <v>1862</v>
      </c>
      <c r="E94" s="4169" t="s">
        <v>1863</v>
      </c>
      <c r="F94" s="4170" t="str">
        <f>IF(TEMPLATE_SPHERE="HEAT","Гкал/час","тыс. куб. м/сутки")</f>
        <v>тыс. куб. м/сутки</v>
      </c>
      <c r="G94" s="4171"/>
      <c r="H94" s="4171">
        <v>0.0561</v>
      </c>
      <c r="I94" s="4172"/>
      <c r="J94" s="4166"/>
      <c r="K94" s="4166"/>
      <c r="L94" s="4166"/>
      <c r="M94" s="4166"/>
      <c r="N94" s="4166"/>
      <c r="O94" s="4166"/>
      <c r="P94" s="4166"/>
      <c r="Q94" s="4166"/>
      <c r="R94" s="4173"/>
    </row>
    <row s="4246" customFormat="1" customHeight="1" ht="75">
      <c r="A95" s="4165"/>
      <c r="B95" s="4166"/>
      <c r="C95" s="4167" t="s">
        <v>103</v>
      </c>
      <c r="D95" s="4168" t="s">
        <v>1864</v>
      </c>
      <c r="E95" s="4169" t="s">
        <v>1865</v>
      </c>
      <c r="F95" s="4170" t="str">
        <f>IF(TEMPLATE_SPHERE="HEAT","Гкал/час","тыс. куб. м/сутки")</f>
        <v>тыс. куб. м/сутки</v>
      </c>
      <c r="G95" s="4171"/>
      <c r="H95" s="4171">
        <v>0.3771</v>
      </c>
      <c r="I95" s="4172"/>
      <c r="J95" s="4166"/>
      <c r="K95" s="4166"/>
      <c r="L95" s="4166"/>
      <c r="M95" s="4166"/>
      <c r="N95" s="4166"/>
      <c r="O95" s="4166"/>
      <c r="P95" s="4166"/>
      <c r="Q95" s="4166"/>
      <c r="R95" s="4173"/>
    </row>
    <row s="4247" customFormat="1" customHeight="1" ht="75">
      <c r="A96" s="4165"/>
      <c r="B96" s="4166"/>
      <c r="C96" s="4167" t="s">
        <v>103</v>
      </c>
      <c r="D96" s="4168" t="s">
        <v>1866</v>
      </c>
      <c r="E96" s="4169" t="s">
        <v>1867</v>
      </c>
      <c r="F96" s="4170" t="str">
        <f>IF(TEMPLATE_SPHERE="HEAT","Гкал/час","тыс. куб. м/сутки")</f>
        <v>тыс. куб. м/сутки</v>
      </c>
      <c r="G96" s="4171"/>
      <c r="H96" s="4171">
        <v>0.1307</v>
      </c>
      <c r="I96" s="4172"/>
      <c r="J96" s="4166"/>
      <c r="K96" s="4166"/>
      <c r="L96" s="4166"/>
      <c r="M96" s="4166"/>
      <c r="N96" s="4166"/>
      <c r="O96" s="4166"/>
      <c r="P96" s="4166"/>
      <c r="Q96" s="4166"/>
      <c r="R96" s="4173"/>
    </row>
    <row s="4248" customFormat="1" customHeight="1" ht="75">
      <c r="A97" s="4165"/>
      <c r="B97" s="4166"/>
      <c r="C97" s="4167" t="s">
        <v>103</v>
      </c>
      <c r="D97" s="4168" t="s">
        <v>1868</v>
      </c>
      <c r="E97" s="4169" t="s">
        <v>1869</v>
      </c>
      <c r="F97" s="4170" t="str">
        <f>IF(TEMPLATE_SPHERE="HEAT","Гкал/час","тыс. куб. м/сутки")</f>
        <v>тыс. куб. м/сутки</v>
      </c>
      <c r="G97" s="4171"/>
      <c r="H97" s="4171">
        <v>0.7469</v>
      </c>
      <c r="I97" s="4172"/>
      <c r="J97" s="4166"/>
      <c r="K97" s="4166"/>
      <c r="L97" s="4166"/>
      <c r="M97" s="4166"/>
      <c r="N97" s="4166"/>
      <c r="O97" s="4166"/>
      <c r="P97" s="4166"/>
      <c r="Q97" s="4166"/>
      <c r="R97" s="4173"/>
    </row>
    <row s="4249" customFormat="1" customHeight="1" ht="75">
      <c r="A98" s="4165"/>
      <c r="B98" s="4166"/>
      <c r="C98" s="4167" t="s">
        <v>103</v>
      </c>
      <c r="D98" s="4168" t="s">
        <v>1870</v>
      </c>
      <c r="E98" s="4169" t="s">
        <v>1871</v>
      </c>
      <c r="F98" s="4170" t="str">
        <f>IF(TEMPLATE_SPHERE="HEAT","Гкал/час","тыс. куб. м/сутки")</f>
        <v>тыс. куб. м/сутки</v>
      </c>
      <c r="G98" s="4171"/>
      <c r="H98" s="4171">
        <v>0.4094</v>
      </c>
      <c r="I98" s="4172"/>
      <c r="J98" s="4166"/>
      <c r="K98" s="4166"/>
      <c r="L98" s="4166"/>
      <c r="M98" s="4166"/>
      <c r="N98" s="4166"/>
      <c r="O98" s="4166"/>
      <c r="P98" s="4166"/>
      <c r="Q98" s="4166"/>
      <c r="R98" s="4173"/>
    </row>
    <row s="4250" customFormat="1" customHeight="1" ht="75">
      <c r="A99" s="4165"/>
      <c r="B99" s="4166"/>
      <c r="C99" s="4167" t="s">
        <v>103</v>
      </c>
      <c r="D99" s="4168" t="s">
        <v>1872</v>
      </c>
      <c r="E99" s="4169" t="s">
        <v>1873</v>
      </c>
      <c r="F99" s="4170" t="str">
        <f>IF(TEMPLATE_SPHERE="HEAT","Гкал/час","тыс. куб. м/сутки")</f>
        <v>тыс. куб. м/сутки</v>
      </c>
      <c r="G99" s="4171"/>
      <c r="H99" s="4171">
        <v>0.106</v>
      </c>
      <c r="I99" s="4172"/>
      <c r="J99" s="4166"/>
      <c r="K99" s="4166"/>
      <c r="L99" s="4166"/>
      <c r="M99" s="4166"/>
      <c r="N99" s="4166"/>
      <c r="O99" s="4166"/>
      <c r="P99" s="4166"/>
      <c r="Q99" s="4166"/>
      <c r="R99" s="4173"/>
    </row>
    <row s="4251" customFormat="1" customHeight="1" ht="75">
      <c r="A100" s="4165"/>
      <c r="B100" s="4166"/>
      <c r="C100" s="4167" t="s">
        <v>103</v>
      </c>
      <c r="D100" s="4168" t="s">
        <v>1874</v>
      </c>
      <c r="E100" s="4169" t="s">
        <v>1875</v>
      </c>
      <c r="F100" s="4170" t="str">
        <f>IF(TEMPLATE_SPHERE="HEAT","Гкал/час","тыс. куб. м/сутки")</f>
        <v>тыс. куб. м/сутки</v>
      </c>
      <c r="G100" s="4171"/>
      <c r="H100" s="4171">
        <v>0.3177</v>
      </c>
      <c r="I100" s="4172"/>
      <c r="J100" s="4166"/>
      <c r="K100" s="4166"/>
      <c r="L100" s="4166"/>
      <c r="M100" s="4166"/>
      <c r="N100" s="4166"/>
      <c r="O100" s="4166"/>
      <c r="P100" s="4166"/>
      <c r="Q100" s="4166"/>
      <c r="R100" s="4173"/>
    </row>
    <row s="4252" customFormat="1" customHeight="1" ht="75">
      <c r="A101" s="4165"/>
      <c r="B101" s="4166"/>
      <c r="C101" s="4167" t="s">
        <v>103</v>
      </c>
      <c r="D101" s="4168" t="s">
        <v>1876</v>
      </c>
      <c r="E101" s="4169" t="s">
        <v>1877</v>
      </c>
      <c r="F101" s="4170" t="str">
        <f>IF(TEMPLATE_SPHERE="HEAT","Гкал/час","тыс. куб. м/сутки")</f>
        <v>тыс. куб. м/сутки</v>
      </c>
      <c r="G101" s="4171"/>
      <c r="H101" s="4171">
        <v>0.9529</v>
      </c>
      <c r="I101" s="4172"/>
      <c r="J101" s="4166"/>
      <c r="K101" s="4166"/>
      <c r="L101" s="4166"/>
      <c r="M101" s="4166"/>
      <c r="N101" s="4166"/>
      <c r="O101" s="4166"/>
      <c r="P101" s="4166"/>
      <c r="Q101" s="4166"/>
      <c r="R101" s="4173"/>
    </row>
    <row s="4253" customFormat="1" customHeight="1" ht="75">
      <c r="A102" s="4165"/>
      <c r="B102" s="4166"/>
      <c r="C102" s="4167" t="s">
        <v>103</v>
      </c>
      <c r="D102" s="4168" t="s">
        <v>1878</v>
      </c>
      <c r="E102" s="4169" t="s">
        <v>1879</v>
      </c>
      <c r="F102" s="4170" t="str">
        <f>IF(TEMPLATE_SPHERE="HEAT","Гкал/час","тыс. куб. м/сутки")</f>
        <v>тыс. куб. м/сутки</v>
      </c>
      <c r="G102" s="4171"/>
      <c r="H102" s="4171">
        <v>1.4649</v>
      </c>
      <c r="I102" s="4172"/>
      <c r="J102" s="4166"/>
      <c r="K102" s="4166"/>
      <c r="L102" s="4166"/>
      <c r="M102" s="4166"/>
      <c r="N102" s="4166"/>
      <c r="O102" s="4166"/>
      <c r="P102" s="4166"/>
      <c r="Q102" s="4166"/>
      <c r="R102" s="4173"/>
    </row>
    <row s="4254" customFormat="1" customHeight="1" ht="75">
      <c r="A103" s="4165"/>
      <c r="B103" s="4166"/>
      <c r="C103" s="4167" t="s">
        <v>103</v>
      </c>
      <c r="D103" s="4168" t="s">
        <v>1880</v>
      </c>
      <c r="E103" s="4169" t="s">
        <v>1881</v>
      </c>
      <c r="F103" s="4170" t="str">
        <f>IF(TEMPLATE_SPHERE="HEAT","Гкал/час","тыс. куб. м/сутки")</f>
        <v>тыс. куб. м/сутки</v>
      </c>
      <c r="G103" s="4171"/>
      <c r="H103" s="4171">
        <v>2.5979</v>
      </c>
      <c r="I103" s="4172"/>
      <c r="J103" s="4166"/>
      <c r="K103" s="4166"/>
      <c r="L103" s="4166"/>
      <c r="M103" s="4166"/>
      <c r="N103" s="4166"/>
      <c r="O103" s="4166"/>
      <c r="P103" s="4166"/>
      <c r="Q103" s="4166"/>
      <c r="R103" s="4173"/>
    </row>
    <row s="4255" customFormat="1" customHeight="1" ht="75">
      <c r="A104" s="4165"/>
      <c r="B104" s="4166"/>
      <c r="C104" s="4167" t="s">
        <v>103</v>
      </c>
      <c r="D104" s="4168" t="s">
        <v>1882</v>
      </c>
      <c r="E104" s="4169" t="s">
        <v>1883</v>
      </c>
      <c r="F104" s="4170" t="str">
        <f>IF(TEMPLATE_SPHERE="HEAT","Гкал/час","тыс. куб. м/сутки")</f>
        <v>тыс. куб. м/сутки</v>
      </c>
      <c r="G104" s="4171"/>
      <c r="H104" s="4171">
        <v>1.2868</v>
      </c>
      <c r="I104" s="4172"/>
      <c r="J104" s="4166"/>
      <c r="K104" s="4166"/>
      <c r="L104" s="4166"/>
      <c r="M104" s="4166"/>
      <c r="N104" s="4166"/>
      <c r="O104" s="4166"/>
      <c r="P104" s="4166"/>
      <c r="Q104" s="4166"/>
      <c r="R104" s="4173"/>
    </row>
    <row s="4256" customFormat="1" customHeight="1" ht="75">
      <c r="A105" s="4165"/>
      <c r="B105" s="4166"/>
      <c r="C105" s="4167" t="s">
        <v>103</v>
      </c>
      <c r="D105" s="4168" t="s">
        <v>1884</v>
      </c>
      <c r="E105" s="4169" t="s">
        <v>1885</v>
      </c>
      <c r="F105" s="4170" t="str">
        <f>IF(TEMPLATE_SPHERE="HEAT","Гкал/час","тыс. куб. м/сутки")</f>
        <v>тыс. куб. м/сутки</v>
      </c>
      <c r="G105" s="4171"/>
      <c r="H105" s="4171">
        <v>0.3492</v>
      </c>
      <c r="I105" s="4172"/>
      <c r="J105" s="4166"/>
      <c r="K105" s="4166"/>
      <c r="L105" s="4166"/>
      <c r="M105" s="4166"/>
      <c r="N105" s="4166"/>
      <c r="O105" s="4166"/>
      <c r="P105" s="4166"/>
      <c r="Q105" s="4166"/>
      <c r="R105" s="4173"/>
    </row>
    <row s="4257" customFormat="1" customHeight="1" ht="75">
      <c r="A106" s="4165"/>
      <c r="B106" s="4166"/>
      <c r="C106" s="4167" t="s">
        <v>103</v>
      </c>
      <c r="D106" s="4168" t="s">
        <v>1886</v>
      </c>
      <c r="E106" s="4169" t="s">
        <v>1887</v>
      </c>
      <c r="F106" s="4170" t="str">
        <f>IF(TEMPLATE_SPHERE="HEAT","Гкал/час","тыс. куб. м/сутки")</f>
        <v>тыс. куб. м/сутки</v>
      </c>
      <c r="G106" s="4171"/>
      <c r="H106" s="4171">
        <v>1.1927</v>
      </c>
      <c r="I106" s="4172"/>
      <c r="J106" s="4166"/>
      <c r="K106" s="4166"/>
      <c r="L106" s="4166"/>
      <c r="M106" s="4166"/>
      <c r="N106" s="4166"/>
      <c r="O106" s="4166"/>
      <c r="P106" s="4166"/>
      <c r="Q106" s="4166"/>
      <c r="R106" s="4173"/>
    </row>
    <row s="4258" customFormat="1" customHeight="1" ht="75">
      <c r="A107" s="4165"/>
      <c r="B107" s="4166"/>
      <c r="C107" s="4167" t="s">
        <v>103</v>
      </c>
      <c r="D107" s="4168" t="s">
        <v>1888</v>
      </c>
      <c r="E107" s="4169" t="s">
        <v>1889</v>
      </c>
      <c r="F107" s="4170" t="str">
        <f>IF(TEMPLATE_SPHERE="HEAT","Гкал/час","тыс. куб. м/сутки")</f>
        <v>тыс. куб. м/сутки</v>
      </c>
      <c r="G107" s="4171"/>
      <c r="H107" s="4171">
        <v>0.8237</v>
      </c>
      <c r="I107" s="4172"/>
      <c r="J107" s="4166"/>
      <c r="K107" s="4166"/>
      <c r="L107" s="4166"/>
      <c r="M107" s="4166"/>
      <c r="N107" s="4166"/>
      <c r="O107" s="4166"/>
      <c r="P107" s="4166"/>
      <c r="Q107" s="4166"/>
      <c r="R107" s="4173"/>
    </row>
    <row s="4259" customFormat="1" customHeight="1" ht="75">
      <c r="A108" s="4165"/>
      <c r="B108" s="4166"/>
      <c r="C108" s="4167" t="s">
        <v>103</v>
      </c>
      <c r="D108" s="4168" t="s">
        <v>1890</v>
      </c>
      <c r="E108" s="4169" t="s">
        <v>1891</v>
      </c>
      <c r="F108" s="4170" t="str">
        <f>IF(TEMPLATE_SPHERE="HEAT","Гкал/час","тыс. куб. м/сутки")</f>
        <v>тыс. куб. м/сутки</v>
      </c>
      <c r="G108" s="4171"/>
      <c r="H108" s="4171">
        <v>0.1871</v>
      </c>
      <c r="I108" s="4172"/>
      <c r="J108" s="4166"/>
      <c r="K108" s="4166"/>
      <c r="L108" s="4166"/>
      <c r="M108" s="4166"/>
      <c r="N108" s="4166"/>
      <c r="O108" s="4166"/>
      <c r="P108" s="4166"/>
      <c r="Q108" s="4166"/>
      <c r="R108" s="4173"/>
    </row>
    <row s="4260" customFormat="1" customHeight="1" ht="75">
      <c r="A109" s="4165"/>
      <c r="B109" s="4166"/>
      <c r="C109" s="4167" t="s">
        <v>103</v>
      </c>
      <c r="D109" s="4168" t="s">
        <v>1892</v>
      </c>
      <c r="E109" s="4169" t="s">
        <v>1893</v>
      </c>
      <c r="F109" s="4170" t="str">
        <f>IF(TEMPLATE_SPHERE="HEAT","Гкал/час","тыс. куб. м/сутки")</f>
        <v>тыс. куб. м/сутки</v>
      </c>
      <c r="G109" s="4171"/>
      <c r="H109" s="4171">
        <v>1.3808</v>
      </c>
      <c r="I109" s="4172"/>
      <c r="J109" s="4166"/>
      <c r="K109" s="4166"/>
      <c r="L109" s="4166"/>
      <c r="M109" s="4166"/>
      <c r="N109" s="4166"/>
      <c r="O109" s="4166"/>
      <c r="P109" s="4166"/>
      <c r="Q109" s="4166"/>
      <c r="R109" s="4173"/>
    </row>
    <row s="4261" customFormat="1" customHeight="1" ht="75">
      <c r="A110" s="4165"/>
      <c r="B110" s="4166"/>
      <c r="C110" s="4167" t="s">
        <v>103</v>
      </c>
      <c r="D110" s="4168" t="s">
        <v>1894</v>
      </c>
      <c r="E110" s="4169" t="s">
        <v>1895</v>
      </c>
      <c r="F110" s="4170" t="str">
        <f>IF(TEMPLATE_SPHERE="HEAT","Гкал/час","тыс. куб. м/сутки")</f>
        <v>тыс. куб. м/сутки</v>
      </c>
      <c r="G110" s="4171"/>
      <c r="H110" s="4171">
        <v>0.3838</v>
      </c>
      <c r="I110" s="4172"/>
      <c r="J110" s="4166"/>
      <c r="K110" s="4166"/>
      <c r="L110" s="4166"/>
      <c r="M110" s="4166"/>
      <c r="N110" s="4166"/>
      <c r="O110" s="4166"/>
      <c r="P110" s="4166"/>
      <c r="Q110" s="4166"/>
      <c r="R110" s="4173"/>
    </row>
    <row s="4262" customFormat="1" customHeight="1" ht="75">
      <c r="A111" s="4165"/>
      <c r="B111" s="4166"/>
      <c r="C111" s="4167" t="s">
        <v>103</v>
      </c>
      <c r="D111" s="4168" t="s">
        <v>1896</v>
      </c>
      <c r="E111" s="4169" t="s">
        <v>1897</v>
      </c>
      <c r="F111" s="4170" t="str">
        <f>IF(TEMPLATE_SPHERE="HEAT","Гкал/час","тыс. куб. м/сутки")</f>
        <v>тыс. куб. м/сутки</v>
      </c>
      <c r="G111" s="4171"/>
      <c r="H111" s="4171">
        <v>1.2535</v>
      </c>
      <c r="I111" s="4172"/>
      <c r="J111" s="4166"/>
      <c r="K111" s="4166"/>
      <c r="L111" s="4166"/>
      <c r="M111" s="4166"/>
      <c r="N111" s="4166"/>
      <c r="O111" s="4166"/>
      <c r="P111" s="4166"/>
      <c r="Q111" s="4166"/>
      <c r="R111" s="4173"/>
    </row>
    <row s="4263" customFormat="1" customHeight="1" ht="75">
      <c r="A112" s="4165"/>
      <c r="B112" s="4166"/>
      <c r="C112" s="4167" t="s">
        <v>103</v>
      </c>
      <c r="D112" s="4168" t="s">
        <v>1898</v>
      </c>
      <c r="E112" s="4169" t="s">
        <v>1899</v>
      </c>
      <c r="F112" s="4170" t="str">
        <f>IF(TEMPLATE_SPHERE="HEAT","Гкал/час","тыс. куб. м/сутки")</f>
        <v>тыс. куб. м/сутки</v>
      </c>
      <c r="G112" s="4171"/>
      <c r="H112" s="4171">
        <v>1.6386</v>
      </c>
      <c r="I112" s="4172"/>
      <c r="J112" s="4166"/>
      <c r="K112" s="4166"/>
      <c r="L112" s="4166"/>
      <c r="M112" s="4166"/>
      <c r="N112" s="4166"/>
      <c r="O112" s="4166"/>
      <c r="P112" s="4166"/>
      <c r="Q112" s="4166"/>
      <c r="R112" s="4173"/>
    </row>
    <row s="4264" customFormat="1" customHeight="1" ht="75">
      <c r="A113" s="4165"/>
      <c r="B113" s="4166"/>
      <c r="C113" s="4167" t="s">
        <v>103</v>
      </c>
      <c r="D113" s="4168" t="s">
        <v>1900</v>
      </c>
      <c r="E113" s="4169" t="s">
        <v>1901</v>
      </c>
      <c r="F113" s="4170" t="str">
        <f>IF(TEMPLATE_SPHERE="HEAT","Гкал/час","тыс. куб. м/сутки")</f>
        <v>тыс. куб. м/сутки</v>
      </c>
      <c r="G113" s="4171"/>
      <c r="H113" s="4171">
        <v>1.0986</v>
      </c>
      <c r="I113" s="4172"/>
      <c r="J113" s="4166"/>
      <c r="K113" s="4166"/>
      <c r="L113" s="4166"/>
      <c r="M113" s="4166"/>
      <c r="N113" s="4166"/>
      <c r="O113" s="4166"/>
      <c r="P113" s="4166"/>
      <c r="Q113" s="4166"/>
      <c r="R113" s="4173"/>
    </row>
    <row s="4265" customFormat="1" customHeight="1" ht="75">
      <c r="A114" s="4165"/>
      <c r="B114" s="4166"/>
      <c r="C114" s="4167" t="s">
        <v>103</v>
      </c>
      <c r="D114" s="4168" t="s">
        <v>1902</v>
      </c>
      <c r="E114" s="4169" t="s">
        <v>1903</v>
      </c>
      <c r="F114" s="4170" t="str">
        <f>IF(TEMPLATE_SPHERE="HEAT","Гкал/час","тыс. куб. м/сутки")</f>
        <v>тыс. куб. м/сутки</v>
      </c>
      <c r="G114" s="4171"/>
      <c r="H114" s="4171">
        <v>0.0354</v>
      </c>
      <c r="I114" s="4172"/>
      <c r="J114" s="4166"/>
      <c r="K114" s="4166"/>
      <c r="L114" s="4166"/>
      <c r="M114" s="4166"/>
      <c r="N114" s="4166"/>
      <c r="O114" s="4166"/>
      <c r="P114" s="4166"/>
      <c r="Q114" s="4166"/>
      <c r="R114" s="4173"/>
    </row>
    <row s="4266" customFormat="1" customHeight="1" ht="75">
      <c r="A115" s="4165"/>
      <c r="B115" s="4166"/>
      <c r="C115" s="4167" t="s">
        <v>103</v>
      </c>
      <c r="D115" s="4168" t="s">
        <v>1904</v>
      </c>
      <c r="E115" s="4169" t="s">
        <v>1905</v>
      </c>
      <c r="F115" s="4170" t="str">
        <f>IF(TEMPLATE_SPHERE="HEAT","Гкал/час","тыс. куб. м/сутки")</f>
        <v>тыс. куб. м/сутки</v>
      </c>
      <c r="G115" s="4171"/>
      <c r="H115" s="4171">
        <v>0.5384</v>
      </c>
      <c r="I115" s="4172"/>
      <c r="J115" s="4166"/>
      <c r="K115" s="4166"/>
      <c r="L115" s="4166"/>
      <c r="M115" s="4166"/>
      <c r="N115" s="4166"/>
      <c r="O115" s="4166"/>
      <c r="P115" s="4166"/>
      <c r="Q115" s="4166"/>
      <c r="R115" s="4173"/>
    </row>
    <row s="4267" customFormat="1" customHeight="1" ht="75">
      <c r="A116" s="4165"/>
      <c r="B116" s="4166"/>
      <c r="C116" s="4167" t="s">
        <v>103</v>
      </c>
      <c r="D116" s="4168" t="s">
        <v>1906</v>
      </c>
      <c r="E116" s="4169" t="s">
        <v>1907</v>
      </c>
      <c r="F116" s="4170" t="str">
        <f>IF(TEMPLATE_SPHERE="HEAT","Гкал/час","тыс. куб. м/сутки")</f>
        <v>тыс. куб. м/сутки</v>
      </c>
      <c r="G116" s="4171"/>
      <c r="H116" s="4171">
        <v>4.3791</v>
      </c>
      <c r="I116" s="4172"/>
      <c r="J116" s="4166"/>
      <c r="K116" s="4166"/>
      <c r="L116" s="4166"/>
      <c r="M116" s="4166"/>
      <c r="N116" s="4166"/>
      <c r="O116" s="4166"/>
      <c r="P116" s="4166"/>
      <c r="Q116" s="4166"/>
      <c r="R116" s="4173"/>
    </row>
    <row s="4268" customFormat="1" customHeight="1" ht="75">
      <c r="A117" s="4165"/>
      <c r="B117" s="4166"/>
      <c r="C117" s="4167" t="s">
        <v>103</v>
      </c>
      <c r="D117" s="4168" t="s">
        <v>1908</v>
      </c>
      <c r="E117" s="4169" t="s">
        <v>1909</v>
      </c>
      <c r="F117" s="4170" t="str">
        <f>IF(TEMPLATE_SPHERE="HEAT","Гкал/час","тыс. куб. м/сутки")</f>
        <v>тыс. куб. м/сутки</v>
      </c>
      <c r="G117" s="4171"/>
      <c r="H117" s="4171">
        <v>0</v>
      </c>
      <c r="I117" s="4172"/>
      <c r="J117" s="4166"/>
      <c r="K117" s="4166"/>
      <c r="L117" s="4166"/>
      <c r="M117" s="4166"/>
      <c r="N117" s="4166"/>
      <c r="O117" s="4166"/>
      <c r="P117" s="4166"/>
      <c r="Q117" s="4166"/>
      <c r="R117" s="4173"/>
    </row>
    <row s="4269" customFormat="1" customHeight="1" ht="75">
      <c r="A118" s="4165"/>
      <c r="B118" s="4166"/>
      <c r="C118" s="4167" t="s">
        <v>103</v>
      </c>
      <c r="D118" s="4168" t="s">
        <v>1910</v>
      </c>
      <c r="E118" s="4169" t="s">
        <v>1911</v>
      </c>
      <c r="F118" s="4170" t="str">
        <f>IF(TEMPLATE_SPHERE="HEAT","Гкал/час","тыс. куб. м/сутки")</f>
        <v>тыс. куб. м/сутки</v>
      </c>
      <c r="G118" s="4171"/>
      <c r="H118" s="4171">
        <v>0</v>
      </c>
      <c r="I118" s="4172"/>
      <c r="J118" s="4166"/>
      <c r="K118" s="4166"/>
      <c r="L118" s="4166"/>
      <c r="M118" s="4166"/>
      <c r="N118" s="4166"/>
      <c r="O118" s="4166"/>
      <c r="P118" s="4166"/>
      <c r="Q118" s="4166"/>
      <c r="R118" s="4173"/>
    </row>
    <row s="4270" customFormat="1" customHeight="1" ht="75">
      <c r="A119" s="4165"/>
      <c r="B119" s="4166"/>
      <c r="C119" s="4167" t="s">
        <v>103</v>
      </c>
      <c r="D119" s="4168" t="s">
        <v>1912</v>
      </c>
      <c r="E119" s="4169" t="s">
        <v>1913</v>
      </c>
      <c r="F119" s="4170" t="str">
        <f>IF(TEMPLATE_SPHERE="HEAT","Гкал/час","тыс. куб. м/сутки")</f>
        <v>тыс. куб. м/сутки</v>
      </c>
      <c r="G119" s="4171"/>
      <c r="H119" s="4171">
        <v>0.2426</v>
      </c>
      <c r="I119" s="4172"/>
      <c r="J119" s="4166"/>
      <c r="K119" s="4166"/>
      <c r="L119" s="4166"/>
      <c r="M119" s="4166"/>
      <c r="N119" s="4166"/>
      <c r="O119" s="4166"/>
      <c r="P119" s="4166"/>
      <c r="Q119" s="4166"/>
      <c r="R119" s="4173"/>
    </row>
    <row s="4271" customFormat="1" customHeight="1" ht="75">
      <c r="A120" s="4165"/>
      <c r="B120" s="4166"/>
      <c r="C120" s="4167" t="s">
        <v>103</v>
      </c>
      <c r="D120" s="4168" t="s">
        <v>1914</v>
      </c>
      <c r="E120" s="4169" t="s">
        <v>1915</v>
      </c>
      <c r="F120" s="4170" t="str">
        <f>IF(TEMPLATE_SPHERE="HEAT","Гкал/час","тыс. куб. м/сутки")</f>
        <v>тыс. куб. м/сутки</v>
      </c>
      <c r="G120" s="4171"/>
      <c r="H120" s="4171">
        <v>0</v>
      </c>
      <c r="I120" s="4172"/>
      <c r="J120" s="4166"/>
      <c r="K120" s="4166"/>
      <c r="L120" s="4166"/>
      <c r="M120" s="4166"/>
      <c r="N120" s="4166"/>
      <c r="O120" s="4166"/>
      <c r="P120" s="4166"/>
      <c r="Q120" s="4166"/>
      <c r="R120" s="4173"/>
    </row>
    <row s="4272" customFormat="1" customHeight="1" ht="75">
      <c r="A121" s="4165"/>
      <c r="B121" s="4166"/>
      <c r="C121" s="4167" t="s">
        <v>103</v>
      </c>
      <c r="D121" s="4168" t="s">
        <v>1916</v>
      </c>
      <c r="E121" s="4169" t="s">
        <v>1917</v>
      </c>
      <c r="F121" s="4170" t="str">
        <f>IF(TEMPLATE_SPHERE="HEAT","Гкал/час","тыс. куб. м/сутки")</f>
        <v>тыс. куб. м/сутки</v>
      </c>
      <c r="G121" s="4171"/>
      <c r="H121" s="4171">
        <v>0.6683</v>
      </c>
      <c r="I121" s="4172"/>
      <c r="J121" s="4166"/>
      <c r="K121" s="4166"/>
      <c r="L121" s="4166"/>
      <c r="M121" s="4166"/>
      <c r="N121" s="4166"/>
      <c r="O121" s="4166"/>
      <c r="P121" s="4166"/>
      <c r="Q121" s="4166"/>
      <c r="R121" s="4173"/>
    </row>
    <row s="4273" customFormat="1" customHeight="1" ht="75">
      <c r="A122" s="4165"/>
      <c r="B122" s="4166"/>
      <c r="C122" s="4167" t="s">
        <v>103</v>
      </c>
      <c r="D122" s="4168" t="s">
        <v>1918</v>
      </c>
      <c r="E122" s="4169" t="s">
        <v>1919</v>
      </c>
      <c r="F122" s="4170" t="str">
        <f>IF(TEMPLATE_SPHERE="HEAT","Гкал/час","тыс. куб. м/сутки")</f>
        <v>тыс. куб. м/сутки</v>
      </c>
      <c r="G122" s="4171"/>
      <c r="H122" s="4171">
        <v>0.1716</v>
      </c>
      <c r="I122" s="4172"/>
      <c r="J122" s="4166"/>
      <c r="K122" s="4166"/>
      <c r="L122" s="4166"/>
      <c r="M122" s="4166"/>
      <c r="N122" s="4166"/>
      <c r="O122" s="4166"/>
      <c r="P122" s="4166"/>
      <c r="Q122" s="4166"/>
      <c r="R122" s="4173"/>
    </row>
    <row s="4274" customFormat="1" customHeight="1" ht="75">
      <c r="A123" s="4165"/>
      <c r="B123" s="4166"/>
      <c r="C123" s="4167" t="s">
        <v>103</v>
      </c>
      <c r="D123" s="4168" t="s">
        <v>1920</v>
      </c>
      <c r="E123" s="4169" t="s">
        <v>1921</v>
      </c>
      <c r="F123" s="4170" t="str">
        <f>IF(TEMPLATE_SPHERE="HEAT","Гкал/час","тыс. куб. м/сутки")</f>
        <v>тыс. куб. м/сутки</v>
      </c>
      <c r="G123" s="4171"/>
      <c r="H123" s="4171">
        <v>0.3339</v>
      </c>
      <c r="I123" s="4172"/>
      <c r="J123" s="4166"/>
      <c r="K123" s="4166"/>
      <c r="L123" s="4166"/>
      <c r="M123" s="4166"/>
      <c r="N123" s="4166"/>
      <c r="O123" s="4166"/>
      <c r="P123" s="4166"/>
      <c r="Q123" s="4166"/>
      <c r="R123" s="4173"/>
    </row>
    <row s="4275" customFormat="1" customHeight="1" ht="75">
      <c r="A124" s="4165"/>
      <c r="B124" s="4166"/>
      <c r="C124" s="4167" t="s">
        <v>103</v>
      </c>
      <c r="D124" s="4168" t="s">
        <v>1922</v>
      </c>
      <c r="E124" s="4169" t="s">
        <v>1923</v>
      </c>
      <c r="F124" s="4170" t="str">
        <f>IF(TEMPLATE_SPHERE="HEAT","Гкал/час","тыс. куб. м/сутки")</f>
        <v>тыс. куб. м/сутки</v>
      </c>
      <c r="G124" s="4171"/>
      <c r="H124" s="4171">
        <v>0.6936</v>
      </c>
      <c r="I124" s="4172"/>
      <c r="J124" s="4166"/>
      <c r="K124" s="4166"/>
      <c r="L124" s="4166"/>
      <c r="M124" s="4166"/>
      <c r="N124" s="4166"/>
      <c r="O124" s="4166"/>
      <c r="P124" s="4166"/>
      <c r="Q124" s="4166"/>
      <c r="R124" s="4173"/>
    </row>
    <row s="4276" customFormat="1" customHeight="1" ht="75">
      <c r="A125" s="4165"/>
      <c r="B125" s="4166"/>
      <c r="C125" s="4167" t="s">
        <v>103</v>
      </c>
      <c r="D125" s="4168" t="s">
        <v>1924</v>
      </c>
      <c r="E125" s="4169" t="s">
        <v>1925</v>
      </c>
      <c r="F125" s="4170" t="str">
        <f>IF(TEMPLATE_SPHERE="HEAT","Гкал/час","тыс. куб. м/сутки")</f>
        <v>тыс. куб. м/сутки</v>
      </c>
      <c r="G125" s="4171"/>
      <c r="H125" s="4171">
        <v>0</v>
      </c>
      <c r="I125" s="4172"/>
      <c r="J125" s="4166"/>
      <c r="K125" s="4166"/>
      <c r="L125" s="4166"/>
      <c r="M125" s="4166"/>
      <c r="N125" s="4166"/>
      <c r="O125" s="4166"/>
      <c r="P125" s="4166"/>
      <c r="Q125" s="4166"/>
      <c r="R125" s="4173"/>
    </row>
    <row s="4277" customFormat="1" customHeight="1" ht="75">
      <c r="A126" s="4165"/>
      <c r="B126" s="4166"/>
      <c r="C126" s="4167" t="s">
        <v>103</v>
      </c>
      <c r="D126" s="4168" t="s">
        <v>1926</v>
      </c>
      <c r="E126" s="4169" t="s">
        <v>1927</v>
      </c>
      <c r="F126" s="4170" t="str">
        <f>IF(TEMPLATE_SPHERE="HEAT","Гкал/час","тыс. куб. м/сутки")</f>
        <v>тыс. куб. м/сутки</v>
      </c>
      <c r="G126" s="4171"/>
      <c r="H126" s="4171">
        <v>0.314</v>
      </c>
      <c r="I126" s="4172"/>
      <c r="J126" s="4166"/>
      <c r="K126" s="4166"/>
      <c r="L126" s="4166"/>
      <c r="M126" s="4166"/>
      <c r="N126" s="4166"/>
      <c r="O126" s="4166"/>
      <c r="P126" s="4166"/>
      <c r="Q126" s="4166"/>
      <c r="R126" s="4173"/>
    </row>
    <row s="4278" customFormat="1" customHeight="1" ht="75">
      <c r="A127" s="4165"/>
      <c r="B127" s="4166"/>
      <c r="C127" s="4167" t="s">
        <v>103</v>
      </c>
      <c r="D127" s="4168" t="s">
        <v>1928</v>
      </c>
      <c r="E127" s="4169" t="s">
        <v>1929</v>
      </c>
      <c r="F127" s="4170" t="str">
        <f>IF(TEMPLATE_SPHERE="HEAT","Гкал/час","тыс. куб. м/сутки")</f>
        <v>тыс. куб. м/сутки</v>
      </c>
      <c r="G127" s="4171"/>
      <c r="H127" s="4171">
        <v>0.4792</v>
      </c>
      <c r="I127" s="4172"/>
      <c r="J127" s="4166"/>
      <c r="K127" s="4166"/>
      <c r="L127" s="4166"/>
      <c r="M127" s="4166"/>
      <c r="N127" s="4166"/>
      <c r="O127" s="4166"/>
      <c r="P127" s="4166"/>
      <c r="Q127" s="4166"/>
      <c r="R127" s="4173"/>
    </row>
    <row s="4279" customFormat="1" customHeight="1" ht="75">
      <c r="A128" s="4165"/>
      <c r="B128" s="4166"/>
      <c r="C128" s="4167" t="s">
        <v>103</v>
      </c>
      <c r="D128" s="4168" t="s">
        <v>1930</v>
      </c>
      <c r="E128" s="4169" t="s">
        <v>1931</v>
      </c>
      <c r="F128" s="4170" t="str">
        <f>IF(TEMPLATE_SPHERE="HEAT","Гкал/час","тыс. куб. м/сутки")</f>
        <v>тыс. куб. м/сутки</v>
      </c>
      <c r="G128" s="4171"/>
      <c r="H128" s="4171">
        <v>0</v>
      </c>
      <c r="I128" s="4172"/>
      <c r="J128" s="4166"/>
      <c r="K128" s="4166"/>
      <c r="L128" s="4166"/>
      <c r="M128" s="4166"/>
      <c r="N128" s="4166"/>
      <c r="O128" s="4166"/>
      <c r="P128" s="4166"/>
      <c r="Q128" s="4166"/>
      <c r="R128" s="4173"/>
    </row>
    <row s="4280" customFormat="1" customHeight="1" ht="75">
      <c r="A129" s="4165"/>
      <c r="B129" s="4166"/>
      <c r="C129" s="4167" t="s">
        <v>103</v>
      </c>
      <c r="D129" s="4168" t="s">
        <v>1932</v>
      </c>
      <c r="E129" s="4169" t="s">
        <v>1933</v>
      </c>
      <c r="F129" s="4170" t="str">
        <f>IF(TEMPLATE_SPHERE="HEAT","Гкал/час","тыс. куб. м/сутки")</f>
        <v>тыс. куб. м/сутки</v>
      </c>
      <c r="G129" s="4171"/>
      <c r="H129" s="4171">
        <v>0.4224</v>
      </c>
      <c r="I129" s="4172"/>
      <c r="J129" s="4166"/>
      <c r="K129" s="4166"/>
      <c r="L129" s="4166"/>
      <c r="M129" s="4166"/>
      <c r="N129" s="4166"/>
      <c r="O129" s="4166"/>
      <c r="P129" s="4166"/>
      <c r="Q129" s="4166"/>
      <c r="R129" s="4173"/>
    </row>
    <row s="4281" customFormat="1" customHeight="1" ht="75">
      <c r="A130" s="4165"/>
      <c r="B130" s="4166"/>
      <c r="C130" s="4167" t="s">
        <v>103</v>
      </c>
      <c r="D130" s="4168" t="s">
        <v>1934</v>
      </c>
      <c r="E130" s="4169" t="s">
        <v>1935</v>
      </c>
      <c r="F130" s="4170" t="str">
        <f>IF(TEMPLATE_SPHERE="HEAT","Гкал/час","тыс. куб. м/сутки")</f>
        <v>тыс. куб. м/сутки</v>
      </c>
      <c r="G130" s="4171"/>
      <c r="H130" s="4171">
        <v>0</v>
      </c>
      <c r="I130" s="4172"/>
      <c r="J130" s="4166"/>
      <c r="K130" s="4166"/>
      <c r="L130" s="4166"/>
      <c r="M130" s="4166"/>
      <c r="N130" s="4166"/>
      <c r="O130" s="4166"/>
      <c r="P130" s="4166"/>
      <c r="Q130" s="4166"/>
      <c r="R130" s="4173"/>
    </row>
    <row s="4282" customFormat="1" customHeight="1" ht="75">
      <c r="A131" s="4165"/>
      <c r="B131" s="4166"/>
      <c r="C131" s="4167" t="s">
        <v>103</v>
      </c>
      <c r="D131" s="4168" t="s">
        <v>1936</v>
      </c>
      <c r="E131" s="4169" t="s">
        <v>1937</v>
      </c>
      <c r="F131" s="4170" t="str">
        <f>IF(TEMPLATE_SPHERE="HEAT","Гкал/час","тыс. куб. м/сутки")</f>
        <v>тыс. куб. м/сутки</v>
      </c>
      <c r="G131" s="4171"/>
      <c r="H131" s="4171">
        <v>0.8249</v>
      </c>
      <c r="I131" s="4172"/>
      <c r="J131" s="4166"/>
      <c r="K131" s="4166"/>
      <c r="L131" s="4166"/>
      <c r="M131" s="4166"/>
      <c r="N131" s="4166"/>
      <c r="O131" s="4166"/>
      <c r="P131" s="4166"/>
      <c r="Q131" s="4166"/>
      <c r="R131" s="4173"/>
    </row>
    <row s="4283" customFormat="1" customHeight="1" ht="75">
      <c r="A132" s="4165"/>
      <c r="B132" s="4166"/>
      <c r="C132" s="4167" t="s">
        <v>103</v>
      </c>
      <c r="D132" s="4168" t="s">
        <v>1938</v>
      </c>
      <c r="E132" s="4169" t="s">
        <v>1939</v>
      </c>
      <c r="F132" s="4170" t="str">
        <f>IF(TEMPLATE_SPHERE="HEAT","Гкал/час","тыс. куб. м/сутки")</f>
        <v>тыс. куб. м/сутки</v>
      </c>
      <c r="G132" s="4171"/>
      <c r="H132" s="4171">
        <v>0</v>
      </c>
      <c r="I132" s="4172"/>
      <c r="J132" s="4166"/>
      <c r="K132" s="4166"/>
      <c r="L132" s="4166"/>
      <c r="M132" s="4166"/>
      <c r="N132" s="4166"/>
      <c r="O132" s="4166"/>
      <c r="P132" s="4166"/>
      <c r="Q132" s="4166"/>
      <c r="R132" s="4173"/>
    </row>
    <row s="4284" customFormat="1" customHeight="1" ht="75">
      <c r="A133" s="4165"/>
      <c r="B133" s="4166"/>
      <c r="C133" s="4167" t="s">
        <v>103</v>
      </c>
      <c r="D133" s="4168" t="s">
        <v>1940</v>
      </c>
      <c r="E133" s="4169" t="s">
        <v>1941</v>
      </c>
      <c r="F133" s="4170" t="str">
        <f>IF(TEMPLATE_SPHERE="HEAT","Гкал/час","тыс. куб. м/сутки")</f>
        <v>тыс. куб. м/сутки</v>
      </c>
      <c r="G133" s="4171"/>
      <c r="H133" s="4171">
        <v>0</v>
      </c>
      <c r="I133" s="4172"/>
      <c r="J133" s="4166"/>
      <c r="K133" s="4166"/>
      <c r="L133" s="4166"/>
      <c r="M133" s="4166"/>
      <c r="N133" s="4166"/>
      <c r="O133" s="4166"/>
      <c r="P133" s="4166"/>
      <c r="Q133" s="4166"/>
      <c r="R133" s="4173"/>
    </row>
    <row s="4285" customFormat="1" customHeight="1" ht="75">
      <c r="A134" s="4165"/>
      <c r="B134" s="4166"/>
      <c r="C134" s="4167" t="s">
        <v>103</v>
      </c>
      <c r="D134" s="4168" t="s">
        <v>1942</v>
      </c>
      <c r="E134" s="4169" t="s">
        <v>1943</v>
      </c>
      <c r="F134" s="4170" t="str">
        <f>IF(TEMPLATE_SPHERE="HEAT","Гкал/час","тыс. куб. м/сутки")</f>
        <v>тыс. куб. м/сутки</v>
      </c>
      <c r="G134" s="4171"/>
      <c r="H134" s="4171">
        <v>1.2463</v>
      </c>
      <c r="I134" s="4172"/>
      <c r="J134" s="4166"/>
      <c r="K134" s="4166"/>
      <c r="L134" s="4166"/>
      <c r="M134" s="4166"/>
      <c r="N134" s="4166"/>
      <c r="O134" s="4166"/>
      <c r="P134" s="4166"/>
      <c r="Q134" s="4166"/>
      <c r="R134" s="4173"/>
    </row>
    <row s="4286" customFormat="1" customHeight="1" ht="75">
      <c r="A135" s="4165"/>
      <c r="B135" s="4166"/>
      <c r="C135" s="4167" t="s">
        <v>103</v>
      </c>
      <c r="D135" s="4168" t="s">
        <v>1944</v>
      </c>
      <c r="E135" s="4169" t="s">
        <v>1945</v>
      </c>
      <c r="F135" s="4170" t="str">
        <f>IF(TEMPLATE_SPHERE="HEAT","Гкал/час","тыс. куб. м/сутки")</f>
        <v>тыс. куб. м/сутки</v>
      </c>
      <c r="G135" s="4171"/>
      <c r="H135" s="4171">
        <v>0</v>
      </c>
      <c r="I135" s="4172"/>
      <c r="J135" s="4166"/>
      <c r="K135" s="4166"/>
      <c r="L135" s="4166"/>
      <c r="M135" s="4166"/>
      <c r="N135" s="4166"/>
      <c r="O135" s="4166"/>
      <c r="P135" s="4166"/>
      <c r="Q135" s="4166"/>
      <c r="R135" s="4173"/>
    </row>
    <row s="4287" customFormat="1" customHeight="1" ht="75">
      <c r="A136" s="4165"/>
      <c r="B136" s="4166"/>
      <c r="C136" s="4167" t="s">
        <v>103</v>
      </c>
      <c r="D136" s="4168" t="s">
        <v>1946</v>
      </c>
      <c r="E136" s="4169" t="s">
        <v>1947</v>
      </c>
      <c r="F136" s="4170" t="str">
        <f>IF(TEMPLATE_SPHERE="HEAT","Гкал/час","тыс. куб. м/сутки")</f>
        <v>тыс. куб. м/сутки</v>
      </c>
      <c r="G136" s="4171"/>
      <c r="H136" s="4171">
        <v>0</v>
      </c>
      <c r="I136" s="4172"/>
      <c r="J136" s="4166"/>
      <c r="K136" s="4166"/>
      <c r="L136" s="4166"/>
      <c r="M136" s="4166"/>
      <c r="N136" s="4166"/>
      <c r="O136" s="4166"/>
      <c r="P136" s="4166"/>
      <c r="Q136" s="4166"/>
      <c r="R136" s="4173"/>
    </row>
    <row s="4288" customFormat="1" customHeight="1" ht="75">
      <c r="A137" s="4165"/>
      <c r="B137" s="4166"/>
      <c r="C137" s="4167" t="s">
        <v>103</v>
      </c>
      <c r="D137" s="4168" t="s">
        <v>1948</v>
      </c>
      <c r="E137" s="4169" t="s">
        <v>1949</v>
      </c>
      <c r="F137" s="4170" t="str">
        <f>IF(TEMPLATE_SPHERE="HEAT","Гкал/час","тыс. куб. м/сутки")</f>
        <v>тыс. куб. м/сутки</v>
      </c>
      <c r="G137" s="4171"/>
      <c r="H137" s="4171">
        <v>8.4277</v>
      </c>
      <c r="I137" s="4172"/>
      <c r="J137" s="4166"/>
      <c r="K137" s="4166"/>
      <c r="L137" s="4166"/>
      <c r="M137" s="4166"/>
      <c r="N137" s="4166"/>
      <c r="O137" s="4166"/>
      <c r="P137" s="4166"/>
      <c r="Q137" s="4166"/>
      <c r="R137" s="4173"/>
    </row>
    <row s="4289" customFormat="1" customHeight="1" ht="75">
      <c r="A138" s="4165"/>
      <c r="B138" s="4166"/>
      <c r="C138" s="4167" t="s">
        <v>103</v>
      </c>
      <c r="D138" s="4168" t="s">
        <v>1950</v>
      </c>
      <c r="E138" s="4169" t="s">
        <v>1951</v>
      </c>
      <c r="F138" s="4170" t="str">
        <f>IF(TEMPLATE_SPHERE="HEAT","Гкал/час","тыс. куб. м/сутки")</f>
        <v>тыс. куб. м/сутки</v>
      </c>
      <c r="G138" s="4171"/>
      <c r="H138" s="4171">
        <v>0.309</v>
      </c>
      <c r="I138" s="4172"/>
      <c r="J138" s="4166"/>
      <c r="K138" s="4166"/>
      <c r="L138" s="4166"/>
      <c r="M138" s="4166"/>
      <c r="N138" s="4166"/>
      <c r="O138" s="4166"/>
      <c r="P138" s="4166"/>
      <c r="Q138" s="4166"/>
      <c r="R138" s="4173"/>
    </row>
    <row s="4290" customFormat="1" customHeight="1" ht="75">
      <c r="A139" s="4165"/>
      <c r="B139" s="4166"/>
      <c r="C139" s="4167" t="s">
        <v>103</v>
      </c>
      <c r="D139" s="4168" t="s">
        <v>1952</v>
      </c>
      <c r="E139" s="4169" t="s">
        <v>1953</v>
      </c>
      <c r="F139" s="4170" t="str">
        <f>IF(TEMPLATE_SPHERE="HEAT","Гкал/час","тыс. куб. м/сутки")</f>
        <v>тыс. куб. м/сутки</v>
      </c>
      <c r="G139" s="4171"/>
      <c r="H139" s="4171">
        <v>0.1065</v>
      </c>
      <c r="I139" s="4172"/>
      <c r="J139" s="4166"/>
      <c r="K139" s="4166"/>
      <c r="L139" s="4166"/>
      <c r="M139" s="4166"/>
      <c r="N139" s="4166"/>
      <c r="O139" s="4166"/>
      <c r="P139" s="4166"/>
      <c r="Q139" s="4166"/>
      <c r="R139" s="4173"/>
    </row>
    <row s="4291" customFormat="1" customHeight="1" ht="75">
      <c r="A140" s="4165"/>
      <c r="B140" s="4166"/>
      <c r="C140" s="4167" t="s">
        <v>103</v>
      </c>
      <c r="D140" s="4168" t="s">
        <v>1954</v>
      </c>
      <c r="E140" s="4169" t="s">
        <v>1955</v>
      </c>
      <c r="F140" s="4170" t="str">
        <f>IF(TEMPLATE_SPHERE="HEAT","Гкал/час","тыс. куб. м/сутки")</f>
        <v>тыс. куб. м/сутки</v>
      </c>
      <c r="G140" s="4171"/>
      <c r="H140" s="4171">
        <v>0.2438</v>
      </c>
      <c r="I140" s="4172"/>
      <c r="J140" s="4166"/>
      <c r="K140" s="4166"/>
      <c r="L140" s="4166"/>
      <c r="M140" s="4166"/>
      <c r="N140" s="4166"/>
      <c r="O140" s="4166"/>
      <c r="P140" s="4166"/>
      <c r="Q140" s="4166"/>
      <c r="R140" s="4173"/>
    </row>
    <row s="4292" customFormat="1" customHeight="1" ht="75">
      <c r="A141" s="4165"/>
      <c r="B141" s="4166"/>
      <c r="C141" s="4167" t="s">
        <v>103</v>
      </c>
      <c r="D141" s="4168" t="s">
        <v>1956</v>
      </c>
      <c r="E141" s="4169" t="s">
        <v>1957</v>
      </c>
      <c r="F141" s="4170" t="str">
        <f>IF(TEMPLATE_SPHERE="HEAT","Гкал/час","тыс. куб. м/сутки")</f>
        <v>тыс. куб. м/сутки</v>
      </c>
      <c r="G141" s="4171"/>
      <c r="H141" s="4171">
        <v>0.276</v>
      </c>
      <c r="I141" s="4172"/>
      <c r="J141" s="4166"/>
      <c r="K141" s="4166"/>
      <c r="L141" s="4166"/>
      <c r="M141" s="4166"/>
      <c r="N141" s="4166"/>
      <c r="O141" s="4166"/>
      <c r="P141" s="4166"/>
      <c r="Q141" s="4166"/>
      <c r="R141" s="4173"/>
    </row>
    <row s="4293" customFormat="1" customHeight="1" ht="75">
      <c r="A142" s="4165"/>
      <c r="B142" s="4166"/>
      <c r="C142" s="4167" t="s">
        <v>103</v>
      </c>
      <c r="D142" s="4168" t="s">
        <v>1958</v>
      </c>
      <c r="E142" s="4169" t="s">
        <v>1959</v>
      </c>
      <c r="F142" s="4170" t="str">
        <f>IF(TEMPLATE_SPHERE="HEAT","Гкал/час","тыс. куб. м/сутки")</f>
        <v>тыс. куб. м/сутки</v>
      </c>
      <c r="G142" s="4171"/>
      <c r="H142" s="4171">
        <v>0.4243</v>
      </c>
      <c r="I142" s="4172"/>
      <c r="J142" s="4166"/>
      <c r="K142" s="4166"/>
      <c r="L142" s="4166"/>
      <c r="M142" s="4166"/>
      <c r="N142" s="4166"/>
      <c r="O142" s="4166"/>
      <c r="P142" s="4166"/>
      <c r="Q142" s="4166"/>
      <c r="R142" s="4173"/>
    </row>
    <row s="4294" customFormat="1" customHeight="1" ht="75">
      <c r="A143" s="4165"/>
      <c r="B143" s="4166"/>
      <c r="C143" s="4167" t="s">
        <v>103</v>
      </c>
      <c r="D143" s="4168" t="s">
        <v>1960</v>
      </c>
      <c r="E143" s="4169" t="s">
        <v>1961</v>
      </c>
      <c r="F143" s="4170" t="str">
        <f>IF(TEMPLATE_SPHERE="HEAT","Гкал/час","тыс. куб. м/сутки")</f>
        <v>тыс. куб. м/сутки</v>
      </c>
      <c r="G143" s="4171"/>
      <c r="H143" s="4171">
        <v>0.2013</v>
      </c>
      <c r="I143" s="4172"/>
      <c r="J143" s="4166"/>
      <c r="K143" s="4166"/>
      <c r="L143" s="4166"/>
      <c r="M143" s="4166"/>
      <c r="N143" s="4166"/>
      <c r="O143" s="4166"/>
      <c r="P143" s="4166"/>
      <c r="Q143" s="4166"/>
      <c r="R143" s="4173"/>
    </row>
    <row s="4295" customFormat="1" customHeight="1" ht="75">
      <c r="A144" s="4165"/>
      <c r="B144" s="4166"/>
      <c r="C144" s="4167" t="s">
        <v>103</v>
      </c>
      <c r="D144" s="4168" t="s">
        <v>1962</v>
      </c>
      <c r="E144" s="4169" t="s">
        <v>1963</v>
      </c>
      <c r="F144" s="4170" t="str">
        <f>IF(TEMPLATE_SPHERE="HEAT","Гкал/час","тыс. куб. м/сутки")</f>
        <v>тыс. куб. м/сутки</v>
      </c>
      <c r="G144" s="4171"/>
      <c r="H144" s="4171">
        <v>0.1397</v>
      </c>
      <c r="I144" s="4172"/>
      <c r="J144" s="4166"/>
      <c r="K144" s="4166"/>
      <c r="L144" s="4166"/>
      <c r="M144" s="4166"/>
      <c r="N144" s="4166"/>
      <c r="O144" s="4166"/>
      <c r="P144" s="4166"/>
      <c r="Q144" s="4166"/>
      <c r="R144" s="4173"/>
    </row>
    <row s="4296" customFormat="1" customHeight="1" ht="75">
      <c r="A145" s="4165"/>
      <c r="B145" s="4166"/>
      <c r="C145" s="4167" t="s">
        <v>103</v>
      </c>
      <c r="D145" s="4168" t="s">
        <v>1964</v>
      </c>
      <c r="E145" s="4169" t="s">
        <v>1965</v>
      </c>
      <c r="F145" s="4170" t="str">
        <f>IF(TEMPLATE_SPHERE="HEAT","Гкал/час","тыс. куб. м/сутки")</f>
        <v>тыс. куб. м/сутки</v>
      </c>
      <c r="G145" s="4171"/>
      <c r="H145" s="4171">
        <v>0.3642</v>
      </c>
      <c r="I145" s="4172"/>
      <c r="J145" s="4166"/>
      <c r="K145" s="4166"/>
      <c r="L145" s="4166"/>
      <c r="M145" s="4166"/>
      <c r="N145" s="4166"/>
      <c r="O145" s="4166"/>
      <c r="P145" s="4166"/>
      <c r="Q145" s="4166"/>
      <c r="R145" s="4173"/>
    </row>
    <row s="4297" customFormat="1" customHeight="1" ht="75">
      <c r="A146" s="4165"/>
      <c r="B146" s="4166"/>
      <c r="C146" s="4167" t="s">
        <v>103</v>
      </c>
      <c r="D146" s="4168" t="s">
        <v>1966</v>
      </c>
      <c r="E146" s="4169" t="s">
        <v>1967</v>
      </c>
      <c r="F146" s="4170" t="str">
        <f>IF(TEMPLATE_SPHERE="HEAT","Гкал/час","тыс. куб. м/сутки")</f>
        <v>тыс. куб. м/сутки</v>
      </c>
      <c r="G146" s="4171"/>
      <c r="H146" s="4171">
        <v>0.3399</v>
      </c>
      <c r="I146" s="4172"/>
      <c r="J146" s="4166"/>
      <c r="K146" s="4166"/>
      <c r="L146" s="4166"/>
      <c r="M146" s="4166"/>
      <c r="N146" s="4166"/>
      <c r="O146" s="4166"/>
      <c r="P146" s="4166"/>
      <c r="Q146" s="4166"/>
      <c r="R146" s="4173"/>
    </row>
    <row s="4298" customFormat="1" customHeight="1" ht="75">
      <c r="A147" s="4165"/>
      <c r="B147" s="4166"/>
      <c r="C147" s="4167" t="s">
        <v>103</v>
      </c>
      <c r="D147" s="4168" t="s">
        <v>1968</v>
      </c>
      <c r="E147" s="4169" t="s">
        <v>1969</v>
      </c>
      <c r="F147" s="4170" t="str">
        <f>IF(TEMPLATE_SPHERE="HEAT","Гкал/час","тыс. куб. м/сутки")</f>
        <v>тыс. куб. м/сутки</v>
      </c>
      <c r="G147" s="4171"/>
      <c r="H147" s="4171">
        <v>0.1885</v>
      </c>
      <c r="I147" s="4172"/>
      <c r="J147" s="4166"/>
      <c r="K147" s="4166"/>
      <c r="L147" s="4166"/>
      <c r="M147" s="4166"/>
      <c r="N147" s="4166"/>
      <c r="O147" s="4166"/>
      <c r="P147" s="4166"/>
      <c r="Q147" s="4166"/>
      <c r="R147" s="4173"/>
    </row>
    <row s="4299" customFormat="1" customHeight="1" ht="75">
      <c r="A148" s="4165"/>
      <c r="B148" s="4166"/>
      <c r="C148" s="4167" t="s">
        <v>103</v>
      </c>
      <c r="D148" s="4168" t="s">
        <v>1970</v>
      </c>
      <c r="E148" s="4169" t="s">
        <v>1971</v>
      </c>
      <c r="F148" s="4170" t="str">
        <f>IF(TEMPLATE_SPHERE="HEAT","Гкал/час","тыс. куб. м/сутки")</f>
        <v>тыс. куб. м/сутки</v>
      </c>
      <c r="G148" s="4171"/>
      <c r="H148" s="4171">
        <v>0.1325</v>
      </c>
      <c r="I148" s="4172"/>
      <c r="J148" s="4166"/>
      <c r="K148" s="4166"/>
      <c r="L148" s="4166"/>
      <c r="M148" s="4166"/>
      <c r="N148" s="4166"/>
      <c r="O148" s="4166"/>
      <c r="P148" s="4166"/>
      <c r="Q148" s="4166"/>
      <c r="R148" s="4173"/>
    </row>
    <row s="4300" customFormat="1" customHeight="1" ht="75">
      <c r="A149" s="4165"/>
      <c r="B149" s="4166"/>
      <c r="C149" s="4167" t="s">
        <v>103</v>
      </c>
      <c r="D149" s="4168" t="s">
        <v>1972</v>
      </c>
      <c r="E149" s="4169" t="s">
        <v>1973</v>
      </c>
      <c r="F149" s="4170" t="str">
        <f>IF(TEMPLATE_SPHERE="HEAT","Гкал/час","тыс. куб. м/сутки")</f>
        <v>тыс. куб. м/сутки</v>
      </c>
      <c r="G149" s="4171"/>
      <c r="H149" s="4171">
        <v>9.0111</v>
      </c>
      <c r="I149" s="4172"/>
      <c r="J149" s="4166"/>
      <c r="K149" s="4166"/>
      <c r="L149" s="4166"/>
      <c r="M149" s="4166"/>
      <c r="N149" s="4166"/>
      <c r="O149" s="4166"/>
      <c r="P149" s="4166"/>
      <c r="Q149" s="4166"/>
      <c r="R149" s="4173"/>
    </row>
    <row s="4301" customFormat="1" customHeight="1" ht="75">
      <c r="A150" s="4165"/>
      <c r="B150" s="4166"/>
      <c r="C150" s="4167" t="s">
        <v>103</v>
      </c>
      <c r="D150" s="4168" t="s">
        <v>1974</v>
      </c>
      <c r="E150" s="4169" t="s">
        <v>1975</v>
      </c>
      <c r="F150" s="4170" t="str">
        <f>IF(TEMPLATE_SPHERE="HEAT","Гкал/час","тыс. куб. м/сутки")</f>
        <v>тыс. куб. м/сутки</v>
      </c>
      <c r="G150" s="4171"/>
      <c r="H150" s="4171">
        <v>0.748</v>
      </c>
      <c r="I150" s="4172"/>
      <c r="J150" s="4166"/>
      <c r="K150" s="4166"/>
      <c r="L150" s="4166"/>
      <c r="M150" s="4166"/>
      <c r="N150" s="4166"/>
      <c r="O150" s="4166"/>
      <c r="P150" s="4166"/>
      <c r="Q150" s="4166"/>
      <c r="R150" s="4173"/>
    </row>
    <row s="4302" customFormat="1" customHeight="1" ht="75">
      <c r="A151" s="4165"/>
      <c r="B151" s="4166"/>
      <c r="C151" s="4167" t="s">
        <v>103</v>
      </c>
      <c r="D151" s="4168" t="s">
        <v>1976</v>
      </c>
      <c r="E151" s="4169" t="s">
        <v>1977</v>
      </c>
      <c r="F151" s="4170" t="str">
        <f>IF(TEMPLATE_SPHERE="HEAT","Гкал/час","тыс. куб. м/сутки")</f>
        <v>тыс. куб. м/сутки</v>
      </c>
      <c r="G151" s="4171"/>
      <c r="H151" s="4171">
        <v>6.8075</v>
      </c>
      <c r="I151" s="4172"/>
      <c r="J151" s="4166"/>
      <c r="K151" s="4166"/>
      <c r="L151" s="4166"/>
      <c r="M151" s="4166"/>
      <c r="N151" s="4166"/>
      <c r="O151" s="4166"/>
      <c r="P151" s="4166"/>
      <c r="Q151" s="4166"/>
      <c r="R151" s="4173"/>
    </row>
    <row s="4303" customFormat="1" customHeight="1" ht="75">
      <c r="A152" s="4165"/>
      <c r="B152" s="4166"/>
      <c r="C152" s="4167" t="s">
        <v>103</v>
      </c>
      <c r="D152" s="4168" t="s">
        <v>1978</v>
      </c>
      <c r="E152" s="4169" t="s">
        <v>1979</v>
      </c>
      <c r="F152" s="4170" t="str">
        <f>IF(TEMPLATE_SPHERE="HEAT","Гкал/час","тыс. куб. м/сутки")</f>
        <v>тыс. куб. м/сутки</v>
      </c>
      <c r="G152" s="4171"/>
      <c r="H152" s="4171">
        <v>0.1313</v>
      </c>
      <c r="I152" s="4172"/>
      <c r="J152" s="4166"/>
      <c r="K152" s="4166"/>
      <c r="L152" s="4166"/>
      <c r="M152" s="4166"/>
      <c r="N152" s="4166"/>
      <c r="O152" s="4166"/>
      <c r="P152" s="4166"/>
      <c r="Q152" s="4166"/>
      <c r="R152" s="4173"/>
    </row>
    <row s="4304" customFormat="1" customHeight="1" ht="75">
      <c r="A153" s="4165"/>
      <c r="B153" s="4166"/>
      <c r="C153" s="4167" t="s">
        <v>103</v>
      </c>
      <c r="D153" s="4168" t="s">
        <v>1980</v>
      </c>
      <c r="E153" s="4169" t="s">
        <v>1981</v>
      </c>
      <c r="F153" s="4170" t="str">
        <f>IF(TEMPLATE_SPHERE="HEAT","Гкал/час","тыс. куб. м/сутки")</f>
        <v>тыс. куб. м/сутки</v>
      </c>
      <c r="G153" s="4171"/>
      <c r="H153" s="4171">
        <v>0.152</v>
      </c>
      <c r="I153" s="4172"/>
      <c r="J153" s="4166"/>
      <c r="K153" s="4166"/>
      <c r="L153" s="4166"/>
      <c r="M153" s="4166"/>
      <c r="N153" s="4166"/>
      <c r="O153" s="4166"/>
      <c r="P153" s="4166"/>
      <c r="Q153" s="4166"/>
      <c r="R153" s="4173"/>
    </row>
    <row s="4305" customFormat="1" customHeight="1" ht="75">
      <c r="A154" s="4165"/>
      <c r="B154" s="4166"/>
      <c r="C154" s="4167" t="s">
        <v>103</v>
      </c>
      <c r="D154" s="4168" t="s">
        <v>1982</v>
      </c>
      <c r="E154" s="4169" t="s">
        <v>1983</v>
      </c>
      <c r="F154" s="4170" t="str">
        <f>IF(TEMPLATE_SPHERE="HEAT","Гкал/час","тыс. куб. м/сутки")</f>
        <v>тыс. куб. м/сутки</v>
      </c>
      <c r="G154" s="4171"/>
      <c r="H154" s="4171">
        <v>2.1946</v>
      </c>
      <c r="I154" s="4172"/>
      <c r="J154" s="4166"/>
      <c r="K154" s="4166"/>
      <c r="L154" s="4166"/>
      <c r="M154" s="4166"/>
      <c r="N154" s="4166"/>
      <c r="O154" s="4166"/>
      <c r="P154" s="4166"/>
      <c r="Q154" s="4166"/>
      <c r="R154" s="4173"/>
    </row>
    <row s="4306" customFormat="1" customHeight="1" ht="75">
      <c r="A155" s="4165"/>
      <c r="B155" s="4166"/>
      <c r="C155" s="4167" t="s">
        <v>103</v>
      </c>
      <c r="D155" s="4168" t="s">
        <v>1984</v>
      </c>
      <c r="E155" s="4169" t="s">
        <v>1879</v>
      </c>
      <c r="F155" s="4170" t="str">
        <f>IF(TEMPLATE_SPHERE="HEAT","Гкал/час","тыс. куб. м/сутки")</f>
        <v>тыс. куб. м/сутки</v>
      </c>
      <c r="G155" s="4171"/>
      <c r="H155" s="4171">
        <v>0.1399</v>
      </c>
      <c r="I155" s="4172"/>
      <c r="J155" s="4166"/>
      <c r="K155" s="4166"/>
      <c r="L155" s="4166"/>
      <c r="M155" s="4166"/>
      <c r="N155" s="4166"/>
      <c r="O155" s="4166"/>
      <c r="P155" s="4166"/>
      <c r="Q155" s="4166"/>
      <c r="R155" s="4173"/>
    </row>
    <row s="4307" customFormat="1" customHeight="1" ht="75">
      <c r="A156" s="4165"/>
      <c r="B156" s="4166"/>
      <c r="C156" s="4167" t="s">
        <v>103</v>
      </c>
      <c r="D156" s="4168" t="s">
        <v>1985</v>
      </c>
      <c r="E156" s="4169" t="s">
        <v>1986</v>
      </c>
      <c r="F156" s="4170" t="str">
        <f>IF(TEMPLATE_SPHERE="HEAT","Гкал/час","тыс. куб. м/сутки")</f>
        <v>тыс. куб. м/сутки</v>
      </c>
      <c r="G156" s="4171"/>
      <c r="H156" s="4171">
        <v>0.1874</v>
      </c>
      <c r="I156" s="4172"/>
      <c r="J156" s="4166"/>
      <c r="K156" s="4166"/>
      <c r="L156" s="4166"/>
      <c r="M156" s="4166"/>
      <c r="N156" s="4166"/>
      <c r="O156" s="4166"/>
      <c r="P156" s="4166"/>
      <c r="Q156" s="4166"/>
      <c r="R156" s="4173"/>
    </row>
    <row s="4308" customFormat="1" customHeight="1" ht="75">
      <c r="A157" s="4165"/>
      <c r="B157" s="4166"/>
      <c r="C157" s="4167" t="s">
        <v>103</v>
      </c>
      <c r="D157" s="4168" t="s">
        <v>1987</v>
      </c>
      <c r="E157" s="4169" t="s">
        <v>1988</v>
      </c>
      <c r="F157" s="4170" t="str">
        <f>IF(TEMPLATE_SPHERE="HEAT","Гкал/час","тыс. куб. м/сутки")</f>
        <v>тыс. куб. м/сутки</v>
      </c>
      <c r="G157" s="4171"/>
      <c r="H157" s="4171">
        <v>0.2094</v>
      </c>
      <c r="I157" s="4172"/>
      <c r="J157" s="4166"/>
      <c r="K157" s="4166"/>
      <c r="L157" s="4166"/>
      <c r="M157" s="4166"/>
      <c r="N157" s="4166"/>
      <c r="O157" s="4166"/>
      <c r="P157" s="4166"/>
      <c r="Q157" s="4166"/>
      <c r="R157" s="4173"/>
    </row>
    <row s="4309" customFormat="1" customHeight="1" ht="75">
      <c r="A158" s="4165"/>
      <c r="B158" s="4166"/>
      <c r="C158" s="4167" t="s">
        <v>103</v>
      </c>
      <c r="D158" s="4168" t="s">
        <v>1989</v>
      </c>
      <c r="E158" s="4169" t="s">
        <v>1990</v>
      </c>
      <c r="F158" s="4170" t="str">
        <f>IF(TEMPLATE_SPHERE="HEAT","Гкал/час","тыс. куб. м/сутки")</f>
        <v>тыс. куб. м/сутки</v>
      </c>
      <c r="G158" s="4171"/>
      <c r="H158" s="4171">
        <v>0.1993</v>
      </c>
      <c r="I158" s="4172"/>
      <c r="J158" s="4166"/>
      <c r="K158" s="4166"/>
      <c r="L158" s="4166"/>
      <c r="M158" s="4166"/>
      <c r="N158" s="4166"/>
      <c r="O158" s="4166"/>
      <c r="P158" s="4166"/>
      <c r="Q158" s="4166"/>
      <c r="R158" s="4173"/>
    </row>
    <row s="4310" customFormat="1" customHeight="1" ht="75">
      <c r="A159" s="4165"/>
      <c r="B159" s="4166"/>
      <c r="C159" s="4167" t="s">
        <v>103</v>
      </c>
      <c r="D159" s="4168" t="s">
        <v>1991</v>
      </c>
      <c r="E159" s="4169" t="s">
        <v>1992</v>
      </c>
      <c r="F159" s="4170" t="str">
        <f>IF(TEMPLATE_SPHERE="HEAT","Гкал/час","тыс. куб. м/сутки")</f>
        <v>тыс. куб. м/сутки</v>
      </c>
      <c r="G159" s="4171"/>
      <c r="H159" s="4171">
        <v>0.2095</v>
      </c>
      <c r="I159" s="4172"/>
      <c r="J159" s="4166"/>
      <c r="K159" s="4166"/>
      <c r="L159" s="4166"/>
      <c r="M159" s="4166"/>
      <c r="N159" s="4166"/>
      <c r="O159" s="4166"/>
      <c r="P159" s="4166"/>
      <c r="Q159" s="4166"/>
      <c r="R159" s="4173"/>
    </row>
    <row s="4311" customFormat="1" customHeight="1" ht="75">
      <c r="A160" s="4165"/>
      <c r="B160" s="4166"/>
      <c r="C160" s="4167" t="s">
        <v>103</v>
      </c>
      <c r="D160" s="4168" t="s">
        <v>1993</v>
      </c>
      <c r="E160" s="4169" t="s">
        <v>1994</v>
      </c>
      <c r="F160" s="4170" t="str">
        <f>IF(TEMPLATE_SPHERE="HEAT","Гкал/час","тыс. куб. м/сутки")</f>
        <v>тыс. куб. м/сутки</v>
      </c>
      <c r="G160" s="4171"/>
      <c r="H160" s="4171">
        <v>0.127</v>
      </c>
      <c r="I160" s="4172"/>
      <c r="J160" s="4166"/>
      <c r="K160" s="4166"/>
      <c r="L160" s="4166"/>
      <c r="M160" s="4166"/>
      <c r="N160" s="4166"/>
      <c r="O160" s="4166"/>
      <c r="P160" s="4166"/>
      <c r="Q160" s="4166"/>
      <c r="R160" s="4173"/>
    </row>
    <row s="4312" customFormat="1" customHeight="1" ht="75">
      <c r="A161" s="4165"/>
      <c r="B161" s="4166"/>
      <c r="C161" s="4167" t="s">
        <v>103</v>
      </c>
      <c r="D161" s="4168" t="s">
        <v>1995</v>
      </c>
      <c r="E161" s="4169" t="s">
        <v>1996</v>
      </c>
      <c r="F161" s="4170" t="str">
        <f>IF(TEMPLATE_SPHERE="HEAT","Гкал/час","тыс. куб. м/сутки")</f>
        <v>тыс. куб. м/сутки</v>
      </c>
      <c r="G161" s="4171"/>
      <c r="H161" s="4171">
        <v>0.14</v>
      </c>
      <c r="I161" s="4172"/>
      <c r="J161" s="4166"/>
      <c r="K161" s="4166"/>
      <c r="L161" s="4166"/>
      <c r="M161" s="4166"/>
      <c r="N161" s="4166"/>
      <c r="O161" s="4166"/>
      <c r="P161" s="4166"/>
      <c r="Q161" s="4166"/>
      <c r="R161" s="4173"/>
    </row>
    <row s="4313" customFormat="1" customHeight="1" ht="75">
      <c r="A162" s="4165"/>
      <c r="B162" s="4166"/>
      <c r="C162" s="4167" t="s">
        <v>103</v>
      </c>
      <c r="D162" s="4168" t="s">
        <v>1997</v>
      </c>
      <c r="E162" s="4169" t="s">
        <v>1998</v>
      </c>
      <c r="F162" s="4170" t="str">
        <f>IF(TEMPLATE_SPHERE="HEAT","Гкал/час","тыс. куб. м/сутки")</f>
        <v>тыс. куб. м/сутки</v>
      </c>
      <c r="G162" s="4171"/>
      <c r="H162" s="4171">
        <v>0.1732</v>
      </c>
      <c r="I162" s="4172"/>
      <c r="J162" s="4166"/>
      <c r="K162" s="4166"/>
      <c r="L162" s="4166"/>
      <c r="M162" s="4166"/>
      <c r="N162" s="4166"/>
      <c r="O162" s="4166"/>
      <c r="P162" s="4166"/>
      <c r="Q162" s="4166"/>
      <c r="R162" s="4173"/>
    </row>
    <row s="4314" customFormat="1" customHeight="1" ht="75">
      <c r="A163" s="4165"/>
      <c r="B163" s="4166"/>
      <c r="C163" s="4167" t="s">
        <v>103</v>
      </c>
      <c r="D163" s="4168" t="s">
        <v>1999</v>
      </c>
      <c r="E163" s="4169" t="s">
        <v>2000</v>
      </c>
      <c r="F163" s="4170" t="str">
        <f>IF(TEMPLATE_SPHERE="HEAT","Гкал/час","тыс. куб. м/сутки")</f>
        <v>тыс. куб. м/сутки</v>
      </c>
      <c r="G163" s="4171"/>
      <c r="H163" s="4171">
        <v>0.1873</v>
      </c>
      <c r="I163" s="4172"/>
      <c r="J163" s="4166"/>
      <c r="K163" s="4166"/>
      <c r="L163" s="4166"/>
      <c r="M163" s="4166"/>
      <c r="N163" s="4166"/>
      <c r="O163" s="4166"/>
      <c r="P163" s="4166"/>
      <c r="Q163" s="4166"/>
      <c r="R163" s="4173"/>
    </row>
    <row s="4315" customFormat="1" customHeight="1" ht="75">
      <c r="A164" s="4165"/>
      <c r="B164" s="4166"/>
      <c r="C164" s="4167" t="s">
        <v>103</v>
      </c>
      <c r="D164" s="4168" t="s">
        <v>2001</v>
      </c>
      <c r="E164" s="4169" t="s">
        <v>2002</v>
      </c>
      <c r="F164" s="4170" t="str">
        <f>IF(TEMPLATE_SPHERE="HEAT","Гкал/час","тыс. куб. м/сутки")</f>
        <v>тыс. куб. м/сутки</v>
      </c>
      <c r="G164" s="4171"/>
      <c r="H164" s="4171">
        <v>0.1275</v>
      </c>
      <c r="I164" s="4172"/>
      <c r="J164" s="4166"/>
      <c r="K164" s="4166"/>
      <c r="L164" s="4166"/>
      <c r="M164" s="4166"/>
      <c r="N164" s="4166"/>
      <c r="O164" s="4166"/>
      <c r="P164" s="4166"/>
      <c r="Q164" s="4166"/>
      <c r="R164" s="4173"/>
    </row>
    <row s="4316" customFormat="1" customHeight="1" ht="75">
      <c r="A165" s="4165"/>
      <c r="B165" s="4166"/>
      <c r="C165" s="4167" t="s">
        <v>103</v>
      </c>
      <c r="D165" s="4168" t="s">
        <v>2003</v>
      </c>
      <c r="E165" s="4169" t="s">
        <v>2004</v>
      </c>
      <c r="F165" s="4170" t="str">
        <f>IF(TEMPLATE_SPHERE="HEAT","Гкал/час","тыс. куб. м/сутки")</f>
        <v>тыс. куб. м/сутки</v>
      </c>
      <c r="G165" s="4171"/>
      <c r="H165" s="4171">
        <v>0.144</v>
      </c>
      <c r="I165" s="4172"/>
      <c r="J165" s="4166"/>
      <c r="K165" s="4166"/>
      <c r="L165" s="4166"/>
      <c r="M165" s="4166"/>
      <c r="N165" s="4166"/>
      <c r="O165" s="4166"/>
      <c r="P165" s="4166"/>
      <c r="Q165" s="4166"/>
      <c r="R165" s="4173"/>
    </row>
    <row s="4317" customFormat="1" customHeight="1" ht="75">
      <c r="A166" s="4165"/>
      <c r="B166" s="4166"/>
      <c r="C166" s="4167" t="s">
        <v>103</v>
      </c>
      <c r="D166" s="4168" t="s">
        <v>2005</v>
      </c>
      <c r="E166" s="4169" t="s">
        <v>2006</v>
      </c>
      <c r="F166" s="4170" t="str">
        <f>IF(TEMPLATE_SPHERE="HEAT","Гкал/час","тыс. куб. м/сутки")</f>
        <v>тыс. куб. м/сутки</v>
      </c>
      <c r="G166" s="4171"/>
      <c r="H166" s="4171">
        <v>0.161</v>
      </c>
      <c r="I166" s="4172"/>
      <c r="J166" s="4166"/>
      <c r="K166" s="4166"/>
      <c r="L166" s="4166"/>
      <c r="M166" s="4166"/>
      <c r="N166" s="4166"/>
      <c r="O166" s="4166"/>
      <c r="P166" s="4166"/>
      <c r="Q166" s="4166"/>
      <c r="R166" s="4173"/>
    </row>
    <row s="4318" customFormat="1" customHeight="1" ht="75">
      <c r="A167" s="4165"/>
      <c r="B167" s="4166"/>
      <c r="C167" s="4167" t="s">
        <v>103</v>
      </c>
      <c r="D167" s="4168" t="s">
        <v>2007</v>
      </c>
      <c r="E167" s="4169" t="s">
        <v>2008</v>
      </c>
      <c r="F167" s="4170" t="str">
        <f>IF(TEMPLATE_SPHERE="HEAT","Гкал/час","тыс. куб. м/сутки")</f>
        <v>тыс. куб. м/сутки</v>
      </c>
      <c r="G167" s="4171"/>
      <c r="H167" s="4171">
        <v>0.0887</v>
      </c>
      <c r="I167" s="4172"/>
      <c r="J167" s="4166"/>
      <c r="K167" s="4166"/>
      <c r="L167" s="4166"/>
      <c r="M167" s="4166"/>
      <c r="N167" s="4166"/>
      <c r="O167" s="4166"/>
      <c r="P167" s="4166"/>
      <c r="Q167" s="4166"/>
      <c r="R167" s="4173"/>
    </row>
    <row s="4319" customFormat="1" customHeight="1" ht="75">
      <c r="A168" s="4165"/>
      <c r="B168" s="4166"/>
      <c r="C168" s="4167" t="s">
        <v>103</v>
      </c>
      <c r="D168" s="4168" t="s">
        <v>2009</v>
      </c>
      <c r="E168" s="4169" t="s">
        <v>2010</v>
      </c>
      <c r="F168" s="4170" t="str">
        <f>IF(TEMPLATE_SPHERE="HEAT","Гкал/час","тыс. куб. м/сутки")</f>
        <v>тыс. куб. м/сутки</v>
      </c>
      <c r="G168" s="4171"/>
      <c r="H168" s="4171">
        <v>0.1863</v>
      </c>
      <c r="I168" s="4172"/>
      <c r="J168" s="4166"/>
      <c r="K168" s="4166"/>
      <c r="L168" s="4166"/>
      <c r="M168" s="4166"/>
      <c r="N168" s="4166"/>
      <c r="O168" s="4166"/>
      <c r="P168" s="4166"/>
      <c r="Q168" s="4166"/>
      <c r="R168" s="4173"/>
    </row>
    <row s="4320" customFormat="1" customHeight="1" ht="75">
      <c r="A169" s="4165"/>
      <c r="B169" s="4166"/>
      <c r="C169" s="4167" t="s">
        <v>103</v>
      </c>
      <c r="D169" s="4168" t="s">
        <v>2011</v>
      </c>
      <c r="E169" s="4169" t="s">
        <v>2012</v>
      </c>
      <c r="F169" s="4170" t="str">
        <f>IF(TEMPLATE_SPHERE="HEAT","Гкал/час","тыс. куб. м/сутки")</f>
        <v>тыс. куб. м/сутки</v>
      </c>
      <c r="G169" s="4171"/>
      <c r="H169" s="4171">
        <v>0.0574</v>
      </c>
      <c r="I169" s="4172"/>
      <c r="J169" s="4166"/>
      <c r="K169" s="4166"/>
      <c r="L169" s="4166"/>
      <c r="M169" s="4166"/>
      <c r="N169" s="4166"/>
      <c r="O169" s="4166"/>
      <c r="P169" s="4166"/>
      <c r="Q169" s="4166"/>
      <c r="R169" s="4173"/>
    </row>
    <row s="4321" customFormat="1" customHeight="1" ht="75">
      <c r="A170" s="4165"/>
      <c r="B170" s="4166"/>
      <c r="C170" s="4167" t="s">
        <v>103</v>
      </c>
      <c r="D170" s="4168" t="s">
        <v>2013</v>
      </c>
      <c r="E170" s="4169" t="s">
        <v>2014</v>
      </c>
      <c r="F170" s="4170" t="str">
        <f>IF(TEMPLATE_SPHERE="HEAT","Гкал/час","тыс. куб. м/сутки")</f>
        <v>тыс. куб. м/сутки</v>
      </c>
      <c r="G170" s="4171"/>
      <c r="H170" s="4171">
        <v>0.1791</v>
      </c>
      <c r="I170" s="4172"/>
      <c r="J170" s="4166"/>
      <c r="K170" s="4166"/>
      <c r="L170" s="4166"/>
      <c r="M170" s="4166"/>
      <c r="N170" s="4166"/>
      <c r="O170" s="4166"/>
      <c r="P170" s="4166"/>
      <c r="Q170" s="4166"/>
      <c r="R170" s="4173"/>
    </row>
    <row s="4322" customFormat="1" customHeight="1" ht="75">
      <c r="A171" s="4165"/>
      <c r="B171" s="4166"/>
      <c r="C171" s="4167" t="s">
        <v>103</v>
      </c>
      <c r="D171" s="4168" t="s">
        <v>2015</v>
      </c>
      <c r="E171" s="4169" t="s">
        <v>2016</v>
      </c>
      <c r="F171" s="4170" t="str">
        <f>IF(TEMPLATE_SPHERE="HEAT","Гкал/час","тыс. куб. м/сутки")</f>
        <v>тыс. куб. м/сутки</v>
      </c>
      <c r="G171" s="4171"/>
      <c r="H171" s="4171">
        <v>0.212</v>
      </c>
      <c r="I171" s="4172"/>
      <c r="J171" s="4166"/>
      <c r="K171" s="4166"/>
      <c r="L171" s="4166"/>
      <c r="M171" s="4166"/>
      <c r="N171" s="4166"/>
      <c r="O171" s="4166"/>
      <c r="P171" s="4166"/>
      <c r="Q171" s="4166"/>
      <c r="R171" s="4173"/>
    </row>
    <row s="4323" customFormat="1" customHeight="1" ht="75">
      <c r="A172" s="4165"/>
      <c r="B172" s="4166"/>
      <c r="C172" s="4167" t="s">
        <v>103</v>
      </c>
      <c r="D172" s="4168" t="s">
        <v>2017</v>
      </c>
      <c r="E172" s="4169" t="s">
        <v>2018</v>
      </c>
      <c r="F172" s="4170" t="str">
        <f>IF(TEMPLATE_SPHERE="HEAT","Гкал/час","тыс. куб. м/сутки")</f>
        <v>тыс. куб. м/сутки</v>
      </c>
      <c r="G172" s="4171"/>
      <c r="H172" s="4171">
        <v>0.1029</v>
      </c>
      <c r="I172" s="4172"/>
      <c r="J172" s="4166"/>
      <c r="K172" s="4166"/>
      <c r="L172" s="4166"/>
      <c r="M172" s="4166"/>
      <c r="N172" s="4166"/>
      <c r="O172" s="4166"/>
      <c r="P172" s="4166"/>
      <c r="Q172" s="4166"/>
      <c r="R172" s="4173"/>
    </row>
    <row s="4324" customFormat="1" customHeight="1" ht="75">
      <c r="A173" s="4165"/>
      <c r="B173" s="4166"/>
      <c r="C173" s="4167" t="s">
        <v>103</v>
      </c>
      <c r="D173" s="4168" t="s">
        <v>2019</v>
      </c>
      <c r="E173" s="4169" t="s">
        <v>2020</v>
      </c>
      <c r="F173" s="4170" t="str">
        <f>IF(TEMPLATE_SPHERE="HEAT","Гкал/час","тыс. куб. м/сутки")</f>
        <v>тыс. куб. м/сутки</v>
      </c>
      <c r="G173" s="4171"/>
      <c r="H173" s="4171">
        <v>0.165</v>
      </c>
      <c r="I173" s="4172"/>
      <c r="J173" s="4166"/>
      <c r="K173" s="4166"/>
      <c r="L173" s="4166"/>
      <c r="M173" s="4166"/>
      <c r="N173" s="4166"/>
      <c r="O173" s="4166"/>
      <c r="P173" s="4166"/>
      <c r="Q173" s="4166"/>
      <c r="R173" s="4173"/>
    </row>
    <row s="4325" customFormat="1" customHeight="1" ht="75">
      <c r="A174" s="4165"/>
      <c r="B174" s="4166"/>
      <c r="C174" s="4167" t="s">
        <v>103</v>
      </c>
      <c r="D174" s="4168" t="s">
        <v>2021</v>
      </c>
      <c r="E174" s="4169" t="s">
        <v>2022</v>
      </c>
      <c r="F174" s="4170" t="str">
        <f>IF(TEMPLATE_SPHERE="HEAT","Гкал/час","тыс. куб. м/сутки")</f>
        <v>тыс. куб. м/сутки</v>
      </c>
      <c r="G174" s="4171"/>
      <c r="H174" s="4171">
        <v>0.035</v>
      </c>
      <c r="I174" s="4172"/>
      <c r="J174" s="4166"/>
      <c r="K174" s="4166"/>
      <c r="L174" s="4166"/>
      <c r="M174" s="4166"/>
      <c r="N174" s="4166"/>
      <c r="O174" s="4166"/>
      <c r="P174" s="4166"/>
      <c r="Q174" s="4166"/>
      <c r="R174" s="4173"/>
    </row>
    <row s="4326" customFormat="1" customHeight="1" ht="75">
      <c r="A175" s="4165"/>
      <c r="B175" s="4166"/>
      <c r="C175" s="4167" t="s">
        <v>103</v>
      </c>
      <c r="D175" s="4168" t="s">
        <v>2023</v>
      </c>
      <c r="E175" s="4169" t="s">
        <v>2024</v>
      </c>
      <c r="F175" s="4170" t="str">
        <f>IF(TEMPLATE_SPHERE="HEAT","Гкал/час","тыс. куб. м/сутки")</f>
        <v>тыс. куб. м/сутки</v>
      </c>
      <c r="G175" s="4171"/>
      <c r="H175" s="4171">
        <v>0</v>
      </c>
      <c r="I175" s="4172"/>
      <c r="J175" s="4166"/>
      <c r="K175" s="4166"/>
      <c r="L175" s="4166"/>
      <c r="M175" s="4166"/>
      <c r="N175" s="4166"/>
      <c r="O175" s="4166"/>
      <c r="P175" s="4166"/>
      <c r="Q175" s="4166"/>
      <c r="R175" s="4173"/>
    </row>
    <row s="4327" customFormat="1" customHeight="1" ht="75">
      <c r="A176" s="4165"/>
      <c r="B176" s="4166"/>
      <c r="C176" s="4167" t="s">
        <v>103</v>
      </c>
      <c r="D176" s="4168" t="s">
        <v>2025</v>
      </c>
      <c r="E176" s="4169" t="s">
        <v>2026</v>
      </c>
      <c r="F176" s="4170" t="str">
        <f>IF(TEMPLATE_SPHERE="HEAT","Гкал/час","тыс. куб. м/сутки")</f>
        <v>тыс. куб. м/сутки</v>
      </c>
      <c r="G176" s="4171"/>
      <c r="H176" s="4171">
        <v>0.2116</v>
      </c>
      <c r="I176" s="4172"/>
      <c r="J176" s="4166"/>
      <c r="K176" s="4166"/>
      <c r="L176" s="4166"/>
      <c r="M176" s="4166"/>
      <c r="N176" s="4166"/>
      <c r="O176" s="4166"/>
      <c r="P176" s="4166"/>
      <c r="Q176" s="4166"/>
      <c r="R176" s="4173"/>
    </row>
    <row s="4328" customFormat="1" customHeight="1" ht="75">
      <c r="A177" s="4165"/>
      <c r="B177" s="4166"/>
      <c r="C177" s="4167" t="s">
        <v>103</v>
      </c>
      <c r="D177" s="4168" t="s">
        <v>2027</v>
      </c>
      <c r="E177" s="4169" t="s">
        <v>2028</v>
      </c>
      <c r="F177" s="4170" t="str">
        <f>IF(TEMPLATE_SPHERE="HEAT","Гкал/час","тыс. куб. м/сутки")</f>
        <v>тыс. куб. м/сутки</v>
      </c>
      <c r="G177" s="4171"/>
      <c r="H177" s="4171">
        <v>0.2088</v>
      </c>
      <c r="I177" s="4172"/>
      <c r="J177" s="4166"/>
      <c r="K177" s="4166"/>
      <c r="L177" s="4166"/>
      <c r="M177" s="4166"/>
      <c r="N177" s="4166"/>
      <c r="O177" s="4166"/>
      <c r="P177" s="4166"/>
      <c r="Q177" s="4166"/>
      <c r="R177" s="4173"/>
    </row>
    <row s="4329" customFormat="1" customHeight="1" ht="75">
      <c r="A178" s="4165"/>
      <c r="B178" s="4166"/>
      <c r="C178" s="4167" t="s">
        <v>103</v>
      </c>
      <c r="D178" s="4168" t="s">
        <v>2029</v>
      </c>
      <c r="E178" s="4169" t="s">
        <v>2030</v>
      </c>
      <c r="F178" s="4170" t="str">
        <f>IF(TEMPLATE_SPHERE="HEAT","Гкал/час","тыс. куб. м/сутки")</f>
        <v>тыс. куб. м/сутки</v>
      </c>
      <c r="G178" s="4171"/>
      <c r="H178" s="4171">
        <v>0.1096</v>
      </c>
      <c r="I178" s="4172"/>
      <c r="J178" s="4166"/>
      <c r="K178" s="4166"/>
      <c r="L178" s="4166"/>
      <c r="M178" s="4166"/>
      <c r="N178" s="4166"/>
      <c r="O178" s="4166"/>
      <c r="P178" s="4166"/>
      <c r="Q178" s="4166"/>
      <c r="R178" s="4173"/>
    </row>
    <row s="4330" customFormat="1" customHeight="1" ht="75">
      <c r="A179" s="4165"/>
      <c r="B179" s="4166"/>
      <c r="C179" s="4167" t="s">
        <v>103</v>
      </c>
      <c r="D179" s="4168" t="s">
        <v>2031</v>
      </c>
      <c r="E179" s="4169" t="s">
        <v>2032</v>
      </c>
      <c r="F179" s="4170" t="str">
        <f>IF(TEMPLATE_SPHERE="HEAT","Гкал/час","тыс. куб. м/сутки")</f>
        <v>тыс. куб. м/сутки</v>
      </c>
      <c r="G179" s="4171"/>
      <c r="H179" s="4171">
        <v>0.0426</v>
      </c>
      <c r="I179" s="4172"/>
      <c r="J179" s="4166"/>
      <c r="K179" s="4166"/>
      <c r="L179" s="4166"/>
      <c r="M179" s="4166"/>
      <c r="N179" s="4166"/>
      <c r="O179" s="4166"/>
      <c r="P179" s="4166"/>
      <c r="Q179" s="4166"/>
      <c r="R179" s="4173"/>
    </row>
    <row s="4331" customFormat="1" customHeight="1" ht="75">
      <c r="A180" s="4165"/>
      <c r="B180" s="4166"/>
      <c r="C180" s="4167" t="s">
        <v>103</v>
      </c>
      <c r="D180" s="4168" t="s">
        <v>2033</v>
      </c>
      <c r="E180" s="4169" t="s">
        <v>2034</v>
      </c>
      <c r="F180" s="4170" t="str">
        <f>IF(TEMPLATE_SPHERE="HEAT","Гкал/час","тыс. куб. м/сутки")</f>
        <v>тыс. куб. м/сутки</v>
      </c>
      <c r="G180" s="4171"/>
      <c r="H180" s="4171">
        <v>0.0567</v>
      </c>
      <c r="I180" s="4172"/>
      <c r="J180" s="4166"/>
      <c r="K180" s="4166"/>
      <c r="L180" s="4166"/>
      <c r="M180" s="4166"/>
      <c r="N180" s="4166"/>
      <c r="O180" s="4166"/>
      <c r="P180" s="4166"/>
      <c r="Q180" s="4166"/>
      <c r="R180" s="4173"/>
    </row>
    <row s="4332" customFormat="1" customHeight="1" ht="75">
      <c r="A181" s="4165"/>
      <c r="B181" s="4166"/>
      <c r="C181" s="4167" t="s">
        <v>103</v>
      </c>
      <c r="D181" s="4168" t="s">
        <v>2035</v>
      </c>
      <c r="E181" s="4169" t="s">
        <v>2036</v>
      </c>
      <c r="F181" s="4170" t="str">
        <f>IF(TEMPLATE_SPHERE="HEAT","Гкал/час","тыс. куб. м/сутки")</f>
        <v>тыс. куб. м/сутки</v>
      </c>
      <c r="G181" s="4171"/>
      <c r="H181" s="4171">
        <v>0.015</v>
      </c>
      <c r="I181" s="4172"/>
      <c r="J181" s="4166"/>
      <c r="K181" s="4166"/>
      <c r="L181" s="4166"/>
      <c r="M181" s="4166"/>
      <c r="N181" s="4166"/>
      <c r="O181" s="4166"/>
      <c r="P181" s="4166"/>
      <c r="Q181" s="4166"/>
      <c r="R181" s="4173"/>
    </row>
    <row s="4333" customFormat="1" customHeight="1" ht="75">
      <c r="A182" s="4165"/>
      <c r="B182" s="4166"/>
      <c r="C182" s="4167" t="s">
        <v>103</v>
      </c>
      <c r="D182" s="4168" t="s">
        <v>2037</v>
      </c>
      <c r="E182" s="4169" t="s">
        <v>2038</v>
      </c>
      <c r="F182" s="4170" t="str">
        <f>IF(TEMPLATE_SPHERE="HEAT","Гкал/час","тыс. куб. м/сутки")</f>
        <v>тыс. куб. м/сутки</v>
      </c>
      <c r="G182" s="4171"/>
      <c r="H182" s="4171">
        <v>0.0688</v>
      </c>
      <c r="I182" s="4172"/>
      <c r="J182" s="4166"/>
      <c r="K182" s="4166"/>
      <c r="L182" s="4166"/>
      <c r="M182" s="4166"/>
      <c r="N182" s="4166"/>
      <c r="O182" s="4166"/>
      <c r="P182" s="4166"/>
      <c r="Q182" s="4166"/>
      <c r="R182" s="4173"/>
    </row>
    <row s="4334" customFormat="1" customHeight="1" ht="75">
      <c r="A183" s="4165"/>
      <c r="B183" s="4166"/>
      <c r="C183" s="4167" t="s">
        <v>103</v>
      </c>
      <c r="D183" s="4168" t="s">
        <v>2039</v>
      </c>
      <c r="E183" s="4169" t="s">
        <v>2040</v>
      </c>
      <c r="F183" s="4170" t="str">
        <f>IF(TEMPLATE_SPHERE="HEAT","Гкал/час","тыс. куб. м/сутки")</f>
        <v>тыс. куб. м/сутки</v>
      </c>
      <c r="G183" s="4171"/>
      <c r="H183" s="4171">
        <v>0.0667</v>
      </c>
      <c r="I183" s="4172"/>
      <c r="J183" s="4166"/>
      <c r="K183" s="4166"/>
      <c r="L183" s="4166"/>
      <c r="M183" s="4166"/>
      <c r="N183" s="4166"/>
      <c r="O183" s="4166"/>
      <c r="P183" s="4166"/>
      <c r="Q183" s="4166"/>
      <c r="R183" s="4173"/>
    </row>
    <row s="4335" customFormat="1" customHeight="1" ht="75">
      <c r="A184" s="4165"/>
      <c r="B184" s="4166"/>
      <c r="C184" s="4167" t="s">
        <v>103</v>
      </c>
      <c r="D184" s="4168" t="s">
        <v>2041</v>
      </c>
      <c r="E184" s="4169" t="s">
        <v>2042</v>
      </c>
      <c r="F184" s="4170" t="str">
        <f>IF(TEMPLATE_SPHERE="HEAT","Гкал/час","тыс. куб. м/сутки")</f>
        <v>тыс. куб. м/сутки</v>
      </c>
      <c r="G184" s="4171"/>
      <c r="H184" s="4171">
        <v>0.0924</v>
      </c>
      <c r="I184" s="4172"/>
      <c r="J184" s="4166"/>
      <c r="K184" s="4166"/>
      <c r="L184" s="4166"/>
      <c r="M184" s="4166"/>
      <c r="N184" s="4166"/>
      <c r="O184" s="4166"/>
      <c r="P184" s="4166"/>
      <c r="Q184" s="4166"/>
      <c r="R184" s="4173"/>
    </row>
    <row s="4336" customFormat="1" customHeight="1" ht="75">
      <c r="A185" s="4165"/>
      <c r="B185" s="4166"/>
      <c r="C185" s="4167" t="s">
        <v>103</v>
      </c>
      <c r="D185" s="4168" t="s">
        <v>2043</v>
      </c>
      <c r="E185" s="4169" t="s">
        <v>2044</v>
      </c>
      <c r="F185" s="4170" t="str">
        <f>IF(TEMPLATE_SPHERE="HEAT","Гкал/час","тыс. куб. м/сутки")</f>
        <v>тыс. куб. м/сутки</v>
      </c>
      <c r="G185" s="4171"/>
      <c r="H185" s="4171">
        <v>0.0468</v>
      </c>
      <c r="I185" s="4172"/>
      <c r="J185" s="4166"/>
      <c r="K185" s="4166"/>
      <c r="L185" s="4166"/>
      <c r="M185" s="4166"/>
      <c r="N185" s="4166"/>
      <c r="O185" s="4166"/>
      <c r="P185" s="4166"/>
      <c r="Q185" s="4166"/>
      <c r="R185" s="4173"/>
    </row>
    <row s="4337" customFormat="1" customHeight="1" ht="75">
      <c r="A186" s="4165"/>
      <c r="B186" s="4166"/>
      <c r="C186" s="4167" t="s">
        <v>103</v>
      </c>
      <c r="D186" s="4168" t="s">
        <v>2045</v>
      </c>
      <c r="E186" s="4169" t="s">
        <v>2046</v>
      </c>
      <c r="F186" s="4170" t="str">
        <f>IF(TEMPLATE_SPHERE="HEAT","Гкал/час","тыс. куб. м/сутки")</f>
        <v>тыс. куб. м/сутки</v>
      </c>
      <c r="G186" s="4171"/>
      <c r="H186" s="4171">
        <v>0.0271</v>
      </c>
      <c r="I186" s="4172"/>
      <c r="J186" s="4166"/>
      <c r="K186" s="4166"/>
      <c r="L186" s="4166"/>
      <c r="M186" s="4166"/>
      <c r="N186" s="4166"/>
      <c r="O186" s="4166"/>
      <c r="P186" s="4166"/>
      <c r="Q186" s="4166"/>
      <c r="R186" s="4173"/>
    </row>
    <row s="4338" customFormat="1" customHeight="1" ht="75">
      <c r="A187" s="4165"/>
      <c r="B187" s="4166"/>
      <c r="C187" s="4167" t="s">
        <v>103</v>
      </c>
      <c r="D187" s="4168" t="s">
        <v>2047</v>
      </c>
      <c r="E187" s="4169" t="s">
        <v>2048</v>
      </c>
      <c r="F187" s="4170" t="str">
        <f>IF(TEMPLATE_SPHERE="HEAT","Гкал/час","тыс. куб. м/сутки")</f>
        <v>тыс. куб. м/сутки</v>
      </c>
      <c r="G187" s="4171"/>
      <c r="H187" s="4171">
        <v>0.0059</v>
      </c>
      <c r="I187" s="4172"/>
      <c r="J187" s="4166"/>
      <c r="K187" s="4166"/>
      <c r="L187" s="4166"/>
      <c r="M187" s="4166"/>
      <c r="N187" s="4166"/>
      <c r="O187" s="4166"/>
      <c r="P187" s="4166"/>
      <c r="Q187" s="4166"/>
      <c r="R187" s="4173"/>
    </row>
    <row s="4339" customFormat="1" customHeight="1" ht="75">
      <c r="A188" s="4165"/>
      <c r="B188" s="4166"/>
      <c r="C188" s="4167" t="s">
        <v>103</v>
      </c>
      <c r="D188" s="4168" t="s">
        <v>2049</v>
      </c>
      <c r="E188" s="4169" t="s">
        <v>2050</v>
      </c>
      <c r="F188" s="4170" t="str">
        <f>IF(TEMPLATE_SPHERE="HEAT","Гкал/час","тыс. куб. м/сутки")</f>
        <v>тыс. куб. м/сутки</v>
      </c>
      <c r="G188" s="4171"/>
      <c r="H188" s="4171">
        <v>0.0345</v>
      </c>
      <c r="I188" s="4172"/>
      <c r="J188" s="4166"/>
      <c r="K188" s="4166"/>
      <c r="L188" s="4166"/>
      <c r="M188" s="4166"/>
      <c r="N188" s="4166"/>
      <c r="O188" s="4166"/>
      <c r="P188" s="4166"/>
      <c r="Q188" s="4166"/>
      <c r="R188" s="4173"/>
    </row>
    <row s="4340" customFormat="1" customHeight="1" ht="75">
      <c r="A189" s="4165"/>
      <c r="B189" s="4166"/>
      <c r="C189" s="4167" t="s">
        <v>103</v>
      </c>
      <c r="D189" s="4168" t="s">
        <v>2051</v>
      </c>
      <c r="E189" s="4169" t="s">
        <v>2052</v>
      </c>
      <c r="F189" s="4170" t="str">
        <f>IF(TEMPLATE_SPHERE="HEAT","Гкал/час","тыс. куб. м/сутки")</f>
        <v>тыс. куб. м/сутки</v>
      </c>
      <c r="G189" s="4171"/>
      <c r="H189" s="4171">
        <v>0.0983</v>
      </c>
      <c r="I189" s="4172"/>
      <c r="J189" s="4166"/>
      <c r="K189" s="4166"/>
      <c r="L189" s="4166"/>
      <c r="M189" s="4166"/>
      <c r="N189" s="4166"/>
      <c r="O189" s="4166"/>
      <c r="P189" s="4166"/>
      <c r="Q189" s="4166"/>
      <c r="R189" s="4173"/>
    </row>
    <row s="4341" customFormat="1" customHeight="1" ht="75">
      <c r="A190" s="4165"/>
      <c r="B190" s="4166"/>
      <c r="C190" s="4167" t="s">
        <v>103</v>
      </c>
      <c r="D190" s="4168" t="s">
        <v>2053</v>
      </c>
      <c r="E190" s="4169" t="s">
        <v>2054</v>
      </c>
      <c r="F190" s="4170" t="str">
        <f>IF(TEMPLATE_SPHERE="HEAT","Гкал/час","тыс. куб. м/сутки")</f>
        <v>тыс. куб. м/сутки</v>
      </c>
      <c r="G190" s="4171"/>
      <c r="H190" s="4171">
        <v>0.029</v>
      </c>
      <c r="I190" s="4172"/>
      <c r="J190" s="4166"/>
      <c r="K190" s="4166"/>
      <c r="L190" s="4166"/>
      <c r="M190" s="4166"/>
      <c r="N190" s="4166"/>
      <c r="O190" s="4166"/>
      <c r="P190" s="4166"/>
      <c r="Q190" s="4166"/>
      <c r="R190" s="4173"/>
    </row>
    <row s="4342" customFormat="1" customHeight="1" ht="75">
      <c r="A191" s="4165"/>
      <c r="B191" s="4166"/>
      <c r="C191" s="4167" t="s">
        <v>103</v>
      </c>
      <c r="D191" s="4168" t="s">
        <v>2055</v>
      </c>
      <c r="E191" s="4169" t="s">
        <v>2056</v>
      </c>
      <c r="F191" s="4170" t="str">
        <f>IF(TEMPLATE_SPHERE="HEAT","Гкал/час","тыс. куб. м/сутки")</f>
        <v>тыс. куб. м/сутки</v>
      </c>
      <c r="G191" s="4171"/>
      <c r="H191" s="4171">
        <v>0.026</v>
      </c>
      <c r="I191" s="4172"/>
      <c r="J191" s="4166"/>
      <c r="K191" s="4166"/>
      <c r="L191" s="4166"/>
      <c r="M191" s="4166"/>
      <c r="N191" s="4166"/>
      <c r="O191" s="4166"/>
      <c r="P191" s="4166"/>
      <c r="Q191" s="4166"/>
      <c r="R191" s="4173"/>
    </row>
    <row s="4343" customFormat="1" customHeight="1" ht="75">
      <c r="A192" s="4165"/>
      <c r="B192" s="4166"/>
      <c r="C192" s="4167" t="s">
        <v>103</v>
      </c>
      <c r="D192" s="4168" t="s">
        <v>2057</v>
      </c>
      <c r="E192" s="4169" t="s">
        <v>2058</v>
      </c>
      <c r="F192" s="4170" t="str">
        <f>IF(TEMPLATE_SPHERE="HEAT","Гкал/час","тыс. куб. м/сутки")</f>
        <v>тыс. куб. м/сутки</v>
      </c>
      <c r="G192" s="4171"/>
      <c r="H192" s="4171">
        <v>0.0458</v>
      </c>
      <c r="I192" s="4172"/>
      <c r="J192" s="4166"/>
      <c r="K192" s="4166"/>
      <c r="L192" s="4166"/>
      <c r="M192" s="4166"/>
      <c r="N192" s="4166"/>
      <c r="O192" s="4166"/>
      <c r="P192" s="4166"/>
      <c r="Q192" s="4166"/>
      <c r="R192" s="4173"/>
    </row>
    <row s="4344" customFormat="1" customHeight="1" ht="75">
      <c r="A193" s="4165"/>
      <c r="B193" s="4166"/>
      <c r="C193" s="4167" t="s">
        <v>103</v>
      </c>
      <c r="D193" s="4168" t="s">
        <v>2059</v>
      </c>
      <c r="E193" s="4169" t="s">
        <v>2060</v>
      </c>
      <c r="F193" s="4170" t="str">
        <f>IF(TEMPLATE_SPHERE="HEAT","Гкал/час","тыс. куб. м/сутки")</f>
        <v>тыс. куб. м/сутки</v>
      </c>
      <c r="G193" s="4171"/>
      <c r="H193" s="4171">
        <v>0.1467</v>
      </c>
      <c r="I193" s="4172"/>
      <c r="J193" s="4166"/>
      <c r="K193" s="4166"/>
      <c r="L193" s="4166"/>
      <c r="M193" s="4166"/>
      <c r="N193" s="4166"/>
      <c r="O193" s="4166"/>
      <c r="P193" s="4166"/>
      <c r="Q193" s="4166"/>
      <c r="R193" s="4173"/>
    </row>
    <row s="4345" customFormat="1" customHeight="1" ht="75">
      <c r="A194" s="4165"/>
      <c r="B194" s="4166"/>
      <c r="C194" s="4167" t="s">
        <v>103</v>
      </c>
      <c r="D194" s="4168" t="s">
        <v>2061</v>
      </c>
      <c r="E194" s="4169" t="s">
        <v>2062</v>
      </c>
      <c r="F194" s="4170" t="str">
        <f>IF(TEMPLATE_SPHERE="HEAT","Гкал/час","тыс. куб. м/сутки")</f>
        <v>тыс. куб. м/сутки</v>
      </c>
      <c r="G194" s="4171"/>
      <c r="H194" s="4171">
        <v>0.0477</v>
      </c>
      <c r="I194" s="4172"/>
      <c r="J194" s="4166"/>
      <c r="K194" s="4166"/>
      <c r="L194" s="4166"/>
      <c r="M194" s="4166"/>
      <c r="N194" s="4166"/>
      <c r="O194" s="4166"/>
      <c r="P194" s="4166"/>
      <c r="Q194" s="4166"/>
      <c r="R194" s="4173"/>
    </row>
    <row s="4346" customFormat="1" customHeight="1" ht="75">
      <c r="A195" s="4165"/>
      <c r="B195" s="4166"/>
      <c r="C195" s="4167" t="s">
        <v>103</v>
      </c>
      <c r="D195" s="4168" t="s">
        <v>2063</v>
      </c>
      <c r="E195" s="4169" t="s">
        <v>2064</v>
      </c>
      <c r="F195" s="4170" t="str">
        <f>IF(TEMPLATE_SPHERE="HEAT","Гкал/час","тыс. куб. м/сутки")</f>
        <v>тыс. куб. м/сутки</v>
      </c>
      <c r="G195" s="4171"/>
      <c r="H195" s="4171">
        <v>0.035</v>
      </c>
      <c r="I195" s="4172"/>
      <c r="J195" s="4166"/>
      <c r="K195" s="4166"/>
      <c r="L195" s="4166"/>
      <c r="M195" s="4166"/>
      <c r="N195" s="4166"/>
      <c r="O195" s="4166"/>
      <c r="P195" s="4166"/>
      <c r="Q195" s="4166"/>
      <c r="R195" s="4173"/>
    </row>
    <row s="4347" customFormat="1" customHeight="1" ht="75">
      <c r="A196" s="4165"/>
      <c r="B196" s="4166"/>
      <c r="C196" s="4167" t="s">
        <v>103</v>
      </c>
      <c r="D196" s="4168" t="s">
        <v>2065</v>
      </c>
      <c r="E196" s="4169" t="s">
        <v>2066</v>
      </c>
      <c r="F196" s="4170" t="str">
        <f>IF(TEMPLATE_SPHERE="HEAT","Гкал/час","тыс. куб. м/сутки")</f>
        <v>тыс. куб. м/сутки</v>
      </c>
      <c r="G196" s="4171"/>
      <c r="H196" s="4171">
        <v>0.1487</v>
      </c>
      <c r="I196" s="4172"/>
      <c r="J196" s="4166"/>
      <c r="K196" s="4166"/>
      <c r="L196" s="4166"/>
      <c r="M196" s="4166"/>
      <c r="N196" s="4166"/>
      <c r="O196" s="4166"/>
      <c r="P196" s="4166"/>
      <c r="Q196" s="4166"/>
      <c r="R196" s="4173"/>
    </row>
    <row s="4348" customFormat="1" customHeight="1" ht="75">
      <c r="A197" s="4165"/>
      <c r="B197" s="4166"/>
      <c r="C197" s="4167" t="s">
        <v>103</v>
      </c>
      <c r="D197" s="4168" t="s">
        <v>2067</v>
      </c>
      <c r="E197" s="4169" t="s">
        <v>2068</v>
      </c>
      <c r="F197" s="4170" t="str">
        <f>IF(TEMPLATE_SPHERE="HEAT","Гкал/час","тыс. куб. м/сутки")</f>
        <v>тыс. куб. м/сутки</v>
      </c>
      <c r="G197" s="4171"/>
      <c r="H197" s="4171">
        <v>0.0373</v>
      </c>
      <c r="I197" s="4172"/>
      <c r="J197" s="4166"/>
      <c r="K197" s="4166"/>
      <c r="L197" s="4166"/>
      <c r="M197" s="4166"/>
      <c r="N197" s="4166"/>
      <c r="O197" s="4166"/>
      <c r="P197" s="4166"/>
      <c r="Q197" s="4166"/>
      <c r="R197" s="4173"/>
    </row>
    <row s="4349" customFormat="1" customHeight="1" ht="75">
      <c r="A198" s="4165"/>
      <c r="B198" s="4166"/>
      <c r="C198" s="4167" t="s">
        <v>103</v>
      </c>
      <c r="D198" s="4168" t="s">
        <v>2069</v>
      </c>
      <c r="E198" s="4169" t="s">
        <v>2070</v>
      </c>
      <c r="F198" s="4170" t="str">
        <f>IF(TEMPLATE_SPHERE="HEAT","Гкал/час","тыс. куб. м/сутки")</f>
        <v>тыс. куб. м/сутки</v>
      </c>
      <c r="G198" s="4171"/>
      <c r="H198" s="4171">
        <v>0.1276</v>
      </c>
      <c r="I198" s="4172"/>
      <c r="J198" s="4166"/>
      <c r="K198" s="4166"/>
      <c r="L198" s="4166"/>
      <c r="M198" s="4166"/>
      <c r="N198" s="4166"/>
      <c r="O198" s="4166"/>
      <c r="P198" s="4166"/>
      <c r="Q198" s="4166"/>
      <c r="R198" s="4173"/>
    </row>
    <row s="4350" customFormat="1" customHeight="1" ht="75">
      <c r="A199" s="4165"/>
      <c r="B199" s="4166"/>
      <c r="C199" s="4167" t="s">
        <v>103</v>
      </c>
      <c r="D199" s="4168" t="s">
        <v>2071</v>
      </c>
      <c r="E199" s="4169" t="s">
        <v>2072</v>
      </c>
      <c r="F199" s="4170" t="str">
        <f>IF(TEMPLATE_SPHERE="HEAT","Гкал/час","тыс. куб. м/сутки")</f>
        <v>тыс. куб. м/сутки</v>
      </c>
      <c r="G199" s="4171"/>
      <c r="H199" s="4171">
        <v>0</v>
      </c>
      <c r="I199" s="4172"/>
      <c r="J199" s="4166"/>
      <c r="K199" s="4166"/>
      <c r="L199" s="4166"/>
      <c r="M199" s="4166"/>
      <c r="N199" s="4166"/>
      <c r="O199" s="4166"/>
      <c r="P199" s="4166"/>
      <c r="Q199" s="4166"/>
      <c r="R199" s="4173"/>
    </row>
    <row s="4351" customFormat="1" customHeight="1" ht="75">
      <c r="A200" s="4165"/>
      <c r="B200" s="4166"/>
      <c r="C200" s="4167" t="s">
        <v>103</v>
      </c>
      <c r="D200" s="4168" t="s">
        <v>2073</v>
      </c>
      <c r="E200" s="4169" t="s">
        <v>2074</v>
      </c>
      <c r="F200" s="4170" t="str">
        <f>IF(TEMPLATE_SPHERE="HEAT","Гкал/час","тыс. куб. м/сутки")</f>
        <v>тыс. куб. м/сутки</v>
      </c>
      <c r="G200" s="4171"/>
      <c r="H200" s="4171">
        <v>0.149</v>
      </c>
      <c r="I200" s="4172"/>
      <c r="J200" s="4166"/>
      <c r="K200" s="4166"/>
      <c r="L200" s="4166"/>
      <c r="M200" s="4166"/>
      <c r="N200" s="4166"/>
      <c r="O200" s="4166"/>
      <c r="P200" s="4166"/>
      <c r="Q200" s="4166"/>
      <c r="R200" s="4173"/>
    </row>
    <row s="4352" customFormat="1" customHeight="1" ht="75">
      <c r="A201" s="4165"/>
      <c r="B201" s="4166"/>
      <c r="C201" s="4167" t="s">
        <v>103</v>
      </c>
      <c r="D201" s="4168" t="s">
        <v>2075</v>
      </c>
      <c r="E201" s="4169" t="s">
        <v>2076</v>
      </c>
      <c r="F201" s="4170" t="str">
        <f>IF(TEMPLATE_SPHERE="HEAT","Гкал/час","тыс. куб. м/сутки")</f>
        <v>тыс. куб. м/сутки</v>
      </c>
      <c r="G201" s="4171"/>
      <c r="H201" s="4171">
        <v>0.0996</v>
      </c>
      <c r="I201" s="4172"/>
      <c r="J201" s="4166"/>
      <c r="K201" s="4166"/>
      <c r="L201" s="4166"/>
      <c r="M201" s="4166"/>
      <c r="N201" s="4166"/>
      <c r="O201" s="4166"/>
      <c r="P201" s="4166"/>
      <c r="Q201" s="4166"/>
      <c r="R201" s="4173"/>
    </row>
    <row s="4353" customFormat="1" customHeight="1" ht="75">
      <c r="A202" s="4165"/>
      <c r="B202" s="4166"/>
      <c r="C202" s="4167" t="s">
        <v>103</v>
      </c>
      <c r="D202" s="4168" t="s">
        <v>2077</v>
      </c>
      <c r="E202" s="4169" t="s">
        <v>2078</v>
      </c>
      <c r="F202" s="4170" t="str">
        <f>IF(TEMPLATE_SPHERE="HEAT","Гкал/час","тыс. куб. м/сутки")</f>
        <v>тыс. куб. м/сутки</v>
      </c>
      <c r="G202" s="4171"/>
      <c r="H202" s="4171">
        <v>0.0978</v>
      </c>
      <c r="I202" s="4172"/>
      <c r="J202" s="4166"/>
      <c r="K202" s="4166"/>
      <c r="L202" s="4166"/>
      <c r="M202" s="4166"/>
      <c r="N202" s="4166"/>
      <c r="O202" s="4166"/>
      <c r="P202" s="4166"/>
      <c r="Q202" s="4166"/>
      <c r="R202" s="4173"/>
    </row>
    <row s="4354" customFormat="1" customHeight="1" ht="75">
      <c r="A203" s="4165"/>
      <c r="B203" s="4166"/>
      <c r="C203" s="4167" t="s">
        <v>103</v>
      </c>
      <c r="D203" s="4168" t="s">
        <v>2079</v>
      </c>
      <c r="E203" s="4169" t="s">
        <v>2080</v>
      </c>
      <c r="F203" s="4170" t="str">
        <f>IF(TEMPLATE_SPHERE="HEAT","Гкал/час","тыс. куб. м/сутки")</f>
        <v>тыс. куб. м/сутки</v>
      </c>
      <c r="G203" s="4171"/>
      <c r="H203" s="4171">
        <v>0.1206</v>
      </c>
      <c r="I203" s="4172"/>
      <c r="J203" s="4166"/>
      <c r="K203" s="4166"/>
      <c r="L203" s="4166"/>
      <c r="M203" s="4166"/>
      <c r="N203" s="4166"/>
      <c r="O203" s="4166"/>
      <c r="P203" s="4166"/>
      <c r="Q203" s="4166"/>
      <c r="R203" s="4173"/>
    </row>
    <row s="4355" customFormat="1" customHeight="1" ht="75">
      <c r="A204" s="4165"/>
      <c r="B204" s="4166"/>
      <c r="C204" s="4167" t="s">
        <v>103</v>
      </c>
      <c r="D204" s="4168" t="s">
        <v>2081</v>
      </c>
      <c r="E204" s="4169" t="s">
        <v>2082</v>
      </c>
      <c r="F204" s="4170" t="str">
        <f>IF(TEMPLATE_SPHERE="HEAT","Гкал/час","тыс. куб. м/сутки")</f>
        <v>тыс. куб. м/сутки</v>
      </c>
      <c r="G204" s="4171"/>
      <c r="H204" s="4171">
        <v>0.1133</v>
      </c>
      <c r="I204" s="4172"/>
      <c r="J204" s="4166"/>
      <c r="K204" s="4166"/>
      <c r="L204" s="4166"/>
      <c r="M204" s="4166"/>
      <c r="N204" s="4166"/>
      <c r="O204" s="4166"/>
      <c r="P204" s="4166"/>
      <c r="Q204" s="4166"/>
      <c r="R204" s="4173"/>
    </row>
    <row s="4356" customFormat="1" customHeight="1" ht="75">
      <c r="A205" s="4165"/>
      <c r="B205" s="4166"/>
      <c r="C205" s="4167" t="s">
        <v>103</v>
      </c>
      <c r="D205" s="4168" t="s">
        <v>2083</v>
      </c>
      <c r="E205" s="4169" t="s">
        <v>2084</v>
      </c>
      <c r="F205" s="4170" t="str">
        <f>IF(TEMPLATE_SPHERE="HEAT","Гкал/час","тыс. куб. м/сутки")</f>
        <v>тыс. куб. м/сутки</v>
      </c>
      <c r="G205" s="4171"/>
      <c r="H205" s="4171">
        <v>0.15</v>
      </c>
      <c r="I205" s="4172"/>
      <c r="J205" s="4166"/>
      <c r="K205" s="4166"/>
      <c r="L205" s="4166"/>
      <c r="M205" s="4166"/>
      <c r="N205" s="4166"/>
      <c r="O205" s="4166"/>
      <c r="P205" s="4166"/>
      <c r="Q205" s="4166"/>
      <c r="R205" s="4173"/>
    </row>
    <row s="4357" customFormat="1" customHeight="1" ht="75">
      <c r="A206" s="4165"/>
      <c r="B206" s="4166"/>
      <c r="C206" s="4167" t="s">
        <v>103</v>
      </c>
      <c r="D206" s="4168" t="s">
        <v>2085</v>
      </c>
      <c r="E206" s="4169" t="s">
        <v>2086</v>
      </c>
      <c r="F206" s="4170" t="str">
        <f>IF(TEMPLATE_SPHERE="HEAT","Гкал/час","тыс. куб. м/сутки")</f>
        <v>тыс. куб. м/сутки</v>
      </c>
      <c r="G206" s="4171"/>
      <c r="H206" s="4171">
        <v>0.2755</v>
      </c>
      <c r="I206" s="4172"/>
      <c r="J206" s="4166"/>
      <c r="K206" s="4166"/>
      <c r="L206" s="4166"/>
      <c r="M206" s="4166"/>
      <c r="N206" s="4166"/>
      <c r="O206" s="4166"/>
      <c r="P206" s="4166"/>
      <c r="Q206" s="4166"/>
      <c r="R206" s="4173"/>
    </row>
    <row s="4358" customFormat="1" customHeight="1" ht="75">
      <c r="A207" s="4165"/>
      <c r="B207" s="4166"/>
      <c r="C207" s="4167" t="s">
        <v>103</v>
      </c>
      <c r="D207" s="4168" t="s">
        <v>2087</v>
      </c>
      <c r="E207" s="4169" t="s">
        <v>2088</v>
      </c>
      <c r="F207" s="4170" t="str">
        <f>IF(TEMPLATE_SPHERE="HEAT","Гкал/час","тыс. куб. м/сутки")</f>
        <v>тыс. куб. м/сутки</v>
      </c>
      <c r="G207" s="4171"/>
      <c r="H207" s="4171">
        <v>0.1473</v>
      </c>
      <c r="I207" s="4172"/>
      <c r="J207" s="4166"/>
      <c r="K207" s="4166"/>
      <c r="L207" s="4166"/>
      <c r="M207" s="4166"/>
      <c r="N207" s="4166"/>
      <c r="O207" s="4166"/>
      <c r="P207" s="4166"/>
      <c r="Q207" s="4166"/>
      <c r="R207" s="4173"/>
    </row>
    <row s="4359" customFormat="1" customHeight="1" ht="75">
      <c r="A208" s="4165"/>
      <c r="B208" s="4166"/>
      <c r="C208" s="4167" t="s">
        <v>103</v>
      </c>
      <c r="D208" s="4168" t="s">
        <v>2089</v>
      </c>
      <c r="E208" s="4169" t="s">
        <v>2090</v>
      </c>
      <c r="F208" s="4170" t="str">
        <f>IF(TEMPLATE_SPHERE="HEAT","Гкал/час","тыс. куб. м/сутки")</f>
        <v>тыс. куб. м/сутки</v>
      </c>
      <c r="G208" s="4171"/>
      <c r="H208" s="4171">
        <v>0.0971</v>
      </c>
      <c r="I208" s="4172"/>
      <c r="J208" s="4166"/>
      <c r="K208" s="4166"/>
      <c r="L208" s="4166"/>
      <c r="M208" s="4166"/>
      <c r="N208" s="4166"/>
      <c r="O208" s="4166"/>
      <c r="P208" s="4166"/>
      <c r="Q208" s="4166"/>
      <c r="R208" s="4173"/>
    </row>
    <row s="4360" customFormat="1" customHeight="1" ht="75">
      <c r="A209" s="4165"/>
      <c r="B209" s="4166"/>
      <c r="C209" s="4167" t="s">
        <v>103</v>
      </c>
      <c r="D209" s="4168" t="s">
        <v>2091</v>
      </c>
      <c r="E209" s="4169" t="s">
        <v>2092</v>
      </c>
      <c r="F209" s="4170" t="str">
        <f>IF(TEMPLATE_SPHERE="HEAT","Гкал/час","тыс. куб. м/сутки")</f>
        <v>тыс. куб. м/сутки</v>
      </c>
      <c r="G209" s="4171"/>
      <c r="H209" s="4171">
        <v>0.031</v>
      </c>
      <c r="I209" s="4172"/>
      <c r="J209" s="4166"/>
      <c r="K209" s="4166"/>
      <c r="L209" s="4166"/>
      <c r="M209" s="4166"/>
      <c r="N209" s="4166"/>
      <c r="O209" s="4166"/>
      <c r="P209" s="4166"/>
      <c r="Q209" s="4166"/>
      <c r="R209" s="4173"/>
    </row>
    <row s="4361" customFormat="1" customHeight="1" ht="75">
      <c r="A210" s="4165"/>
      <c r="B210" s="4166"/>
      <c r="C210" s="4167" t="s">
        <v>103</v>
      </c>
      <c r="D210" s="4168" t="s">
        <v>2093</v>
      </c>
      <c r="E210" s="4169" t="s">
        <v>2094</v>
      </c>
      <c r="F210" s="4170" t="str">
        <f>IF(TEMPLATE_SPHERE="HEAT","Гкал/час","тыс. куб. м/сутки")</f>
        <v>тыс. куб. м/сутки</v>
      </c>
      <c r="G210" s="4171"/>
      <c r="H210" s="4171">
        <v>0.0487</v>
      </c>
      <c r="I210" s="4172"/>
      <c r="J210" s="4166"/>
      <c r="K210" s="4166"/>
      <c r="L210" s="4166"/>
      <c r="M210" s="4166"/>
      <c r="N210" s="4166"/>
      <c r="O210" s="4166"/>
      <c r="P210" s="4166"/>
      <c r="Q210" s="4166"/>
      <c r="R210" s="4173"/>
    </row>
    <row s="4362" customFormat="1" customHeight="1" ht="75">
      <c r="A211" s="4165"/>
      <c r="B211" s="4166"/>
      <c r="C211" s="4167" t="s">
        <v>103</v>
      </c>
      <c r="D211" s="4168" t="s">
        <v>2095</v>
      </c>
      <c r="E211" s="4169" t="s">
        <v>2096</v>
      </c>
      <c r="F211" s="4170" t="str">
        <f>IF(TEMPLATE_SPHERE="HEAT","Гкал/час","тыс. куб. м/сутки")</f>
        <v>тыс. куб. м/сутки</v>
      </c>
      <c r="G211" s="4171"/>
      <c r="H211" s="4171">
        <v>0.0197</v>
      </c>
      <c r="I211" s="4172"/>
      <c r="J211" s="4166"/>
      <c r="K211" s="4166"/>
      <c r="L211" s="4166"/>
      <c r="M211" s="4166"/>
      <c r="N211" s="4166"/>
      <c r="O211" s="4166"/>
      <c r="P211" s="4166"/>
      <c r="Q211" s="4166"/>
      <c r="R211" s="4173"/>
    </row>
    <row s="4363" customFormat="1" customHeight="1" ht="75">
      <c r="A212" s="4165"/>
      <c r="B212" s="4166"/>
      <c r="C212" s="4167" t="s">
        <v>103</v>
      </c>
      <c r="D212" s="4168" t="s">
        <v>2097</v>
      </c>
      <c r="E212" s="4169" t="s">
        <v>2098</v>
      </c>
      <c r="F212" s="4170" t="str">
        <f>IF(TEMPLATE_SPHERE="HEAT","Гкал/час","тыс. куб. м/сутки")</f>
        <v>тыс. куб. м/сутки</v>
      </c>
      <c r="G212" s="4171"/>
      <c r="H212" s="4171">
        <v>0.0262</v>
      </c>
      <c r="I212" s="4172"/>
      <c r="J212" s="4166"/>
      <c r="K212" s="4166"/>
      <c r="L212" s="4166"/>
      <c r="M212" s="4166"/>
      <c r="N212" s="4166"/>
      <c r="O212" s="4166"/>
      <c r="P212" s="4166"/>
      <c r="Q212" s="4166"/>
      <c r="R212" s="4173"/>
    </row>
    <row s="4364" customFormat="1" customHeight="1" ht="75">
      <c r="A213" s="4165"/>
      <c r="B213" s="4166"/>
      <c r="C213" s="4167" t="s">
        <v>103</v>
      </c>
      <c r="D213" s="4168" t="s">
        <v>2099</v>
      </c>
      <c r="E213" s="4169" t="s">
        <v>2100</v>
      </c>
      <c r="F213" s="4170" t="str">
        <f>IF(TEMPLATE_SPHERE="HEAT","Гкал/час","тыс. куб. м/сутки")</f>
        <v>тыс. куб. м/сутки</v>
      </c>
      <c r="G213" s="4171"/>
      <c r="H213" s="4171">
        <v>9.694</v>
      </c>
      <c r="I213" s="4172"/>
      <c r="J213" s="4166"/>
      <c r="K213" s="4166"/>
      <c r="L213" s="4166"/>
      <c r="M213" s="4166"/>
      <c r="N213" s="4166"/>
      <c r="O213" s="4166"/>
      <c r="P213" s="4166"/>
      <c r="Q213" s="4166"/>
      <c r="R213" s="4173"/>
    </row>
    <row s="4365" customFormat="1" customHeight="1" ht="75">
      <c r="A214" s="4165"/>
      <c r="B214" s="4166"/>
      <c r="C214" s="4167" t="s">
        <v>103</v>
      </c>
      <c r="D214" s="4168" t="s">
        <v>2101</v>
      </c>
      <c r="E214" s="4169" t="s">
        <v>2102</v>
      </c>
      <c r="F214" s="4170" t="str">
        <f>IF(TEMPLATE_SPHERE="HEAT","Гкал/час","тыс. куб. м/сутки")</f>
        <v>тыс. куб. м/сутки</v>
      </c>
      <c r="G214" s="4171"/>
      <c r="H214" s="4171">
        <v>2.3201</v>
      </c>
      <c r="I214" s="4172"/>
      <c r="J214" s="4166"/>
      <c r="K214" s="4166"/>
      <c r="L214" s="4166"/>
      <c r="M214" s="4166"/>
      <c r="N214" s="4166"/>
      <c r="O214" s="4166"/>
      <c r="P214" s="4166"/>
      <c r="Q214" s="4166"/>
      <c r="R214" s="4173"/>
    </row>
    <row s="4366" customFormat="1" customHeight="1" ht="75">
      <c r="A215" s="4165"/>
      <c r="B215" s="4166"/>
      <c r="C215" s="4167" t="s">
        <v>103</v>
      </c>
      <c r="D215" s="4168" t="s">
        <v>2103</v>
      </c>
      <c r="E215" s="4169" t="s">
        <v>2104</v>
      </c>
      <c r="F215" s="4170" t="str">
        <f>IF(TEMPLATE_SPHERE="HEAT","Гкал/час","тыс. куб. м/сутки")</f>
        <v>тыс. куб. м/сутки</v>
      </c>
      <c r="G215" s="4171"/>
      <c r="H215" s="4171">
        <v>0.9864</v>
      </c>
      <c r="I215" s="4172"/>
      <c r="J215" s="4166"/>
      <c r="K215" s="4166"/>
      <c r="L215" s="4166"/>
      <c r="M215" s="4166"/>
      <c r="N215" s="4166"/>
      <c r="O215" s="4166"/>
      <c r="P215" s="4166"/>
      <c r="Q215" s="4166"/>
      <c r="R215" s="4173"/>
    </row>
    <row s="4367" customFormat="1" customHeight="1" ht="75">
      <c r="A216" s="4165"/>
      <c r="B216" s="4166"/>
      <c r="C216" s="4167" t="s">
        <v>103</v>
      </c>
      <c r="D216" s="4168" t="s">
        <v>2105</v>
      </c>
      <c r="E216" s="4169" t="s">
        <v>2106</v>
      </c>
      <c r="F216" s="4170" t="str">
        <f>IF(TEMPLATE_SPHERE="HEAT","Гкал/час","тыс. куб. м/сутки")</f>
        <v>тыс. куб. м/сутки</v>
      </c>
      <c r="G216" s="4171"/>
      <c r="H216" s="4171">
        <v>0.9409</v>
      </c>
      <c r="I216" s="4172"/>
      <c r="J216" s="4166"/>
      <c r="K216" s="4166"/>
      <c r="L216" s="4166"/>
      <c r="M216" s="4166"/>
      <c r="N216" s="4166"/>
      <c r="O216" s="4166"/>
      <c r="P216" s="4166"/>
      <c r="Q216" s="4166"/>
      <c r="R216" s="4173"/>
    </row>
    <row s="4368" customFormat="1" customHeight="1" ht="75">
      <c r="A217" s="4165"/>
      <c r="B217" s="4166"/>
      <c r="C217" s="4167" t="s">
        <v>103</v>
      </c>
      <c r="D217" s="4168" t="s">
        <v>2107</v>
      </c>
      <c r="E217" s="4169" t="s">
        <v>2108</v>
      </c>
      <c r="F217" s="4170" t="str">
        <f>IF(TEMPLATE_SPHERE="HEAT","Гкал/час","тыс. куб. м/сутки")</f>
        <v>тыс. куб. м/сутки</v>
      </c>
      <c r="G217" s="4171"/>
      <c r="H217" s="4171">
        <v>0.9969</v>
      </c>
      <c r="I217" s="4172"/>
      <c r="J217" s="4166"/>
      <c r="K217" s="4166"/>
      <c r="L217" s="4166"/>
      <c r="M217" s="4166"/>
      <c r="N217" s="4166"/>
      <c r="O217" s="4166"/>
      <c r="P217" s="4166"/>
      <c r="Q217" s="4166"/>
      <c r="R217" s="4173"/>
    </row>
    <row s="4369" customFormat="1" customHeight="1" ht="75">
      <c r="A218" s="4165"/>
      <c r="B218" s="4166"/>
      <c r="C218" s="4167" t="s">
        <v>103</v>
      </c>
      <c r="D218" s="4168" t="s">
        <v>2109</v>
      </c>
      <c r="E218" s="4169" t="s">
        <v>2110</v>
      </c>
      <c r="F218" s="4170" t="str">
        <f>IF(TEMPLATE_SPHERE="HEAT","Гкал/час","тыс. куб. м/сутки")</f>
        <v>тыс. куб. м/сутки</v>
      </c>
      <c r="G218" s="4171"/>
      <c r="H218" s="4171">
        <v>0.9958</v>
      </c>
      <c r="I218" s="4172"/>
      <c r="J218" s="4166"/>
      <c r="K218" s="4166"/>
      <c r="L218" s="4166"/>
      <c r="M218" s="4166"/>
      <c r="N218" s="4166"/>
      <c r="O218" s="4166"/>
      <c r="P218" s="4166"/>
      <c r="Q218" s="4166"/>
      <c r="R218" s="4173"/>
    </row>
    <row s="4370" customFormat="1" customHeight="1" ht="75">
      <c r="A219" s="4165"/>
      <c r="B219" s="4166"/>
      <c r="C219" s="4167" t="s">
        <v>103</v>
      </c>
      <c r="D219" s="4168" t="s">
        <v>2111</v>
      </c>
      <c r="E219" s="4169" t="s">
        <v>2112</v>
      </c>
      <c r="F219" s="4170" t="str">
        <f>IF(TEMPLATE_SPHERE="HEAT","Гкал/час","тыс. куб. м/сутки")</f>
        <v>тыс. куб. м/сутки</v>
      </c>
      <c r="G219" s="4171"/>
      <c r="H219" s="4171">
        <v>0.9986</v>
      </c>
      <c r="I219" s="4172"/>
      <c r="J219" s="4166"/>
      <c r="K219" s="4166"/>
      <c r="L219" s="4166"/>
      <c r="M219" s="4166"/>
      <c r="N219" s="4166"/>
      <c r="O219" s="4166"/>
      <c r="P219" s="4166"/>
      <c r="Q219" s="4166"/>
      <c r="R219" s="4173"/>
    </row>
    <row s="4371" customFormat="1" customHeight="1" ht="75">
      <c r="A220" s="4165"/>
      <c r="B220" s="4166"/>
      <c r="C220" s="4167" t="s">
        <v>103</v>
      </c>
      <c r="D220" s="4168" t="s">
        <v>2113</v>
      </c>
      <c r="E220" s="4169" t="s">
        <v>2114</v>
      </c>
      <c r="F220" s="4170" t="str">
        <f>IF(TEMPLATE_SPHERE="HEAT","Гкал/час","тыс. куб. м/сутки")</f>
        <v>тыс. куб. м/сутки</v>
      </c>
      <c r="G220" s="4171"/>
      <c r="H220" s="4171">
        <v>0.9902</v>
      </c>
      <c r="I220" s="4172"/>
      <c r="J220" s="4166"/>
      <c r="K220" s="4166"/>
      <c r="L220" s="4166"/>
      <c r="M220" s="4166"/>
      <c r="N220" s="4166"/>
      <c r="O220" s="4166"/>
      <c r="P220" s="4166"/>
      <c r="Q220" s="4166"/>
      <c r="R220" s="4173"/>
    </row>
    <row s="4372" customFormat="1" customHeight="1" ht="75">
      <c r="A221" s="4165"/>
      <c r="B221" s="4166"/>
      <c r="C221" s="4167" t="s">
        <v>103</v>
      </c>
      <c r="D221" s="4168" t="s">
        <v>2115</v>
      </c>
      <c r="E221" s="4169" t="s">
        <v>2116</v>
      </c>
      <c r="F221" s="4170" t="str">
        <f>IF(TEMPLATE_SPHERE="HEAT","Гкал/час","тыс. куб. м/сутки")</f>
        <v>тыс. куб. м/сутки</v>
      </c>
      <c r="G221" s="4171"/>
      <c r="H221" s="4171">
        <v>0.0887</v>
      </c>
      <c r="I221" s="4172"/>
      <c r="J221" s="4166"/>
      <c r="K221" s="4166"/>
      <c r="L221" s="4166"/>
      <c r="M221" s="4166"/>
      <c r="N221" s="4166"/>
      <c r="O221" s="4166"/>
      <c r="P221" s="4166"/>
      <c r="Q221" s="4166"/>
      <c r="R221" s="4173"/>
    </row>
    <row s="4373" customFormat="1" customHeight="1" ht="75">
      <c r="A222" s="4165"/>
      <c r="B222" s="4166"/>
      <c r="C222" s="4167" t="s">
        <v>103</v>
      </c>
      <c r="D222" s="4168" t="s">
        <v>2117</v>
      </c>
      <c r="E222" s="4169" t="s">
        <v>2118</v>
      </c>
      <c r="F222" s="4170" t="str">
        <f>IF(TEMPLATE_SPHERE="HEAT","Гкал/час","тыс. куб. м/сутки")</f>
        <v>тыс. куб. м/сутки</v>
      </c>
      <c r="G222" s="4171"/>
      <c r="H222" s="4171">
        <v>0.049</v>
      </c>
      <c r="I222" s="4172"/>
      <c r="J222" s="4166"/>
      <c r="K222" s="4166"/>
      <c r="L222" s="4166"/>
      <c r="M222" s="4166"/>
      <c r="N222" s="4166"/>
      <c r="O222" s="4166"/>
      <c r="P222" s="4166"/>
      <c r="Q222" s="4166"/>
      <c r="R222" s="4173"/>
    </row>
    <row s="4374" customFormat="1" customHeight="1" ht="75">
      <c r="A223" s="4165"/>
      <c r="B223" s="4166"/>
      <c r="C223" s="4167" t="s">
        <v>103</v>
      </c>
      <c r="D223" s="4168" t="s">
        <v>2119</v>
      </c>
      <c r="E223" s="4169" t="s">
        <v>2120</v>
      </c>
      <c r="F223" s="4170" t="str">
        <f>IF(TEMPLATE_SPHERE="HEAT","Гкал/час","тыс. куб. м/сутки")</f>
        <v>тыс. куб. м/сутки</v>
      </c>
      <c r="G223" s="4171"/>
      <c r="H223" s="4171">
        <v>0.0246</v>
      </c>
      <c r="I223" s="4172"/>
      <c r="J223" s="4166"/>
      <c r="K223" s="4166"/>
      <c r="L223" s="4166"/>
      <c r="M223" s="4166"/>
      <c r="N223" s="4166"/>
      <c r="O223" s="4166"/>
      <c r="P223" s="4166"/>
      <c r="Q223" s="4166"/>
      <c r="R223" s="4173"/>
    </row>
    <row s="4375" customFormat="1" customHeight="1" ht="75">
      <c r="A224" s="4165"/>
      <c r="B224" s="4166"/>
      <c r="C224" s="4167" t="s">
        <v>103</v>
      </c>
      <c r="D224" s="4168" t="s">
        <v>2121</v>
      </c>
      <c r="E224" s="4169" t="s">
        <v>2122</v>
      </c>
      <c r="F224" s="4170" t="str">
        <f>IF(TEMPLATE_SPHERE="HEAT","Гкал/час","тыс. куб. м/сутки")</f>
        <v>тыс. куб. м/сутки</v>
      </c>
      <c r="G224" s="4171"/>
      <c r="H224" s="4171">
        <v>0.461</v>
      </c>
      <c r="I224" s="4172"/>
      <c r="J224" s="4166"/>
      <c r="K224" s="4166"/>
      <c r="L224" s="4166"/>
      <c r="M224" s="4166"/>
      <c r="N224" s="4166"/>
      <c r="O224" s="4166"/>
      <c r="P224" s="4166"/>
      <c r="Q224" s="4166"/>
      <c r="R224" s="4173"/>
    </row>
    <row s="4376" customFormat="1" customHeight="1" ht="75">
      <c r="A225" s="4165"/>
      <c r="B225" s="4166"/>
      <c r="C225" s="4167" t="s">
        <v>103</v>
      </c>
      <c r="D225" s="4168" t="s">
        <v>2123</v>
      </c>
      <c r="E225" s="4169" t="s">
        <v>2124</v>
      </c>
      <c r="F225" s="4170" t="str">
        <f>IF(TEMPLATE_SPHERE="HEAT","Гкал/час","тыс. куб. м/сутки")</f>
        <v>тыс. куб. м/сутки</v>
      </c>
      <c r="G225" s="4171"/>
      <c r="H225" s="4171">
        <v>0.4066</v>
      </c>
      <c r="I225" s="4172"/>
      <c r="J225" s="4166"/>
      <c r="K225" s="4166"/>
      <c r="L225" s="4166"/>
      <c r="M225" s="4166"/>
      <c r="N225" s="4166"/>
      <c r="O225" s="4166"/>
      <c r="P225" s="4166"/>
      <c r="Q225" s="4166"/>
      <c r="R225" s="4173"/>
    </row>
    <row s="4377" customFormat="1" customHeight="1" ht="75">
      <c r="A226" s="4165"/>
      <c r="B226" s="4166"/>
      <c r="C226" s="4167" t="s">
        <v>103</v>
      </c>
      <c r="D226" s="4168" t="s">
        <v>2125</v>
      </c>
      <c r="E226" s="4169" t="s">
        <v>2126</v>
      </c>
      <c r="F226" s="4170" t="str">
        <f>IF(TEMPLATE_SPHERE="HEAT","Гкал/час","тыс. куб. м/сутки")</f>
        <v>тыс. куб. м/сутки</v>
      </c>
      <c r="G226" s="4171"/>
      <c r="H226" s="4171">
        <v>1.5798</v>
      </c>
      <c r="I226" s="4172"/>
      <c r="J226" s="4166"/>
      <c r="K226" s="4166"/>
      <c r="L226" s="4166"/>
      <c r="M226" s="4166"/>
      <c r="N226" s="4166"/>
      <c r="O226" s="4166"/>
      <c r="P226" s="4166"/>
      <c r="Q226" s="4166"/>
      <c r="R226" s="4173"/>
    </row>
    <row s="4378" customFormat="1" customHeight="1" ht="75">
      <c r="A227" s="4165"/>
      <c r="B227" s="4166"/>
      <c r="C227" s="4167" t="s">
        <v>103</v>
      </c>
      <c r="D227" s="4168" t="s">
        <v>2127</v>
      </c>
      <c r="E227" s="4169" t="s">
        <v>2128</v>
      </c>
      <c r="F227" s="4170" t="str">
        <f>IF(TEMPLATE_SPHERE="HEAT","Гкал/час","тыс. куб. м/сутки")</f>
        <v>тыс. куб. м/сутки</v>
      </c>
      <c r="G227" s="4171"/>
      <c r="H227" s="4171">
        <v>0.4719</v>
      </c>
      <c r="I227" s="4172"/>
      <c r="J227" s="4166"/>
      <c r="K227" s="4166"/>
      <c r="L227" s="4166"/>
      <c r="M227" s="4166"/>
      <c r="N227" s="4166"/>
      <c r="O227" s="4166"/>
      <c r="P227" s="4166"/>
      <c r="Q227" s="4166"/>
      <c r="R227" s="4173"/>
    </row>
    <row s="4379" customFormat="1" customHeight="1" ht="75">
      <c r="A228" s="4165"/>
      <c r="B228" s="4166"/>
      <c r="C228" s="4167" t="s">
        <v>103</v>
      </c>
      <c r="D228" s="4168" t="s">
        <v>2129</v>
      </c>
      <c r="E228" s="4169" t="s">
        <v>2130</v>
      </c>
      <c r="F228" s="4170" t="str">
        <f>IF(TEMPLATE_SPHERE="HEAT","Гкал/час","тыс. куб. м/сутки")</f>
        <v>тыс. куб. м/сутки</v>
      </c>
      <c r="G228" s="4171"/>
      <c r="H228" s="4171">
        <v>9.4834</v>
      </c>
      <c r="I228" s="4172"/>
      <c r="J228" s="4166"/>
      <c r="K228" s="4166"/>
      <c r="L228" s="4166"/>
      <c r="M228" s="4166"/>
      <c r="N228" s="4166"/>
      <c r="O228" s="4166"/>
      <c r="P228" s="4166"/>
      <c r="Q228" s="4166"/>
      <c r="R228" s="4173"/>
    </row>
    <row s="4380" customFormat="1" customHeight="1" ht="75">
      <c r="A229" s="4165"/>
      <c r="B229" s="4166"/>
      <c r="C229" s="4167" t="s">
        <v>103</v>
      </c>
      <c r="D229" s="4168" t="s">
        <v>2131</v>
      </c>
      <c r="E229" s="4169" t="s">
        <v>2132</v>
      </c>
      <c r="F229" s="4170" t="str">
        <f>IF(TEMPLATE_SPHERE="HEAT","Гкал/час","тыс. куб. м/сутки")</f>
        <v>тыс. куб. м/сутки</v>
      </c>
      <c r="G229" s="4171"/>
      <c r="H229" s="4171">
        <v>6.2571</v>
      </c>
      <c r="I229" s="4172"/>
      <c r="J229" s="4166"/>
      <c r="K229" s="4166"/>
      <c r="L229" s="4166"/>
      <c r="M229" s="4166"/>
      <c r="N229" s="4166"/>
      <c r="O229" s="4166"/>
      <c r="P229" s="4166"/>
      <c r="Q229" s="4166"/>
      <c r="R229" s="4173"/>
    </row>
    <row s="4381" customFormat="1" customHeight="1" ht="75">
      <c r="A230" s="4165"/>
      <c r="B230" s="4166"/>
      <c r="C230" s="4167" t="s">
        <v>103</v>
      </c>
      <c r="D230" s="4168" t="s">
        <v>2133</v>
      </c>
      <c r="E230" s="4169" t="s">
        <v>2134</v>
      </c>
      <c r="F230" s="4170" t="str">
        <f>IF(TEMPLATE_SPHERE="HEAT","Гкал/час","тыс. куб. м/сутки")</f>
        <v>тыс. куб. м/сутки</v>
      </c>
      <c r="G230" s="4171"/>
      <c r="H230" s="4171">
        <v>5.1699</v>
      </c>
      <c r="I230" s="4172"/>
      <c r="J230" s="4166"/>
      <c r="K230" s="4166"/>
      <c r="L230" s="4166"/>
      <c r="M230" s="4166"/>
      <c r="N230" s="4166"/>
      <c r="O230" s="4166"/>
      <c r="P230" s="4166"/>
      <c r="Q230" s="4166"/>
      <c r="R230" s="4173"/>
    </row>
    <row s="4382" customFormat="1" customHeight="1" ht="75">
      <c r="A231" s="4165"/>
      <c r="B231" s="4166"/>
      <c r="C231" s="4167" t="s">
        <v>103</v>
      </c>
      <c r="D231" s="4168" t="s">
        <v>2135</v>
      </c>
      <c r="E231" s="4169" t="s">
        <v>2136</v>
      </c>
      <c r="F231" s="4170" t="str">
        <f>IF(TEMPLATE_SPHERE="HEAT","Гкал/час","тыс. куб. м/сутки")</f>
        <v>тыс. куб. м/сутки</v>
      </c>
      <c r="G231" s="4171"/>
      <c r="H231" s="4171">
        <v>1.7918</v>
      </c>
      <c r="I231" s="4172"/>
      <c r="J231" s="4166"/>
      <c r="K231" s="4166"/>
      <c r="L231" s="4166"/>
      <c r="M231" s="4166"/>
      <c r="N231" s="4166"/>
      <c r="O231" s="4166"/>
      <c r="P231" s="4166"/>
      <c r="Q231" s="4166"/>
      <c r="R231" s="4173"/>
    </row>
    <row s="4383" customFormat="1" customHeight="1" ht="75">
      <c r="A232" s="4165"/>
      <c r="B232" s="4166"/>
      <c r="C232" s="4167" t="s">
        <v>103</v>
      </c>
      <c r="D232" s="4168" t="s">
        <v>2137</v>
      </c>
      <c r="E232" s="4169" t="s">
        <v>2138</v>
      </c>
      <c r="F232" s="4170" t="str">
        <f>IF(TEMPLATE_SPHERE="HEAT","Гкал/час","тыс. куб. м/сутки")</f>
        <v>тыс. куб. м/сутки</v>
      </c>
      <c r="G232" s="4171"/>
      <c r="H232" s="4171">
        <v>0.7621</v>
      </c>
      <c r="I232" s="4172"/>
      <c r="J232" s="4166"/>
      <c r="K232" s="4166"/>
      <c r="L232" s="4166"/>
      <c r="M232" s="4166"/>
      <c r="N232" s="4166"/>
      <c r="O232" s="4166"/>
      <c r="P232" s="4166"/>
      <c r="Q232" s="4166"/>
      <c r="R232" s="4173"/>
    </row>
    <row s="4384" customFormat="1" customHeight="1" ht="75">
      <c r="A233" s="4165"/>
      <c r="B233" s="4166"/>
      <c r="C233" s="4167" t="s">
        <v>103</v>
      </c>
      <c r="D233" s="4168" t="s">
        <v>2139</v>
      </c>
      <c r="E233" s="4169" t="s">
        <v>2140</v>
      </c>
      <c r="F233" s="4170" t="str">
        <f>IF(TEMPLATE_SPHERE="HEAT","Гкал/час","тыс. куб. м/сутки")</f>
        <v>тыс. куб. м/сутки</v>
      </c>
      <c r="G233" s="4171"/>
      <c r="H233" s="4171">
        <v>0.5135</v>
      </c>
      <c r="I233" s="4172"/>
      <c r="J233" s="4166"/>
      <c r="K233" s="4166"/>
      <c r="L233" s="4166"/>
      <c r="M233" s="4166"/>
      <c r="N233" s="4166"/>
      <c r="O233" s="4166"/>
      <c r="P233" s="4166"/>
      <c r="Q233" s="4166"/>
      <c r="R233" s="4173"/>
    </row>
    <row s="4385" customFormat="1" customHeight="1" ht="75">
      <c r="A234" s="4165"/>
      <c r="B234" s="4166"/>
      <c r="C234" s="4167" t="s">
        <v>103</v>
      </c>
      <c r="D234" s="4168" t="s">
        <v>2141</v>
      </c>
      <c r="E234" s="4169" t="s">
        <v>2142</v>
      </c>
      <c r="F234" s="4170" t="str">
        <f>IF(TEMPLATE_SPHERE="HEAT","Гкал/час","тыс. куб. м/сутки")</f>
        <v>тыс. куб. м/сутки</v>
      </c>
      <c r="G234" s="4171"/>
      <c r="H234" s="4171">
        <v>6.0636</v>
      </c>
      <c r="I234" s="4172"/>
      <c r="J234" s="4166"/>
      <c r="K234" s="4166"/>
      <c r="L234" s="4166"/>
      <c r="M234" s="4166"/>
      <c r="N234" s="4166"/>
      <c r="O234" s="4166"/>
      <c r="P234" s="4166"/>
      <c r="Q234" s="4166"/>
      <c r="R234" s="4173"/>
    </row>
    <row s="4386" customFormat="1" customHeight="1" ht="75">
      <c r="A235" s="4165"/>
      <c r="B235" s="4166"/>
      <c r="C235" s="4167" t="s">
        <v>103</v>
      </c>
      <c r="D235" s="4168" t="s">
        <v>2143</v>
      </c>
      <c r="E235" s="4169" t="s">
        <v>2144</v>
      </c>
      <c r="F235" s="4170" t="str">
        <f>IF(TEMPLATE_SPHERE="HEAT","Гкал/час","тыс. куб. м/сутки")</f>
        <v>тыс. куб. м/сутки</v>
      </c>
      <c r="G235" s="4171"/>
      <c r="H235" s="4171">
        <v>6.2655</v>
      </c>
      <c r="I235" s="4172"/>
      <c r="J235" s="4166"/>
      <c r="K235" s="4166"/>
      <c r="L235" s="4166"/>
      <c r="M235" s="4166"/>
      <c r="N235" s="4166"/>
      <c r="O235" s="4166"/>
      <c r="P235" s="4166"/>
      <c r="Q235" s="4166"/>
      <c r="R235" s="4173"/>
    </row>
    <row s="4387" customFormat="1" customHeight="1" ht="75">
      <c r="A236" s="4165"/>
      <c r="B236" s="4166"/>
      <c r="C236" s="4167" t="s">
        <v>103</v>
      </c>
      <c r="D236" s="4168" t="s">
        <v>2145</v>
      </c>
      <c r="E236" s="4169" t="s">
        <v>2146</v>
      </c>
      <c r="F236" s="4170" t="str">
        <f>IF(TEMPLATE_SPHERE="HEAT","Гкал/час","тыс. куб. м/сутки")</f>
        <v>тыс. куб. м/сутки</v>
      </c>
      <c r="G236" s="4171"/>
      <c r="H236" s="4171">
        <v>2.4921</v>
      </c>
      <c r="I236" s="4172"/>
      <c r="J236" s="4166"/>
      <c r="K236" s="4166"/>
      <c r="L236" s="4166"/>
      <c r="M236" s="4166"/>
      <c r="N236" s="4166"/>
      <c r="O236" s="4166"/>
      <c r="P236" s="4166"/>
      <c r="Q236" s="4166"/>
      <c r="R236" s="4173"/>
    </row>
    <row s="4388" customFormat="1" customHeight="1" ht="75">
      <c r="A237" s="4165"/>
      <c r="B237" s="4166"/>
      <c r="C237" s="4167" t="s">
        <v>103</v>
      </c>
      <c r="D237" s="4168" t="s">
        <v>2147</v>
      </c>
      <c r="E237" s="4169" t="s">
        <v>2148</v>
      </c>
      <c r="F237" s="4170" t="str">
        <f>IF(TEMPLATE_SPHERE="HEAT","Гкал/час","тыс. куб. м/сутки")</f>
        <v>тыс. куб. м/сутки</v>
      </c>
      <c r="G237" s="4171"/>
      <c r="H237" s="4171">
        <v>0.9835</v>
      </c>
      <c r="I237" s="4172"/>
      <c r="J237" s="4166"/>
      <c r="K237" s="4166"/>
      <c r="L237" s="4166"/>
      <c r="M237" s="4166"/>
      <c r="N237" s="4166"/>
      <c r="O237" s="4166"/>
      <c r="P237" s="4166"/>
      <c r="Q237" s="4166"/>
      <c r="R237" s="4173"/>
    </row>
    <row s="4389" customFormat="1" customHeight="1" ht="75">
      <c r="A238" s="4165"/>
      <c r="B238" s="4166"/>
      <c r="C238" s="4167" t="s">
        <v>103</v>
      </c>
      <c r="D238" s="4168" t="s">
        <v>2149</v>
      </c>
      <c r="E238" s="4169" t="s">
        <v>2150</v>
      </c>
      <c r="F238" s="4170" t="str">
        <f>IF(TEMPLATE_SPHERE="HEAT","Гкал/час","тыс. куб. м/сутки")</f>
        <v>тыс. куб. м/сутки</v>
      </c>
      <c r="G238" s="4171"/>
      <c r="H238" s="4171">
        <v>6.277</v>
      </c>
      <c r="I238" s="4172"/>
      <c r="J238" s="4166"/>
      <c r="K238" s="4166"/>
      <c r="L238" s="4166"/>
      <c r="M238" s="4166"/>
      <c r="N238" s="4166"/>
      <c r="O238" s="4166"/>
      <c r="P238" s="4166"/>
      <c r="Q238" s="4166"/>
      <c r="R238" s="4173"/>
    </row>
    <row s="4390" customFormat="1" customHeight="1" ht="75">
      <c r="A239" s="4165"/>
      <c r="B239" s="4166"/>
      <c r="C239" s="4167" t="s">
        <v>103</v>
      </c>
      <c r="D239" s="4168" t="s">
        <v>2151</v>
      </c>
      <c r="E239" s="4169" t="s">
        <v>2152</v>
      </c>
      <c r="F239" s="4170" t="str">
        <f>IF(TEMPLATE_SPHERE="HEAT","Гкал/час","тыс. куб. м/сутки")</f>
        <v>тыс. куб. м/сутки</v>
      </c>
      <c r="G239" s="4171"/>
      <c r="H239" s="4171">
        <v>4.1883</v>
      </c>
      <c r="I239" s="4172"/>
      <c r="J239" s="4166"/>
      <c r="K239" s="4166"/>
      <c r="L239" s="4166"/>
      <c r="M239" s="4166"/>
      <c r="N239" s="4166"/>
      <c r="O239" s="4166"/>
      <c r="P239" s="4166"/>
      <c r="Q239" s="4166"/>
      <c r="R239" s="4173"/>
    </row>
    <row s="4391" customFormat="1" customHeight="1" ht="75">
      <c r="A240" s="4165"/>
      <c r="B240" s="4166"/>
      <c r="C240" s="4167" t="s">
        <v>103</v>
      </c>
      <c r="D240" s="4168" t="s">
        <v>2153</v>
      </c>
      <c r="E240" s="4169" t="s">
        <v>2154</v>
      </c>
      <c r="F240" s="4170" t="str">
        <f>IF(TEMPLATE_SPHERE="HEAT","Гкал/час","тыс. куб. м/сутки")</f>
        <v>тыс. куб. м/сутки</v>
      </c>
      <c r="G240" s="4171"/>
      <c r="H240" s="4171">
        <v>4.1277</v>
      </c>
      <c r="I240" s="4172"/>
      <c r="J240" s="4166"/>
      <c r="K240" s="4166"/>
      <c r="L240" s="4166"/>
      <c r="M240" s="4166"/>
      <c r="N240" s="4166"/>
      <c r="O240" s="4166"/>
      <c r="P240" s="4166"/>
      <c r="Q240" s="4166"/>
      <c r="R240" s="4173"/>
    </row>
    <row s="4392" customFormat="1" customHeight="1" ht="75">
      <c r="A241" s="4165"/>
      <c r="B241" s="4166"/>
      <c r="C241" s="4167" t="s">
        <v>103</v>
      </c>
      <c r="D241" s="4168" t="s">
        <v>2155</v>
      </c>
      <c r="E241" s="4169" t="s">
        <v>2156</v>
      </c>
      <c r="F241" s="4170" t="str">
        <f>IF(TEMPLATE_SPHERE="HEAT","Гкал/час","тыс. куб. м/сутки")</f>
        <v>тыс. куб. м/сутки</v>
      </c>
      <c r="G241" s="4171"/>
      <c r="H241" s="4171">
        <v>9.8205</v>
      </c>
      <c r="I241" s="4172"/>
      <c r="J241" s="4166"/>
      <c r="K241" s="4166"/>
      <c r="L241" s="4166"/>
      <c r="M241" s="4166"/>
      <c r="N241" s="4166"/>
      <c r="O241" s="4166"/>
      <c r="P241" s="4166"/>
      <c r="Q241" s="4166"/>
      <c r="R241" s="4173"/>
    </row>
    <row s="4393" customFormat="1" customHeight="1" ht="75">
      <c r="A242" s="4165"/>
      <c r="B242" s="4166"/>
      <c r="C242" s="4167" t="s">
        <v>103</v>
      </c>
      <c r="D242" s="4168" t="s">
        <v>2157</v>
      </c>
      <c r="E242" s="4169" t="s">
        <v>2158</v>
      </c>
      <c r="F242" s="4170" t="str">
        <f>IF(TEMPLATE_SPHERE="HEAT","Гкал/час","тыс. куб. м/сутки")</f>
        <v>тыс. куб. м/сутки</v>
      </c>
      <c r="G242" s="4171"/>
      <c r="H242" s="4171">
        <v>1.726</v>
      </c>
      <c r="I242" s="4172"/>
      <c r="J242" s="4166"/>
      <c r="K242" s="4166"/>
      <c r="L242" s="4166"/>
      <c r="M242" s="4166"/>
      <c r="N242" s="4166"/>
      <c r="O242" s="4166"/>
      <c r="P242" s="4166"/>
      <c r="Q242" s="4166"/>
      <c r="R242" s="4173"/>
    </row>
    <row s="4394" customFormat="1" customHeight="1" ht="75">
      <c r="A243" s="4165"/>
      <c r="B243" s="4166"/>
      <c r="C243" s="4167" t="s">
        <v>103</v>
      </c>
      <c r="D243" s="4168" t="s">
        <v>2159</v>
      </c>
      <c r="E243" s="4169" t="s">
        <v>2160</v>
      </c>
      <c r="F243" s="4170" t="str">
        <f>IF(TEMPLATE_SPHERE="HEAT","Гкал/час","тыс. куб. м/сутки")</f>
        <v>тыс. куб. м/сутки</v>
      </c>
      <c r="G243" s="4171"/>
      <c r="H243" s="4171">
        <v>0.2464</v>
      </c>
      <c r="I243" s="4172"/>
      <c r="J243" s="4166"/>
      <c r="K243" s="4166"/>
      <c r="L243" s="4166"/>
      <c r="M243" s="4166"/>
      <c r="N243" s="4166"/>
      <c r="O243" s="4166"/>
      <c r="P243" s="4166"/>
      <c r="Q243" s="4166"/>
      <c r="R243" s="4173"/>
    </row>
    <row s="4395" customFormat="1" customHeight="1" ht="75">
      <c r="A244" s="4165"/>
      <c r="B244" s="4166"/>
      <c r="C244" s="4167" t="s">
        <v>103</v>
      </c>
      <c r="D244" s="4168" t="s">
        <v>2161</v>
      </c>
      <c r="E244" s="4169" t="s">
        <v>2162</v>
      </c>
      <c r="F244" s="4170" t="str">
        <f>IF(TEMPLATE_SPHERE="HEAT","Гкал/час","тыс. куб. м/сутки")</f>
        <v>тыс. куб. м/сутки</v>
      </c>
      <c r="G244" s="4171"/>
      <c r="H244" s="4171">
        <v>0.1817</v>
      </c>
      <c r="I244" s="4172"/>
      <c r="J244" s="4166"/>
      <c r="K244" s="4166"/>
      <c r="L244" s="4166"/>
      <c r="M244" s="4166"/>
      <c r="N244" s="4166"/>
      <c r="O244" s="4166"/>
      <c r="P244" s="4166"/>
      <c r="Q244" s="4166"/>
      <c r="R244" s="4173"/>
    </row>
    <row s="4396" customFormat="1" customHeight="1" ht="75">
      <c r="A245" s="4165"/>
      <c r="B245" s="4166"/>
      <c r="C245" s="4167" t="s">
        <v>103</v>
      </c>
      <c r="D245" s="4168" t="s">
        <v>2163</v>
      </c>
      <c r="E245" s="4169" t="s">
        <v>2164</v>
      </c>
      <c r="F245" s="4170" t="str">
        <f>IF(TEMPLATE_SPHERE="HEAT","Гкал/час","тыс. куб. м/сутки")</f>
        <v>тыс. куб. м/сутки</v>
      </c>
      <c r="G245" s="4171"/>
      <c r="H245" s="4171">
        <v>4.9852</v>
      </c>
      <c r="I245" s="4172"/>
      <c r="J245" s="4166"/>
      <c r="K245" s="4166"/>
      <c r="L245" s="4166"/>
      <c r="M245" s="4166"/>
      <c r="N245" s="4166"/>
      <c r="O245" s="4166"/>
      <c r="P245" s="4166"/>
      <c r="Q245" s="4166"/>
      <c r="R245" s="4173"/>
    </row>
    <row s="4397" customFormat="1" customHeight="1" ht="75">
      <c r="A246" s="4165"/>
      <c r="B246" s="4166"/>
      <c r="C246" s="4167" t="s">
        <v>103</v>
      </c>
      <c r="D246" s="4168" t="s">
        <v>2165</v>
      </c>
      <c r="E246" s="4169" t="s">
        <v>2166</v>
      </c>
      <c r="F246" s="4170" t="str">
        <f>IF(TEMPLATE_SPHERE="HEAT","Гкал/час","тыс. куб. м/сутки")</f>
        <v>тыс. куб. м/сутки</v>
      </c>
      <c r="G246" s="4171"/>
      <c r="H246" s="4171">
        <v>0.0986</v>
      </c>
      <c r="I246" s="4172"/>
      <c r="J246" s="4166"/>
      <c r="K246" s="4166"/>
      <c r="L246" s="4166"/>
      <c r="M246" s="4166"/>
      <c r="N246" s="4166"/>
      <c r="O246" s="4166"/>
      <c r="P246" s="4166"/>
      <c r="Q246" s="4166"/>
      <c r="R246" s="4173"/>
    </row>
    <row s="4398" customFormat="1" customHeight="1" ht="75">
      <c r="A247" s="4165"/>
      <c r="B247" s="4166"/>
      <c r="C247" s="4167" t="s">
        <v>103</v>
      </c>
      <c r="D247" s="4168" t="s">
        <v>2167</v>
      </c>
      <c r="E247" s="4169" t="s">
        <v>2168</v>
      </c>
      <c r="F247" s="4170" t="str">
        <f>IF(TEMPLATE_SPHERE="HEAT","Гкал/час","тыс. куб. м/сутки")</f>
        <v>тыс. куб. м/сутки</v>
      </c>
      <c r="G247" s="4171"/>
      <c r="H247" s="4171">
        <v>0.0408</v>
      </c>
      <c r="I247" s="4172"/>
      <c r="J247" s="4166"/>
      <c r="K247" s="4166"/>
      <c r="L247" s="4166"/>
      <c r="M247" s="4166"/>
      <c r="N247" s="4166"/>
      <c r="O247" s="4166"/>
      <c r="P247" s="4166"/>
      <c r="Q247" s="4166"/>
      <c r="R247" s="4173"/>
    </row>
    <row s="4399" customFormat="1" customHeight="1" ht="75">
      <c r="A248" s="4165"/>
      <c r="B248" s="4166"/>
      <c r="C248" s="4167" t="s">
        <v>103</v>
      </c>
      <c r="D248" s="4168" t="s">
        <v>2169</v>
      </c>
      <c r="E248" s="4169" t="s">
        <v>2170</v>
      </c>
      <c r="F248" s="4170" t="str">
        <f>IF(TEMPLATE_SPHERE="HEAT","Гкал/час","тыс. куб. м/сутки")</f>
        <v>тыс. куб. м/сутки</v>
      </c>
      <c r="G248" s="4171"/>
      <c r="H248" s="4171">
        <v>0.5608</v>
      </c>
      <c r="I248" s="4172"/>
      <c r="J248" s="4166"/>
      <c r="K248" s="4166"/>
      <c r="L248" s="4166"/>
      <c r="M248" s="4166"/>
      <c r="N248" s="4166"/>
      <c r="O248" s="4166"/>
      <c r="P248" s="4166"/>
      <c r="Q248" s="4166"/>
      <c r="R248" s="4173"/>
    </row>
    <row s="4400" customFormat="1" customHeight="1" ht="75">
      <c r="A249" s="4165"/>
      <c r="B249" s="4166"/>
      <c r="C249" s="4167" t="s">
        <v>103</v>
      </c>
      <c r="D249" s="4168" t="s">
        <v>2171</v>
      </c>
      <c r="E249" s="4169" t="s">
        <v>2172</v>
      </c>
      <c r="F249" s="4170" t="str">
        <f>IF(TEMPLATE_SPHERE="HEAT","Гкал/час","тыс. куб. м/сутки")</f>
        <v>тыс. куб. м/сутки</v>
      </c>
      <c r="G249" s="4171"/>
      <c r="H249" s="4171">
        <v>0.2494</v>
      </c>
      <c r="I249" s="4172"/>
      <c r="J249" s="4166"/>
      <c r="K249" s="4166"/>
      <c r="L249" s="4166"/>
      <c r="M249" s="4166"/>
      <c r="N249" s="4166"/>
      <c r="O249" s="4166"/>
      <c r="P249" s="4166"/>
      <c r="Q249" s="4166"/>
      <c r="R249" s="4173"/>
    </row>
    <row s="4401" customFormat="1" customHeight="1" ht="75">
      <c r="A250" s="4165"/>
      <c r="B250" s="4166"/>
      <c r="C250" s="4167" t="s">
        <v>103</v>
      </c>
      <c r="D250" s="4168" t="s">
        <v>2173</v>
      </c>
      <c r="E250" s="4169" t="s">
        <v>2174</v>
      </c>
      <c r="F250" s="4170" t="str">
        <f>IF(TEMPLATE_SPHERE="HEAT","Гкал/час","тыс. куб. м/сутки")</f>
        <v>тыс. куб. м/сутки</v>
      </c>
      <c r="G250" s="4171"/>
      <c r="H250" s="4171">
        <v>0.5018</v>
      </c>
      <c r="I250" s="4172"/>
      <c r="J250" s="4166"/>
      <c r="K250" s="4166"/>
      <c r="L250" s="4166"/>
      <c r="M250" s="4166"/>
      <c r="N250" s="4166"/>
      <c r="O250" s="4166"/>
      <c r="P250" s="4166"/>
      <c r="Q250" s="4166"/>
      <c r="R250" s="4173"/>
    </row>
    <row s="4402" customFormat="1" customHeight="1" ht="75">
      <c r="A251" s="4165"/>
      <c r="B251" s="4166"/>
      <c r="C251" s="4167" t="s">
        <v>103</v>
      </c>
      <c r="D251" s="4168" t="s">
        <v>2175</v>
      </c>
      <c r="E251" s="4169" t="s">
        <v>2176</v>
      </c>
      <c r="F251" s="4170" t="str">
        <f>IF(TEMPLATE_SPHERE="HEAT","Гкал/час","тыс. куб. м/сутки")</f>
        <v>тыс. куб. м/сутки</v>
      </c>
      <c r="G251" s="4171"/>
      <c r="H251" s="4171">
        <v>0.296</v>
      </c>
      <c r="I251" s="4172"/>
      <c r="J251" s="4166"/>
      <c r="K251" s="4166"/>
      <c r="L251" s="4166"/>
      <c r="M251" s="4166"/>
      <c r="N251" s="4166"/>
      <c r="O251" s="4166"/>
      <c r="P251" s="4166"/>
      <c r="Q251" s="4166"/>
      <c r="R251" s="4173"/>
    </row>
    <row s="4403" customFormat="1" customHeight="1" ht="75">
      <c r="A252" s="4165"/>
      <c r="B252" s="4166"/>
      <c r="C252" s="4167" t="s">
        <v>103</v>
      </c>
      <c r="D252" s="4168" t="s">
        <v>2177</v>
      </c>
      <c r="E252" s="4169" t="s">
        <v>2178</v>
      </c>
      <c r="F252" s="4170" t="str">
        <f>IF(TEMPLATE_SPHERE="HEAT","Гкал/час","тыс. куб. м/сутки")</f>
        <v>тыс. куб. м/сутки</v>
      </c>
      <c r="G252" s="4171"/>
      <c r="H252" s="4171">
        <v>0.2453</v>
      </c>
      <c r="I252" s="4172"/>
      <c r="J252" s="4166"/>
      <c r="K252" s="4166"/>
      <c r="L252" s="4166"/>
      <c r="M252" s="4166"/>
      <c r="N252" s="4166"/>
      <c r="O252" s="4166"/>
      <c r="P252" s="4166"/>
      <c r="Q252" s="4166"/>
      <c r="R252" s="4173"/>
    </row>
    <row s="4404" customFormat="1" customHeight="1" ht="75">
      <c r="A253" s="4165"/>
      <c r="B253" s="4166"/>
      <c r="C253" s="4167" t="s">
        <v>103</v>
      </c>
      <c r="D253" s="4168" t="s">
        <v>2179</v>
      </c>
      <c r="E253" s="4169" t="s">
        <v>2180</v>
      </c>
      <c r="F253" s="4170" t="str">
        <f>IF(TEMPLATE_SPHERE="HEAT","Гкал/час","тыс. куб. м/сутки")</f>
        <v>тыс. куб. м/сутки</v>
      </c>
      <c r="G253" s="4171"/>
      <c r="H253" s="4171">
        <v>0.2381</v>
      </c>
      <c r="I253" s="4172"/>
      <c r="J253" s="4166"/>
      <c r="K253" s="4166"/>
      <c r="L253" s="4166"/>
      <c r="M253" s="4166"/>
      <c r="N253" s="4166"/>
      <c r="O253" s="4166"/>
      <c r="P253" s="4166"/>
      <c r="Q253" s="4166"/>
      <c r="R253" s="4173"/>
    </row>
    <row s="4405" customFormat="1" customHeight="1" ht="75">
      <c r="A254" s="4165"/>
      <c r="B254" s="4166"/>
      <c r="C254" s="4167" t="s">
        <v>103</v>
      </c>
      <c r="D254" s="4168" t="s">
        <v>2181</v>
      </c>
      <c r="E254" s="4169" t="s">
        <v>2182</v>
      </c>
      <c r="F254" s="4170" t="str">
        <f>IF(TEMPLATE_SPHERE="HEAT","Гкал/час","тыс. куб. м/сутки")</f>
        <v>тыс. куб. м/сутки</v>
      </c>
      <c r="G254" s="4171"/>
      <c r="H254" s="4171">
        <v>0.499</v>
      </c>
      <c r="I254" s="4172"/>
      <c r="J254" s="4166"/>
      <c r="K254" s="4166"/>
      <c r="L254" s="4166"/>
      <c r="M254" s="4166"/>
      <c r="N254" s="4166"/>
      <c r="O254" s="4166"/>
      <c r="P254" s="4166"/>
      <c r="Q254" s="4166"/>
      <c r="R254" s="4173"/>
    </row>
    <row s="4406" customFormat="1" customHeight="1" ht="75">
      <c r="A255" s="4165"/>
      <c r="B255" s="4166"/>
      <c r="C255" s="4167" t="s">
        <v>103</v>
      </c>
      <c r="D255" s="4168" t="s">
        <v>2183</v>
      </c>
      <c r="E255" s="4169" t="s">
        <v>2184</v>
      </c>
      <c r="F255" s="4170" t="str">
        <f>IF(TEMPLATE_SPHERE="HEAT","Гкал/час","тыс. куб. м/сутки")</f>
        <v>тыс. куб. м/сутки</v>
      </c>
      <c r="G255" s="4171"/>
      <c r="H255" s="4171">
        <v>0.9994</v>
      </c>
      <c r="I255" s="4172"/>
      <c r="J255" s="4166"/>
      <c r="K255" s="4166"/>
      <c r="L255" s="4166"/>
      <c r="M255" s="4166"/>
      <c r="N255" s="4166"/>
      <c r="O255" s="4166"/>
      <c r="P255" s="4166"/>
      <c r="Q255" s="4166"/>
      <c r="R255" s="4173"/>
    </row>
    <row s="4407" customFormat="1" customHeight="1" ht="75">
      <c r="A256" s="4165"/>
      <c r="B256" s="4166"/>
      <c r="C256" s="4167" t="s">
        <v>103</v>
      </c>
      <c r="D256" s="4168" t="s">
        <v>2185</v>
      </c>
      <c r="E256" s="4169" t="s">
        <v>2186</v>
      </c>
      <c r="F256" s="4170" t="str">
        <f>IF(TEMPLATE_SPHERE="HEAT","Гкал/час","тыс. куб. м/сутки")</f>
        <v>тыс. куб. м/сутки</v>
      </c>
      <c r="G256" s="4171"/>
      <c r="H256" s="4171">
        <v>0.2316</v>
      </c>
      <c r="I256" s="4172"/>
      <c r="J256" s="4166"/>
      <c r="K256" s="4166"/>
      <c r="L256" s="4166"/>
      <c r="M256" s="4166"/>
      <c r="N256" s="4166"/>
      <c r="O256" s="4166"/>
      <c r="P256" s="4166"/>
      <c r="Q256" s="4166"/>
      <c r="R256" s="4173"/>
    </row>
    <row s="4408" customFormat="1" customHeight="1" ht="75">
      <c r="A257" s="4165"/>
      <c r="B257" s="4166"/>
      <c r="C257" s="4167" t="s">
        <v>103</v>
      </c>
      <c r="D257" s="4168" t="s">
        <v>2187</v>
      </c>
      <c r="E257" s="4169" t="s">
        <v>2188</v>
      </c>
      <c r="F257" s="4170" t="str">
        <f>IF(TEMPLATE_SPHERE="HEAT","Гкал/час","тыс. куб. м/сутки")</f>
        <v>тыс. куб. м/сутки</v>
      </c>
      <c r="G257" s="4171"/>
      <c r="H257" s="4171">
        <v>0.1396</v>
      </c>
      <c r="I257" s="4172"/>
      <c r="J257" s="4166"/>
      <c r="K257" s="4166"/>
      <c r="L257" s="4166"/>
      <c r="M257" s="4166"/>
      <c r="N257" s="4166"/>
      <c r="O257" s="4166"/>
      <c r="P257" s="4166"/>
      <c r="Q257" s="4166"/>
      <c r="R257" s="4173"/>
    </row>
    <row s="4409" customFormat="1" customHeight="1" ht="75">
      <c r="A258" s="4165"/>
      <c r="B258" s="4166"/>
      <c r="C258" s="4167" t="s">
        <v>103</v>
      </c>
      <c r="D258" s="4168" t="s">
        <v>2189</v>
      </c>
      <c r="E258" s="4169" t="s">
        <v>2190</v>
      </c>
      <c r="F258" s="4170" t="str">
        <f>IF(TEMPLATE_SPHERE="HEAT","Гкал/час","тыс. куб. м/сутки")</f>
        <v>тыс. куб. м/сутки</v>
      </c>
      <c r="G258" s="4171"/>
      <c r="H258" s="4171">
        <v>0.15</v>
      </c>
      <c r="I258" s="4172"/>
      <c r="J258" s="4166"/>
      <c r="K258" s="4166"/>
      <c r="L258" s="4166"/>
      <c r="M258" s="4166"/>
      <c r="N258" s="4166"/>
      <c r="O258" s="4166"/>
      <c r="P258" s="4166"/>
      <c r="Q258" s="4166"/>
      <c r="R258" s="4173"/>
    </row>
    <row s="4410" customFormat="1" customHeight="1" ht="75">
      <c r="A259" s="4165"/>
      <c r="B259" s="4166"/>
      <c r="C259" s="4167" t="s">
        <v>103</v>
      </c>
      <c r="D259" s="4168" t="s">
        <v>2191</v>
      </c>
      <c r="E259" s="4169" t="s">
        <v>2192</v>
      </c>
      <c r="F259" s="4170" t="str">
        <f>IF(TEMPLATE_SPHERE="HEAT","Гкал/час","тыс. куб. м/сутки")</f>
        <v>тыс. куб. м/сутки</v>
      </c>
      <c r="G259" s="4171"/>
      <c r="H259" s="4171">
        <v>7.8908</v>
      </c>
      <c r="I259" s="4172"/>
      <c r="J259" s="4166"/>
      <c r="K259" s="4166"/>
      <c r="L259" s="4166"/>
      <c r="M259" s="4166"/>
      <c r="N259" s="4166"/>
      <c r="O259" s="4166"/>
      <c r="P259" s="4166"/>
      <c r="Q259" s="4166"/>
      <c r="R259" s="4173"/>
    </row>
    <row s="4411" customFormat="1" customHeight="1" ht="75">
      <c r="A260" s="4165"/>
      <c r="B260" s="4166"/>
      <c r="C260" s="4167" t="s">
        <v>103</v>
      </c>
      <c r="D260" s="4168" t="s">
        <v>2193</v>
      </c>
      <c r="E260" s="4169" t="s">
        <v>2194</v>
      </c>
      <c r="F260" s="4170" t="str">
        <f>IF(TEMPLATE_SPHERE="HEAT","Гкал/час","тыс. куб. м/сутки")</f>
        <v>тыс. куб. м/сутки</v>
      </c>
      <c r="G260" s="4171"/>
      <c r="H260" s="4171">
        <v>11.1748</v>
      </c>
      <c r="I260" s="4172"/>
      <c r="J260" s="4166"/>
      <c r="K260" s="4166"/>
      <c r="L260" s="4166"/>
      <c r="M260" s="4166"/>
      <c r="N260" s="4166"/>
      <c r="O260" s="4166"/>
      <c r="P260" s="4166"/>
      <c r="Q260" s="4166"/>
      <c r="R260" s="4173"/>
    </row>
    <row s="4412" customFormat="1" customHeight="1" ht="75">
      <c r="A261" s="4165"/>
      <c r="B261" s="4166"/>
      <c r="C261" s="4167" t="s">
        <v>103</v>
      </c>
      <c r="D261" s="4168" t="s">
        <v>2195</v>
      </c>
      <c r="E261" s="4169" t="s">
        <v>2196</v>
      </c>
      <c r="F261" s="4170" t="str">
        <f>IF(TEMPLATE_SPHERE="HEAT","Гкал/час","тыс. куб. м/сутки")</f>
        <v>тыс. куб. м/сутки</v>
      </c>
      <c r="G261" s="4171"/>
      <c r="H261" s="4171">
        <v>14.9978</v>
      </c>
      <c r="I261" s="4172"/>
      <c r="J261" s="4166"/>
      <c r="K261" s="4166"/>
      <c r="L261" s="4166"/>
      <c r="M261" s="4166"/>
      <c r="N261" s="4166"/>
      <c r="O261" s="4166"/>
      <c r="P261" s="4166"/>
      <c r="Q261" s="4166"/>
      <c r="R261" s="4173"/>
    </row>
    <row s="4413" customFormat="1" customHeight="1" ht="75">
      <c r="A262" s="4165"/>
      <c r="B262" s="4166"/>
      <c r="C262" s="4167" t="s">
        <v>103</v>
      </c>
      <c r="D262" s="4168" t="s">
        <v>2197</v>
      </c>
      <c r="E262" s="4169" t="s">
        <v>2198</v>
      </c>
      <c r="F262" s="4170" t="str">
        <f>IF(TEMPLATE_SPHERE="HEAT","Гкал/час","тыс. куб. м/сутки")</f>
        <v>тыс. куб. м/сутки</v>
      </c>
      <c r="G262" s="4171"/>
      <c r="H262" s="4171">
        <v>0.4995</v>
      </c>
      <c r="I262" s="4172"/>
      <c r="J262" s="4166"/>
      <c r="K262" s="4166"/>
      <c r="L262" s="4166"/>
      <c r="M262" s="4166"/>
      <c r="N262" s="4166"/>
      <c r="O262" s="4166"/>
      <c r="P262" s="4166"/>
      <c r="Q262" s="4166"/>
      <c r="R262" s="4173"/>
    </row>
    <row s="4414" customFormat="1" customHeight="1" ht="75">
      <c r="A263" s="4165"/>
      <c r="B263" s="4166"/>
      <c r="C263" s="4167" t="s">
        <v>103</v>
      </c>
      <c r="D263" s="4168" t="s">
        <v>2199</v>
      </c>
      <c r="E263" s="4169" t="s">
        <v>2200</v>
      </c>
      <c r="F263" s="4170" t="str">
        <f>IF(TEMPLATE_SPHERE="HEAT","Гкал/час","тыс. куб. м/сутки")</f>
        <v>тыс. куб. м/сутки</v>
      </c>
      <c r="G263" s="4171"/>
      <c r="H263" s="4171">
        <v>7.1765</v>
      </c>
      <c r="I263" s="4172"/>
      <c r="J263" s="4166"/>
      <c r="K263" s="4166"/>
      <c r="L263" s="4166"/>
      <c r="M263" s="4166"/>
      <c r="N263" s="4166"/>
      <c r="O263" s="4166"/>
      <c r="P263" s="4166"/>
      <c r="Q263" s="4166"/>
      <c r="R263" s="4173"/>
    </row>
    <row s="4415" customFormat="1" customHeight="1" ht="75">
      <c r="A264" s="4165"/>
      <c r="B264" s="4166"/>
      <c r="C264" s="4167" t="s">
        <v>103</v>
      </c>
      <c r="D264" s="4168" t="s">
        <v>2201</v>
      </c>
      <c r="E264" s="4169" t="s">
        <v>2202</v>
      </c>
      <c r="F264" s="4170" t="str">
        <f>IF(TEMPLATE_SPHERE="HEAT","Гкал/час","тыс. куб. м/сутки")</f>
        <v>тыс. куб. м/сутки</v>
      </c>
      <c r="G264" s="4171"/>
      <c r="H264" s="4171">
        <v>0.0099</v>
      </c>
      <c r="I264" s="4172"/>
      <c r="J264" s="4166"/>
      <c r="K264" s="4166"/>
      <c r="L264" s="4166"/>
      <c r="M264" s="4166"/>
      <c r="N264" s="4166"/>
      <c r="O264" s="4166"/>
      <c r="P264" s="4166"/>
      <c r="Q264" s="4166"/>
      <c r="R264" s="4173"/>
    </row>
    <row s="4416" customFormat="1" customHeight="1" ht="75">
      <c r="A265" s="4165"/>
      <c r="B265" s="4166"/>
      <c r="C265" s="4167" t="s">
        <v>103</v>
      </c>
      <c r="D265" s="4168" t="s">
        <v>2203</v>
      </c>
      <c r="E265" s="4169" t="s">
        <v>2204</v>
      </c>
      <c r="F265" s="4170" t="str">
        <f>IF(TEMPLATE_SPHERE="HEAT","Гкал/час","тыс. куб. м/сутки")</f>
        <v>тыс. куб. м/сутки</v>
      </c>
      <c r="G265" s="4171"/>
      <c r="H265" s="4171">
        <v>0.3808</v>
      </c>
      <c r="I265" s="4172"/>
      <c r="J265" s="4166"/>
      <c r="K265" s="4166"/>
      <c r="L265" s="4166"/>
      <c r="M265" s="4166"/>
      <c r="N265" s="4166"/>
      <c r="O265" s="4166"/>
      <c r="P265" s="4166"/>
      <c r="Q265" s="4166"/>
      <c r="R265" s="4173"/>
    </row>
    <row s="4417" customFormat="1" customHeight="1" ht="75">
      <c r="A266" s="4165"/>
      <c r="B266" s="4166"/>
      <c r="C266" s="4167" t="s">
        <v>103</v>
      </c>
      <c r="D266" s="4168" t="s">
        <v>2205</v>
      </c>
      <c r="E266" s="4169" t="s">
        <v>2206</v>
      </c>
      <c r="F266" s="4170" t="str">
        <f>IF(TEMPLATE_SPHERE="HEAT","Гкал/час","тыс. куб. м/сутки")</f>
        <v>тыс. куб. м/сутки</v>
      </c>
      <c r="G266" s="4171"/>
      <c r="H266" s="4171">
        <v>0.0082</v>
      </c>
      <c r="I266" s="4172"/>
      <c r="J266" s="4166"/>
      <c r="K266" s="4166"/>
      <c r="L266" s="4166"/>
      <c r="M266" s="4166"/>
      <c r="N266" s="4166"/>
      <c r="O266" s="4166"/>
      <c r="P266" s="4166"/>
      <c r="Q266" s="4166"/>
      <c r="R266" s="4173"/>
    </row>
    <row s="4418" customFormat="1" customHeight="1" ht="75">
      <c r="A267" s="4165"/>
      <c r="B267" s="4166"/>
      <c r="C267" s="4167" t="s">
        <v>103</v>
      </c>
      <c r="D267" s="4168" t="s">
        <v>2207</v>
      </c>
      <c r="E267" s="4169" t="s">
        <v>2208</v>
      </c>
      <c r="F267" s="4170" t="str">
        <f>IF(TEMPLATE_SPHERE="HEAT","Гкал/час","тыс. куб. м/сутки")</f>
        <v>тыс. куб. м/сутки</v>
      </c>
      <c r="G267" s="4171"/>
      <c r="H267" s="4171">
        <v>0</v>
      </c>
      <c r="I267" s="4172"/>
      <c r="J267" s="4166"/>
      <c r="K267" s="4166"/>
      <c r="L267" s="4166"/>
      <c r="M267" s="4166"/>
      <c r="N267" s="4166"/>
      <c r="O267" s="4166"/>
      <c r="P267" s="4166"/>
      <c r="Q267" s="4166"/>
      <c r="R267" s="4173"/>
    </row>
    <row s="4419" customFormat="1" customHeight="1" ht="75">
      <c r="A268" s="4165"/>
      <c r="B268" s="4166"/>
      <c r="C268" s="4167" t="s">
        <v>103</v>
      </c>
      <c r="D268" s="4168" t="s">
        <v>2209</v>
      </c>
      <c r="E268" s="4169" t="s">
        <v>2210</v>
      </c>
      <c r="F268" s="4170" t="str">
        <f>IF(TEMPLATE_SPHERE="HEAT","Гкал/час","тыс. куб. м/сутки")</f>
        <v>тыс. куб. м/сутки</v>
      </c>
      <c r="G268" s="4171"/>
      <c r="H268" s="4171">
        <v>2.1714</v>
      </c>
      <c r="I268" s="4172"/>
      <c r="J268" s="4166"/>
      <c r="K268" s="4166"/>
      <c r="L268" s="4166"/>
      <c r="M268" s="4166"/>
      <c r="N268" s="4166"/>
      <c r="O268" s="4166"/>
      <c r="P268" s="4166"/>
      <c r="Q268" s="4166"/>
      <c r="R268" s="4173"/>
    </row>
    <row s="4420" customFormat="1" customHeight="1" ht="75">
      <c r="A269" s="4165"/>
      <c r="B269" s="4166"/>
      <c r="C269" s="4167" t="s">
        <v>103</v>
      </c>
      <c r="D269" s="4168" t="s">
        <v>2211</v>
      </c>
      <c r="E269" s="4169" t="s">
        <v>2212</v>
      </c>
      <c r="F269" s="4170" t="str">
        <f>IF(TEMPLATE_SPHERE="HEAT","Гкал/час","тыс. куб. м/сутки")</f>
        <v>тыс. куб. м/сутки</v>
      </c>
      <c r="G269" s="4171"/>
      <c r="H269" s="4171">
        <v>0.9426</v>
      </c>
      <c r="I269" s="4172"/>
      <c r="J269" s="4166"/>
      <c r="K269" s="4166"/>
      <c r="L269" s="4166"/>
      <c r="M269" s="4166"/>
      <c r="N269" s="4166"/>
      <c r="O269" s="4166"/>
      <c r="P269" s="4166"/>
      <c r="Q269" s="4166"/>
      <c r="R269" s="4173"/>
    </row>
    <row s="4421" customFormat="1" customHeight="1" ht="75">
      <c r="A270" s="4165"/>
      <c r="B270" s="4166"/>
      <c r="C270" s="4167" t="s">
        <v>103</v>
      </c>
      <c r="D270" s="4168" t="s">
        <v>2213</v>
      </c>
      <c r="E270" s="4169" t="s">
        <v>2214</v>
      </c>
      <c r="F270" s="4170" t="str">
        <f>IF(TEMPLATE_SPHERE="HEAT","Гкал/час","тыс. куб. м/сутки")</f>
        <v>тыс. куб. м/сутки</v>
      </c>
      <c r="G270" s="4171"/>
      <c r="H270" s="4171">
        <v>1.1661</v>
      </c>
      <c r="I270" s="4172"/>
      <c r="J270" s="4166"/>
      <c r="K270" s="4166"/>
      <c r="L270" s="4166"/>
      <c r="M270" s="4166"/>
      <c r="N270" s="4166"/>
      <c r="O270" s="4166"/>
      <c r="P270" s="4166"/>
      <c r="Q270" s="4166"/>
      <c r="R270" s="4173"/>
    </row>
    <row s="4422" customFormat="1" customHeight="1" ht="75">
      <c r="A271" s="4165"/>
      <c r="B271" s="4166"/>
      <c r="C271" s="4167" t="s">
        <v>103</v>
      </c>
      <c r="D271" s="4168" t="s">
        <v>2215</v>
      </c>
      <c r="E271" s="4169" t="s">
        <v>2216</v>
      </c>
      <c r="F271" s="4170" t="str">
        <f>IF(TEMPLATE_SPHERE="HEAT","Гкал/час","тыс. куб. м/сутки")</f>
        <v>тыс. куб. м/сутки</v>
      </c>
      <c r="G271" s="4171"/>
      <c r="H271" s="4171">
        <v>0.2627</v>
      </c>
      <c r="I271" s="4172"/>
      <c r="J271" s="4166"/>
      <c r="K271" s="4166"/>
      <c r="L271" s="4166"/>
      <c r="M271" s="4166"/>
      <c r="N271" s="4166"/>
      <c r="O271" s="4166"/>
      <c r="P271" s="4166"/>
      <c r="Q271" s="4166"/>
      <c r="R271" s="4173"/>
    </row>
    <row s="4423" customFormat="1" customHeight="1" ht="75">
      <c r="A272" s="4165"/>
      <c r="B272" s="4166"/>
      <c r="C272" s="4167" t="s">
        <v>103</v>
      </c>
      <c r="D272" s="4168" t="s">
        <v>2217</v>
      </c>
      <c r="E272" s="4169" t="s">
        <v>2218</v>
      </c>
      <c r="F272" s="4170" t="str">
        <f>IF(TEMPLATE_SPHERE="HEAT","Гкал/час","тыс. куб. м/сутки")</f>
        <v>тыс. куб. м/сутки</v>
      </c>
      <c r="G272" s="4171"/>
      <c r="H272" s="4171">
        <v>1.2816</v>
      </c>
      <c r="I272" s="4172"/>
      <c r="J272" s="4166"/>
      <c r="K272" s="4166"/>
      <c r="L272" s="4166"/>
      <c r="M272" s="4166"/>
      <c r="N272" s="4166"/>
      <c r="O272" s="4166"/>
      <c r="P272" s="4166"/>
      <c r="Q272" s="4166"/>
      <c r="R272" s="4173"/>
    </row>
    <row s="4424" customFormat="1" customHeight="1" ht="75">
      <c r="A273" s="4165"/>
      <c r="B273" s="4166"/>
      <c r="C273" s="4167" t="s">
        <v>103</v>
      </c>
      <c r="D273" s="4168" t="s">
        <v>2219</v>
      </c>
      <c r="E273" s="4169" t="s">
        <v>2220</v>
      </c>
      <c r="F273" s="4170" t="str">
        <f>IF(TEMPLATE_SPHERE="HEAT","Гкал/час","тыс. куб. м/сутки")</f>
        <v>тыс. куб. м/сутки</v>
      </c>
      <c r="G273" s="4171"/>
      <c r="H273" s="4171">
        <v>7.3911</v>
      </c>
      <c r="I273" s="4172"/>
      <c r="J273" s="4166"/>
      <c r="K273" s="4166"/>
      <c r="L273" s="4166"/>
      <c r="M273" s="4166"/>
      <c r="N273" s="4166"/>
      <c r="O273" s="4166"/>
      <c r="P273" s="4166"/>
      <c r="Q273" s="4166"/>
      <c r="R273" s="4173"/>
    </row>
    <row s="4425" customFormat="1" customHeight="1" ht="75">
      <c r="A274" s="4165"/>
      <c r="B274" s="4166"/>
      <c r="C274" s="4167" t="s">
        <v>103</v>
      </c>
      <c r="D274" s="4168" t="s">
        <v>2221</v>
      </c>
      <c r="E274" s="4169" t="s">
        <v>2222</v>
      </c>
      <c r="F274" s="4170" t="str">
        <f>IF(TEMPLATE_SPHERE="HEAT","Гкал/час","тыс. куб. м/сутки")</f>
        <v>тыс. куб. м/сутки</v>
      </c>
      <c r="G274" s="4171"/>
      <c r="H274" s="4171">
        <v>0.7735</v>
      </c>
      <c r="I274" s="4172"/>
      <c r="J274" s="4166"/>
      <c r="K274" s="4166"/>
      <c r="L274" s="4166"/>
      <c r="M274" s="4166"/>
      <c r="N274" s="4166"/>
      <c r="O274" s="4166"/>
      <c r="P274" s="4166"/>
      <c r="Q274" s="4166"/>
      <c r="R274" s="4173"/>
    </row>
    <row s="4426" customFormat="1" customHeight="1" ht="75">
      <c r="A275" s="4165"/>
      <c r="B275" s="4166"/>
      <c r="C275" s="4167" t="s">
        <v>103</v>
      </c>
      <c r="D275" s="4168" t="s">
        <v>2223</v>
      </c>
      <c r="E275" s="4169" t="s">
        <v>2224</v>
      </c>
      <c r="F275" s="4170" t="str">
        <f>IF(TEMPLATE_SPHERE="HEAT","Гкал/час","тыс. куб. м/сутки")</f>
        <v>тыс. куб. м/сутки</v>
      </c>
      <c r="G275" s="4171"/>
      <c r="H275" s="4171">
        <v>0.6176</v>
      </c>
      <c r="I275" s="4172"/>
      <c r="J275" s="4166"/>
      <c r="K275" s="4166"/>
      <c r="L275" s="4166"/>
      <c r="M275" s="4166"/>
      <c r="N275" s="4166"/>
      <c r="O275" s="4166"/>
      <c r="P275" s="4166"/>
      <c r="Q275" s="4166"/>
      <c r="R275" s="4173"/>
    </row>
    <row s="4427" customFormat="1" customHeight="1" ht="75">
      <c r="A276" s="4165"/>
      <c r="B276" s="4166"/>
      <c r="C276" s="4167" t="s">
        <v>103</v>
      </c>
      <c r="D276" s="4168" t="s">
        <v>2225</v>
      </c>
      <c r="E276" s="4169" t="s">
        <v>2226</v>
      </c>
      <c r="F276" s="4170" t="str">
        <f>IF(TEMPLATE_SPHERE="HEAT","Гкал/час","тыс. куб. м/сутки")</f>
        <v>тыс. куб. м/сутки</v>
      </c>
      <c r="G276" s="4171"/>
      <c r="H276" s="4171">
        <v>1.027</v>
      </c>
      <c r="I276" s="4172"/>
      <c r="J276" s="4166"/>
      <c r="K276" s="4166"/>
      <c r="L276" s="4166"/>
      <c r="M276" s="4166"/>
      <c r="N276" s="4166"/>
      <c r="O276" s="4166"/>
      <c r="P276" s="4166"/>
      <c r="Q276" s="4166"/>
      <c r="R276" s="4173"/>
    </row>
    <row s="4428" customFormat="1" customHeight="1" ht="75">
      <c r="A277" s="4165"/>
      <c r="B277" s="4166"/>
      <c r="C277" s="4167" t="s">
        <v>103</v>
      </c>
      <c r="D277" s="4168" t="s">
        <v>2227</v>
      </c>
      <c r="E277" s="4169" t="s">
        <v>2228</v>
      </c>
      <c r="F277" s="4170" t="str">
        <f>IF(TEMPLATE_SPHERE="HEAT","Гкал/час","тыс. куб. м/сутки")</f>
        <v>тыс. куб. м/сутки</v>
      </c>
      <c r="G277" s="4171"/>
      <c r="H277" s="4171">
        <v>1.1267</v>
      </c>
      <c r="I277" s="4172"/>
      <c r="J277" s="4166"/>
      <c r="K277" s="4166"/>
      <c r="L277" s="4166"/>
      <c r="M277" s="4166"/>
      <c r="N277" s="4166"/>
      <c r="O277" s="4166"/>
      <c r="P277" s="4166"/>
      <c r="Q277" s="4166"/>
      <c r="R277" s="4173"/>
    </row>
    <row s="4429" customFormat="1" customHeight="1" ht="75">
      <c r="A278" s="4165"/>
      <c r="B278" s="4166"/>
      <c r="C278" s="4167" t="s">
        <v>103</v>
      </c>
      <c r="D278" s="4168" t="s">
        <v>2229</v>
      </c>
      <c r="E278" s="4169" t="s">
        <v>2230</v>
      </c>
      <c r="F278" s="4170" t="str">
        <f>IF(TEMPLATE_SPHERE="HEAT","Гкал/час","тыс. куб. м/сутки")</f>
        <v>тыс. куб. м/сутки</v>
      </c>
      <c r="G278" s="4171"/>
      <c r="H278" s="4171">
        <v>2.008</v>
      </c>
      <c r="I278" s="4172"/>
      <c r="J278" s="4166"/>
      <c r="K278" s="4166"/>
      <c r="L278" s="4166"/>
      <c r="M278" s="4166"/>
      <c r="N278" s="4166"/>
      <c r="O278" s="4166"/>
      <c r="P278" s="4166"/>
      <c r="Q278" s="4166"/>
      <c r="R278" s="4173"/>
    </row>
    <row s="4430" customFormat="1" customHeight="1" ht="75">
      <c r="A279" s="4165"/>
      <c r="B279" s="4166"/>
      <c r="C279" s="4167" t="s">
        <v>103</v>
      </c>
      <c r="D279" s="4168" t="s">
        <v>2231</v>
      </c>
      <c r="E279" s="4169" t="s">
        <v>2232</v>
      </c>
      <c r="F279" s="4170" t="str">
        <f>IF(TEMPLATE_SPHERE="HEAT","Гкал/час","тыс. куб. м/сутки")</f>
        <v>тыс. куб. м/сутки</v>
      </c>
      <c r="G279" s="4171"/>
      <c r="H279" s="4171">
        <v>0.2144</v>
      </c>
      <c r="I279" s="4172"/>
      <c r="J279" s="4166"/>
      <c r="K279" s="4166"/>
      <c r="L279" s="4166"/>
      <c r="M279" s="4166"/>
      <c r="N279" s="4166"/>
      <c r="O279" s="4166"/>
      <c r="P279" s="4166"/>
      <c r="Q279" s="4166"/>
      <c r="R279" s="4173"/>
    </row>
    <row s="4431" customFormat="1" customHeight="1" ht="75">
      <c r="A280" s="4165"/>
      <c r="B280" s="4166"/>
      <c r="C280" s="4167" t="s">
        <v>103</v>
      </c>
      <c r="D280" s="4168" t="s">
        <v>2233</v>
      </c>
      <c r="E280" s="4169" t="s">
        <v>2234</v>
      </c>
      <c r="F280" s="4170" t="str">
        <f>IF(TEMPLATE_SPHERE="HEAT","Гкал/час","тыс. куб. м/сутки")</f>
        <v>тыс. куб. м/сутки</v>
      </c>
      <c r="G280" s="4171"/>
      <c r="H280" s="4171">
        <v>0.2309</v>
      </c>
      <c r="I280" s="4172"/>
      <c r="J280" s="4166"/>
      <c r="K280" s="4166"/>
      <c r="L280" s="4166"/>
      <c r="M280" s="4166"/>
      <c r="N280" s="4166"/>
      <c r="O280" s="4166"/>
      <c r="P280" s="4166"/>
      <c r="Q280" s="4166"/>
      <c r="R280" s="4173"/>
    </row>
    <row s="4432" customFormat="1" customHeight="1" ht="75">
      <c r="A281" s="4165"/>
      <c r="B281" s="4166"/>
      <c r="C281" s="4167" t="s">
        <v>103</v>
      </c>
      <c r="D281" s="4168" t="s">
        <v>2235</v>
      </c>
      <c r="E281" s="4169" t="s">
        <v>2236</v>
      </c>
      <c r="F281" s="4170" t="str">
        <f>IF(TEMPLATE_SPHERE="HEAT","Гкал/час","тыс. куб. м/сутки")</f>
        <v>тыс. куб. м/сутки</v>
      </c>
      <c r="G281" s="4171"/>
      <c r="H281" s="4171">
        <v>0.6163</v>
      </c>
      <c r="I281" s="4172"/>
      <c r="J281" s="4166"/>
      <c r="K281" s="4166"/>
      <c r="L281" s="4166"/>
      <c r="M281" s="4166"/>
      <c r="N281" s="4166"/>
      <c r="O281" s="4166"/>
      <c r="P281" s="4166"/>
      <c r="Q281" s="4166"/>
      <c r="R281" s="4173"/>
    </row>
    <row s="4433" customFormat="1" customHeight="1" ht="75">
      <c r="A282" s="4165"/>
      <c r="B282" s="4166"/>
      <c r="C282" s="4167" t="s">
        <v>103</v>
      </c>
      <c r="D282" s="4168" t="s">
        <v>2237</v>
      </c>
      <c r="E282" s="4169" t="s">
        <v>2238</v>
      </c>
      <c r="F282" s="4170" t="str">
        <f>IF(TEMPLATE_SPHERE="HEAT","Гкал/час","тыс. куб. м/сутки")</f>
        <v>тыс. куб. м/сутки</v>
      </c>
      <c r="G282" s="4171"/>
      <c r="H282" s="4171">
        <v>4.4768</v>
      </c>
      <c r="I282" s="4172"/>
      <c r="J282" s="4166"/>
      <c r="K282" s="4166"/>
      <c r="L282" s="4166"/>
      <c r="M282" s="4166"/>
      <c r="N282" s="4166"/>
      <c r="O282" s="4166"/>
      <c r="P282" s="4166"/>
      <c r="Q282" s="4166"/>
      <c r="R282" s="4173"/>
    </row>
    <row s="4434" customFormat="1" customHeight="1" ht="75">
      <c r="A283" s="4165"/>
      <c r="B283" s="4166"/>
      <c r="C283" s="4167" t="s">
        <v>103</v>
      </c>
      <c r="D283" s="4168" t="s">
        <v>2239</v>
      </c>
      <c r="E283" s="4169" t="s">
        <v>2240</v>
      </c>
      <c r="F283" s="4170" t="str">
        <f>IF(TEMPLATE_SPHERE="HEAT","Гкал/час","тыс. куб. м/сутки")</f>
        <v>тыс. куб. м/сутки</v>
      </c>
      <c r="G283" s="4171"/>
      <c r="H283" s="4171">
        <v>0.223</v>
      </c>
      <c r="I283" s="4172"/>
      <c r="J283" s="4166"/>
      <c r="K283" s="4166"/>
      <c r="L283" s="4166"/>
      <c r="M283" s="4166"/>
      <c r="N283" s="4166"/>
      <c r="O283" s="4166"/>
      <c r="P283" s="4166"/>
      <c r="Q283" s="4166"/>
      <c r="R283" s="4173"/>
    </row>
    <row s="4435" customFormat="1" customHeight="1" ht="75">
      <c r="A284" s="4165"/>
      <c r="B284" s="4166"/>
      <c r="C284" s="4167" t="s">
        <v>103</v>
      </c>
      <c r="D284" s="4168" t="s">
        <v>2241</v>
      </c>
      <c r="E284" s="4169" t="s">
        <v>2242</v>
      </c>
      <c r="F284" s="4170" t="str">
        <f>IF(TEMPLATE_SPHERE="HEAT","Гкал/час","тыс. куб. м/сутки")</f>
        <v>тыс. куб. м/сутки</v>
      </c>
      <c r="G284" s="4171"/>
      <c r="H284" s="4171">
        <v>81.4203</v>
      </c>
      <c r="I284" s="4172"/>
      <c r="J284" s="4166"/>
      <c r="K284" s="4166"/>
      <c r="L284" s="4166"/>
      <c r="M284" s="4166"/>
      <c r="N284" s="4166"/>
      <c r="O284" s="4166"/>
      <c r="P284" s="4166"/>
      <c r="Q284" s="4166"/>
      <c r="R284" s="4173"/>
    </row>
    <row s="4436" customFormat="1" customHeight="1" ht="75">
      <c r="A285" s="4165"/>
      <c r="B285" s="4166"/>
      <c r="C285" s="4167" t="s">
        <v>103</v>
      </c>
      <c r="D285" s="4168" t="s">
        <v>2243</v>
      </c>
      <c r="E285" s="4169" t="s">
        <v>2244</v>
      </c>
      <c r="F285" s="4170" t="str">
        <f>IF(TEMPLATE_SPHERE="HEAT","Гкал/час","тыс. куб. м/сутки")</f>
        <v>тыс. куб. м/сутки</v>
      </c>
      <c r="G285" s="4171"/>
      <c r="H285" s="4171">
        <v>0.8027</v>
      </c>
      <c r="I285" s="4172"/>
      <c r="J285" s="4166"/>
      <c r="K285" s="4166"/>
      <c r="L285" s="4166"/>
      <c r="M285" s="4166"/>
      <c r="N285" s="4166"/>
      <c r="O285" s="4166"/>
      <c r="P285" s="4166"/>
      <c r="Q285" s="4166"/>
      <c r="R285" s="4173"/>
    </row>
    <row s="4437" customFormat="1" customHeight="1" ht="75">
      <c r="A286" s="4165"/>
      <c r="B286" s="4166"/>
      <c r="C286" s="4167" t="s">
        <v>103</v>
      </c>
      <c r="D286" s="4168" t="s">
        <v>2245</v>
      </c>
      <c r="E286" s="4169" t="s">
        <v>1859</v>
      </c>
      <c r="F286" s="4170" t="str">
        <f>IF(TEMPLATE_SPHERE="HEAT","Гкал/час","тыс. куб. м/сутки")</f>
        <v>тыс. куб. м/сутки</v>
      </c>
      <c r="G286" s="4171"/>
      <c r="H286" s="4171">
        <v>0.2187</v>
      </c>
      <c r="I286" s="4172"/>
      <c r="J286" s="4166"/>
      <c r="K286" s="4166"/>
      <c r="L286" s="4166"/>
      <c r="M286" s="4166"/>
      <c r="N286" s="4166"/>
      <c r="O286" s="4166"/>
      <c r="P286" s="4166"/>
      <c r="Q286" s="4166"/>
      <c r="R286" s="4173"/>
    </row>
    <row s="4438" customFormat="1" customHeight="1" ht="75">
      <c r="A287" s="4165"/>
      <c r="B287" s="4166"/>
      <c r="C287" s="4167" t="s">
        <v>103</v>
      </c>
      <c r="D287" s="4168" t="s">
        <v>2246</v>
      </c>
      <c r="E287" s="4169" t="s">
        <v>2247</v>
      </c>
      <c r="F287" s="4170" t="str">
        <f>IF(TEMPLATE_SPHERE="HEAT","Гкал/час","тыс. куб. м/сутки")</f>
        <v>тыс. куб. м/сутки</v>
      </c>
      <c r="G287" s="4171"/>
      <c r="H287" s="4171">
        <v>5.2748</v>
      </c>
      <c r="I287" s="4172"/>
      <c r="J287" s="4166"/>
      <c r="K287" s="4166"/>
      <c r="L287" s="4166"/>
      <c r="M287" s="4166"/>
      <c r="N287" s="4166"/>
      <c r="O287" s="4166"/>
      <c r="P287" s="4166"/>
      <c r="Q287" s="4166"/>
      <c r="R287" s="4173"/>
    </row>
    <row s="4439" customFormat="1" customHeight="1" ht="75">
      <c r="A288" s="4165"/>
      <c r="B288" s="4166"/>
      <c r="C288" s="4167" t="s">
        <v>103</v>
      </c>
      <c r="D288" s="4168" t="s">
        <v>2248</v>
      </c>
      <c r="E288" s="4169" t="s">
        <v>2249</v>
      </c>
      <c r="F288" s="4170" t="str">
        <f>IF(TEMPLATE_SPHERE="HEAT","Гкал/час","тыс. куб. м/сутки")</f>
        <v>тыс. куб. м/сутки</v>
      </c>
      <c r="G288" s="4171"/>
      <c r="H288" s="4171">
        <v>0.2575</v>
      </c>
      <c r="I288" s="4172"/>
      <c r="J288" s="4166"/>
      <c r="K288" s="4166"/>
      <c r="L288" s="4166"/>
      <c r="M288" s="4166"/>
      <c r="N288" s="4166"/>
      <c r="O288" s="4166"/>
      <c r="P288" s="4166"/>
      <c r="Q288" s="4166"/>
      <c r="R288" s="4173"/>
    </row>
    <row s="4440" customFormat="1" customHeight="1" ht="75">
      <c r="A289" s="4165"/>
      <c r="B289" s="4166"/>
      <c r="C289" s="4167" t="s">
        <v>103</v>
      </c>
      <c r="D289" s="4168" t="s">
        <v>2250</v>
      </c>
      <c r="E289" s="4169" t="s">
        <v>2251</v>
      </c>
      <c r="F289" s="4170" t="str">
        <f>IF(TEMPLATE_SPHERE="HEAT","Гкал/час","тыс. куб. м/сутки")</f>
        <v>тыс. куб. м/сутки</v>
      </c>
      <c r="G289" s="4171"/>
      <c r="H289" s="4171">
        <v>6.5153</v>
      </c>
      <c r="I289" s="4172"/>
      <c r="J289" s="4166"/>
      <c r="K289" s="4166"/>
      <c r="L289" s="4166"/>
      <c r="M289" s="4166"/>
      <c r="N289" s="4166"/>
      <c r="O289" s="4166"/>
      <c r="P289" s="4166"/>
      <c r="Q289" s="4166"/>
      <c r="R289" s="4173"/>
    </row>
    <row s="4441" customFormat="1" customHeight="1" ht="75">
      <c r="A290" s="4165"/>
      <c r="B290" s="4166"/>
      <c r="C290" s="4167" t="s">
        <v>103</v>
      </c>
      <c r="D290" s="4168" t="s">
        <v>2252</v>
      </c>
      <c r="E290" s="4169" t="s">
        <v>2253</v>
      </c>
      <c r="F290" s="4170" t="str">
        <f>IF(TEMPLATE_SPHERE="HEAT","Гкал/час","тыс. куб. м/сутки")</f>
        <v>тыс. куб. м/сутки</v>
      </c>
      <c r="G290" s="4171"/>
      <c r="H290" s="4171">
        <v>0.0037</v>
      </c>
      <c r="I290" s="4172"/>
      <c r="J290" s="4166"/>
      <c r="K290" s="4166"/>
      <c r="L290" s="4166"/>
      <c r="M290" s="4166"/>
      <c r="N290" s="4166"/>
      <c r="O290" s="4166"/>
      <c r="P290" s="4166"/>
      <c r="Q290" s="4166"/>
      <c r="R290" s="4173"/>
    </row>
    <row customHeight="1" ht="15">
      <c r="A291" s="513"/>
      <c r="C291" s="513"/>
      <c r="D291" s="343"/>
      <c r="E291" s="588" t="s">
        <v>2254</v>
      </c>
      <c r="F291" s="580"/>
      <c r="G291" s="580"/>
      <c r="H291" s="580"/>
      <c r="I291" s="2008"/>
      <c r="R291" s="513"/>
    </row>
  </sheetData>
  <sheetProtection formatColumns="0" formatRows="0" autoFilter="0" sort="0" insertRows="0" insertColumns="1" deleteRows="0" deleteColumns="0"/>
  <mergeCells count="8">
    <mergeCell ref="I21:I291"/>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90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90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A8EF-F896-D5FC-02E8-012A543CB73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8" width="9.140625" hidden="1" customWidth="1"/>
    <col min="2" max="2" style="3080" width="9.140625" hidden="1" customWidth="1"/>
    <col min="3" max="3" style="4148" width="4.7109375" customWidth="1"/>
    <col min="4" max="4" style="3080" width="6.28125" customWidth="1"/>
    <col min="5" max="5" style="3080" width="36.7109375" customWidth="1"/>
    <col min="6" max="6" style="3080" width="9.57421875" customWidth="1"/>
    <col min="7" max="7" style="2598" width="25.7109375" hidden="1" customWidth="1"/>
    <col min="8" max="8" style="2598" width="33.7109375" hidden="1" customWidth="1"/>
    <col min="9" max="9" style="3080" width="25.7109375" customWidth="1"/>
    <col min="10" max="10" style="3080" width="33.7109375" customWidth="1"/>
    <col min="11" max="11" style="2599" width="93.421875" customWidth="1"/>
    <col min="12" max="20" style="3080" width="10.57421875"/>
    <col min="21" max="21" style="411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2255</v>
      </c>
      <c r="F3" s="699" t="s">
        <v>395</v>
      </c>
      <c r="G3" s="694"/>
      <c r="H3" s="408"/>
      <c r="I3" s="694"/>
      <c r="J3" s="408"/>
      <c r="K3" s="277" t="s">
        <v>2256</v>
      </c>
    </row>
    <row customHeight="1" ht="15" hidden="1">
      <c r="A4" s="513"/>
      <c r="B4" s="2313"/>
      <c r="C4" s="2314"/>
      <c r="D4" s="697" t="str">
        <f>B3&amp;".2"</f>
        <v>.2</v>
      </c>
      <c r="E4" s="698" t="s">
        <v>2257</v>
      </c>
      <c r="F4" s="699" t="s">
        <v>395</v>
      </c>
      <c r="G4" s="1784" t="s">
        <v>18</v>
      </c>
      <c r="H4" s="408"/>
      <c r="I4" s="1784" t="s">
        <v>18</v>
      </c>
      <c r="J4" s="408"/>
      <c r="K4" s="277" t="s">
        <v>2258</v>
      </c>
    </row>
    <row s="2599" customFormat="1" customHeight="1" ht="15" hidden="1">
      <c r="C5" s="680"/>
      <c r="U5" s="427"/>
    </row>
    <row customHeight="1" ht="22.5" hidden="1">
      <c r="A6" s="513"/>
      <c r="B6" s="2313"/>
      <c r="C6" s="2314"/>
      <c r="D6" s="697" t="str">
        <f>B6&amp;".1"</f>
        <v>.1</v>
      </c>
      <c r="E6" s="698" t="s">
        <v>2259</v>
      </c>
      <c r="F6" s="699" t="s">
        <v>395</v>
      </c>
      <c r="G6" s="694"/>
      <c r="H6" s="408"/>
      <c r="I6" s="694"/>
      <c r="J6" s="408"/>
      <c r="K6" s="277" t="s">
        <v>2260</v>
      </c>
    </row>
    <row customHeight="1" ht="15" hidden="1">
      <c r="A7" s="513"/>
      <c r="B7" s="2313"/>
      <c r="C7" s="2314"/>
      <c r="D7" s="697" t="str">
        <f>B6&amp;".2"</f>
        <v>.2</v>
      </c>
      <c r="E7" s="698" t="s">
        <v>2257</v>
      </c>
      <c r="F7" s="699" t="s">
        <v>395</v>
      </c>
      <c r="G7" s="1784" t="s">
        <v>18</v>
      </c>
      <c r="H7" s="408"/>
      <c r="I7" s="1784" t="s">
        <v>18</v>
      </c>
      <c r="J7" s="408"/>
      <c r="K7" s="277" t="s">
        <v>2258</v>
      </c>
    </row>
    <row s="2599" customFormat="1" customHeight="1" ht="15" hidden="1">
      <c r="C8" s="680"/>
      <c r="U8" s="427"/>
    </row>
    <row customHeight="1" ht="22.5" hidden="1">
      <c r="A9" s="513"/>
      <c r="B9" s="2313"/>
      <c r="C9" s="2314"/>
      <c r="D9" s="697" t="str">
        <f>B9&amp;".1"</f>
        <v>.1</v>
      </c>
      <c r="E9" s="698" t="s">
        <v>2261</v>
      </c>
      <c r="F9" s="699" t="s">
        <v>395</v>
      </c>
      <c r="G9" s="705" t="s">
        <v>18</v>
      </c>
      <c r="H9" s="408" t="s">
        <v>18</v>
      </c>
      <c r="I9" s="705" t="s">
        <v>18</v>
      </c>
      <c r="J9" s="408" t="s">
        <v>18</v>
      </c>
      <c r="K9" s="277"/>
    </row>
    <row customHeight="1" ht="15" hidden="1">
      <c r="A10" s="513"/>
      <c r="B10" s="2313"/>
      <c r="C10" s="2314"/>
      <c r="D10" s="697" t="str">
        <f>B9&amp;".2"</f>
        <v>.2</v>
      </c>
      <c r="E10" s="698" t="s">
        <v>2262</v>
      </c>
      <c r="F10" s="699" t="s">
        <v>395</v>
      </c>
      <c r="G10" s="1778" t="s">
        <v>18</v>
      </c>
      <c r="H10" s="408" t="s">
        <v>18</v>
      </c>
      <c r="I10" s="1778" t="s">
        <v>18</v>
      </c>
      <c r="J10" s="408" t="s">
        <v>18</v>
      </c>
      <c r="K10" s="277" t="s">
        <v>2263</v>
      </c>
    </row>
    <row customHeight="1" ht="15" hidden="1">
      <c r="A11" s="513"/>
      <c r="B11" s="2313"/>
      <c r="C11" s="2314"/>
      <c r="D11" s="697" t="str">
        <f>B9&amp;".3"</f>
        <v>.3</v>
      </c>
      <c r="E11" s="698" t="s">
        <v>2264</v>
      </c>
      <c r="F11" s="699" t="s">
        <v>395</v>
      </c>
      <c r="G11" s="1778" t="s">
        <v>18</v>
      </c>
      <c r="H11" s="408" t="s">
        <v>18</v>
      </c>
      <c r="I11" s="1778" t="s">
        <v>18</v>
      </c>
      <c r="J11" s="408" t="s">
        <v>18</v>
      </c>
      <c r="K11" s="277" t="s">
        <v>2265</v>
      </c>
    </row>
    <row s="2599" customFormat="1" customHeight="1" ht="15" hidden="1">
      <c r="C12" s="680"/>
      <c r="U12" s="427"/>
    </row>
    <row customHeight="1" ht="33.75" hidden="1">
      <c r="A13" s="513"/>
      <c r="B13" s="2313"/>
      <c r="C13" s="2314"/>
      <c r="D13" s="697" t="str">
        <f>B13&amp;".1"</f>
        <v>.1</v>
      </c>
      <c r="E13" s="698" t="s">
        <v>2266</v>
      </c>
      <c r="F13" s="699" t="s">
        <v>395</v>
      </c>
      <c r="G13" s="705" t="s">
        <v>18</v>
      </c>
      <c r="H13" s="408" t="s">
        <v>18</v>
      </c>
      <c r="I13" s="705" t="s">
        <v>18</v>
      </c>
      <c r="J13" s="408" t="s">
        <v>18</v>
      </c>
      <c r="K13" s="277" t="s">
        <v>2267</v>
      </c>
    </row>
    <row customHeight="1" ht="15" hidden="1">
      <c r="B14" s="2313"/>
      <c r="C14" s="2314"/>
      <c r="D14" s="697" t="str">
        <f>B13&amp;".2"</f>
        <v>.2</v>
      </c>
      <c r="E14" s="698" t="s">
        <v>2268</v>
      </c>
      <c r="F14" s="699" t="s">
        <v>395</v>
      </c>
      <c r="G14" s="1778" t="s">
        <v>18</v>
      </c>
      <c r="H14" s="408" t="s">
        <v>18</v>
      </c>
      <c r="I14" s="1778" t="s">
        <v>18</v>
      </c>
      <c r="J14" s="408" t="s">
        <v>18</v>
      </c>
      <c r="K14" s="277" t="s">
        <v>2269</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2270</v>
      </c>
      <c r="E22" s="2312"/>
      <c r="F22" s="2312"/>
      <c r="G22" s="2312"/>
      <c r="H22" s="2312"/>
      <c r="I22" s="2312"/>
      <c r="J22" s="684"/>
      <c r="K22" s="545"/>
    </row>
    <row customHeight="1" ht="15">
      <c r="C23" s="162"/>
      <c r="D23" s="2049" t="str">
        <f>IF(org=0,"Не определено",org)</f>
        <v>ГУП СК "Ставрополькрайводоканал"</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225</v>
      </c>
      <c r="J25" s="762"/>
      <c r="K25" s="424"/>
      <c r="U25" s="683"/>
    </row>
    <row customHeight="1" ht="15">
      <c r="C26" s="162"/>
      <c r="D26" s="719"/>
      <c r="E26" s="2308" t="s">
        <v>217</v>
      </c>
      <c r="F26" s="2309"/>
      <c r="G26" s="2306" t="str">
        <f>IF(G25="","",INDEX(DIFFERENTIATION_UNMERGE_VD,MATCH(G25,DIFFERENTIATION_ID_DIFF,0)))</f>
        <v/>
      </c>
      <c r="H26" s="2307"/>
      <c r="I26" s="2306" t="str">
        <f>IF(I25="","",INDEX(DIFFERENTIATION_UNMERGE_VD,MATCH(I25,DIFFERENTIATION_ID_DIFF,0)))</f>
        <v>Подключение (технологическое присоединение) к централизованной системе водоснабжения</v>
      </c>
      <c r="J26" s="2307"/>
      <c r="K26" s="2012" t="s">
        <v>390</v>
      </c>
    </row>
    <row s="2598" customFormat="1" customHeight="1" ht="15">
      <c r="A27" s="769"/>
      <c r="C27" s="162"/>
      <c r="D27" s="719"/>
      <c r="E27" s="2308" t="s">
        <v>514</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8" customFormat="1" customHeight="1" ht="15">
      <c r="A28" s="769"/>
      <c r="C28" s="162"/>
      <c r="D28" s="719"/>
      <c r="E28" s="2308" t="s">
        <v>515</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389</v>
      </c>
      <c r="E29" s="2311"/>
      <c r="F29" s="2311"/>
      <c r="G29" s="898"/>
      <c r="H29" s="898"/>
      <c r="I29" s="898"/>
      <c r="J29" s="899"/>
      <c r="K29" s="2032"/>
      <c r="U29" s="683"/>
    </row>
    <row customHeight="1" ht="33.75">
      <c r="C30" s="162"/>
      <c r="D30" s="771" t="s">
        <v>88</v>
      </c>
      <c r="E30" s="770" t="s">
        <v>391</v>
      </c>
      <c r="F30" s="770" t="s">
        <v>1694</v>
      </c>
      <c r="G30" s="818" t="s">
        <v>392</v>
      </c>
      <c r="H30" s="817" t="s">
        <v>481</v>
      </c>
      <c r="I30" s="692" t="s">
        <v>392</v>
      </c>
      <c r="J30" s="473" t="s">
        <v>481</v>
      </c>
      <c r="K30" s="2038"/>
    </row>
    <row customHeight="1" ht="15" hidden="1">
      <c r="C31" s="162"/>
      <c r="D31" s="601"/>
      <c r="E31" s="601"/>
      <c r="F31" s="601"/>
      <c r="G31" s="667"/>
      <c r="H31" s="667"/>
      <c r="I31" s="667"/>
      <c r="J31" s="667"/>
      <c r="K31" s="277"/>
    </row>
    <row customHeight="1" ht="22.5">
      <c r="A32" s="513"/>
      <c r="B32" s="513" t="s">
        <v>2271</v>
      </c>
      <c r="C32" s="534"/>
      <c r="D32" s="700">
        <v>1</v>
      </c>
      <c r="E32" s="701" t="s">
        <v>2272</v>
      </c>
      <c r="F32" s="699" t="s">
        <v>395</v>
      </c>
      <c r="G32" s="823" t="s">
        <v>395</v>
      </c>
      <c r="H32" s="823" t="s">
        <v>395</v>
      </c>
      <c r="I32" s="699" t="s">
        <v>395</v>
      </c>
      <c r="J32" s="699" t="s">
        <v>395</v>
      </c>
      <c r="K32" s="277"/>
    </row>
    <row customHeight="1" ht="11.25">
      <c r="A33" s="513"/>
      <c r="C33" s="513"/>
      <c r="D33" s="343"/>
      <c r="E33" s="588" t="s">
        <v>1651</v>
      </c>
      <c r="F33" s="580"/>
      <c r="G33" s="580"/>
      <c r="H33" s="580"/>
      <c r="I33" s="580"/>
      <c r="J33" s="580"/>
      <c r="K33" s="581"/>
      <c r="U33" s="513"/>
    </row>
    <row customHeight="1" ht="22.5">
      <c r="A34" s="513"/>
      <c r="B34" s="589" t="s">
        <v>549</v>
      </c>
      <c r="C34" s="534"/>
      <c r="D34" s="700">
        <v>2</v>
      </c>
      <c r="E34" s="701" t="s">
        <v>2273</v>
      </c>
      <c r="F34" s="830" t="s">
        <v>395</v>
      </c>
      <c r="G34" s="830" t="s">
        <v>395</v>
      </c>
      <c r="H34" s="830" t="s">
        <v>395</v>
      </c>
      <c r="I34" s="699"/>
      <c r="J34" s="699"/>
      <c r="K34" s="277"/>
    </row>
    <row customHeight="1" ht="11.25">
      <c r="A35" s="513"/>
      <c r="C35" s="513"/>
      <c r="D35" s="343"/>
      <c r="E35" s="588" t="s">
        <v>2274</v>
      </c>
      <c r="F35" s="580"/>
      <c r="G35" s="702"/>
      <c r="H35" s="580"/>
      <c r="I35" s="702"/>
      <c r="J35" s="580"/>
      <c r="K35" s="581"/>
      <c r="U35" s="513"/>
    </row>
    <row customHeight="1" ht="67.5">
      <c r="A36" s="513"/>
      <c r="B36" s="513" t="s">
        <v>2275</v>
      </c>
      <c r="C36" s="534"/>
      <c r="D36" s="700">
        <v>3</v>
      </c>
      <c r="E36" s="701" t="s">
        <v>2276</v>
      </c>
      <c r="F36" s="703" t="s">
        <v>395</v>
      </c>
      <c r="G36" s="824" t="s">
        <v>2277</v>
      </c>
      <c r="H36" s="823" t="s">
        <v>395</v>
      </c>
      <c r="I36" s="532" t="s">
        <v>2277</v>
      </c>
      <c r="J36" s="699" t="s">
        <v>395</v>
      </c>
      <c r="K36" s="277" t="s">
        <v>2278</v>
      </c>
    </row>
    <row customHeight="1" ht="11.25">
      <c r="A37" s="513"/>
      <c r="C37" s="513"/>
      <c r="D37" s="343"/>
      <c r="E37" s="588" t="s">
        <v>2279</v>
      </c>
      <c r="F37" s="580"/>
      <c r="G37" s="702"/>
      <c r="H37" s="702"/>
      <c r="I37" s="702"/>
      <c r="J37" s="702"/>
      <c r="K37" s="581"/>
      <c r="U37" s="513"/>
    </row>
    <row customHeight="1" ht="67.5">
      <c r="A38" s="513"/>
      <c r="B38" s="513" t="s">
        <v>2280</v>
      </c>
      <c r="C38" s="534"/>
      <c r="D38" s="700">
        <v>4</v>
      </c>
      <c r="E38" s="701" t="s">
        <v>2281</v>
      </c>
      <c r="F38" s="703" t="s">
        <v>395</v>
      </c>
      <c r="G38" s="824" t="s">
        <v>2277</v>
      </c>
      <c r="H38" s="825" t="s">
        <v>395</v>
      </c>
      <c r="I38" s="532" t="s">
        <v>2277</v>
      </c>
      <c r="J38" s="529" t="s">
        <v>395</v>
      </c>
      <c r="K38" s="687" t="s">
        <v>2282</v>
      </c>
    </row>
    <row customHeight="1" ht="11.25">
      <c r="A39" s="513"/>
      <c r="C39" s="513"/>
      <c r="D39" s="343"/>
      <c r="E39" s="588" t="s">
        <v>2283</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497AE-FF6A-2245-0E2A-DE1CDC5E7AA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463" width="25.140625" hidden="1" customWidth="1"/>
    <col min="2" max="2" style="4073" width="9.140625" hidden="1" customWidth="1"/>
    <col min="3" max="3" style="3692" width="3.7109375" customWidth="1"/>
    <col min="4" max="4" style="4100" width="6.28125" customWidth="1"/>
    <col min="5" max="5" style="4100" width="46.7109375" customWidth="1"/>
    <col min="6" max="6" style="4100" width="35.7109375" customWidth="1"/>
    <col min="7" max="7" style="4100" width="3.7109375" customWidth="1"/>
    <col min="8" max="9" style="4100" width="11.7109375" customWidth="1"/>
    <col min="10" max="11" style="4100" width="35.7109375" customWidth="1"/>
    <col min="12" max="12" style="4100" width="84.8515625" customWidth="1"/>
    <col min="13" max="13" style="4100" width="10.57421875"/>
    <col min="14" max="15" style="3521" width="10.57421875"/>
    <col min="16" max="32" style="4100" width="10.57421875"/>
  </cols>
  <sheetData>
    <row s="2876" customFormat="1" customHeight="1" ht="14.25" hidden="1">
      <c r="A1" s="1829"/>
      <c r="B1" s="369"/>
      <c r="C1" s="340"/>
      <c r="N1" s="1670"/>
      <c r="O1" s="1670"/>
      <c r="S1" s="841"/>
      <c r="AF1" s="241"/>
    </row>
    <row s="2876" customFormat="1" customHeight="1" ht="56.25" hidden="1">
      <c r="A2" s="1830"/>
      <c r="B2" s="369"/>
      <c r="C2" s="340"/>
      <c r="D2" s="1044"/>
      <c r="E2" s="1044"/>
      <c r="F2" s="1044"/>
      <c r="G2" s="1820"/>
      <c r="H2" s="1785"/>
      <c r="I2" s="1823"/>
      <c r="J2" s="1822"/>
      <c r="K2" s="1820" t="s">
        <v>395</v>
      </c>
      <c r="M2" s="330"/>
      <c r="N2" s="1670"/>
      <c r="O2" s="1670"/>
    </row>
    <row customHeight="1" ht="14.25" hidden="1">
      <c r="S3" s="403"/>
      <c r="AF3" s="241"/>
    </row>
    <row s="2876" customFormat="1" customHeight="1" ht="56.25" hidden="1">
      <c r="A4" s="1830"/>
      <c r="B4" s="369"/>
      <c r="C4" s="340"/>
      <c r="D4" s="1044"/>
      <c r="E4" s="1044"/>
      <c r="F4" s="1044"/>
      <c r="G4" s="1819"/>
      <c r="H4" s="1785"/>
      <c r="I4" s="1823"/>
      <c r="J4" s="1828"/>
      <c r="K4" s="1820" t="s">
        <v>395</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389</v>
      </c>
      <c r="E13" s="2047"/>
      <c r="F13" s="2047"/>
      <c r="G13" s="2047"/>
      <c r="H13" s="2047"/>
      <c r="I13" s="2047"/>
      <c r="J13" s="2047"/>
      <c r="K13" s="2047"/>
      <c r="L13" s="2174" t="s">
        <v>390</v>
      </c>
    </row>
    <row customHeight="1" ht="21">
      <c r="C14" s="377"/>
      <c r="D14" s="2210" t="s">
        <v>88</v>
      </c>
      <c r="E14" s="2063" t="s">
        <v>231</v>
      </c>
      <c r="F14" s="2063" t="s">
        <v>232</v>
      </c>
      <c r="G14" s="2317" t="s">
        <v>2284</v>
      </c>
      <c r="H14" s="2318"/>
      <c r="I14" s="2319"/>
      <c r="J14" s="2063" t="s">
        <v>392</v>
      </c>
      <c r="K14" s="2063" t="s">
        <v>481</v>
      </c>
      <c r="L14" s="2174"/>
    </row>
    <row customHeight="1" ht="21">
      <c r="C15" s="377"/>
      <c r="D15" s="2212"/>
      <c r="E15" s="2064"/>
      <c r="F15" s="2064"/>
      <c r="G15" s="2057" t="s">
        <v>1629</v>
      </c>
      <c r="H15" s="2059"/>
      <c r="I15" s="94" t="s">
        <v>2285</v>
      </c>
      <c r="J15" s="2064"/>
      <c r="K15" s="2064"/>
      <c r="L15" s="2174"/>
    </row>
    <row customHeight="1" ht="12" hidden="1">
      <c r="C16" s="377"/>
      <c r="D16" s="269"/>
      <c r="E16" s="269"/>
      <c r="F16" s="269"/>
      <c r="G16" s="2320"/>
      <c r="H16" s="2320"/>
      <c r="I16" s="269"/>
      <c r="J16" s="269"/>
      <c r="K16" s="269"/>
      <c r="L16" s="269"/>
    </row>
    <row customHeight="1" ht="18.75">
      <c r="A17" s="1830"/>
      <c r="C17" s="377"/>
      <c r="D17" s="1818" t="s">
        <v>159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395</v>
      </c>
      <c r="K17" s="2304"/>
      <c r="L17" s="1817"/>
      <c r="M17" s="330"/>
    </row>
    <row customHeight="1" ht="56.25" hidden="1">
      <c r="A18" s="1830" t="s">
        <v>258</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395</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2286</v>
      </c>
      <c r="C19" s="2315"/>
      <c r="D19" s="2041"/>
      <c r="E19" s="2145"/>
      <c r="F19" s="2145"/>
      <c r="G19" s="406"/>
      <c r="H19" s="401" t="s">
        <v>1650</v>
      </c>
      <c r="I19" s="345"/>
      <c r="J19" s="407"/>
      <c r="K19" s="187"/>
      <c r="L19" s="2007"/>
      <c r="M19" s="330"/>
    </row>
    <row s="2876" customFormat="1" customHeight="1" ht="26.25" hidden="1">
      <c r="A20" s="1830" t="s">
        <v>264</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395</v>
      </c>
      <c r="L20" s="2007"/>
      <c r="M20" s="330"/>
      <c r="N20" s="1670"/>
      <c r="O20" s="1670"/>
    </row>
    <row s="2876" customFormat="1" customHeight="1" ht="18.75" hidden="1">
      <c r="A21" s="1830"/>
      <c r="B21" s="369" t="s">
        <v>2286</v>
      </c>
      <c r="C21" s="2315"/>
      <c r="D21" s="2041"/>
      <c r="E21" s="2145"/>
      <c r="F21" s="2145"/>
      <c r="G21" s="406"/>
      <c r="H21" s="401" t="s">
        <v>1650</v>
      </c>
      <c r="I21" s="345"/>
      <c r="J21" s="407"/>
      <c r="K21" s="187"/>
      <c r="L21" s="2007"/>
      <c r="M21" s="330"/>
      <c r="N21" s="1670"/>
      <c r="O21" s="1670"/>
    </row>
    <row s="2876" customFormat="1" customHeight="1" ht="18.75" hidden="1">
      <c r="A22" s="1830" t="s">
        <v>270</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395</v>
      </c>
      <c r="L22" s="2007"/>
      <c r="M22" s="330"/>
      <c r="N22" s="1670"/>
      <c r="O22" s="1670"/>
    </row>
    <row s="2876" customFormat="1" customHeight="1" ht="18.75" hidden="1">
      <c r="A23" s="1830"/>
      <c r="B23" s="369" t="s">
        <v>2286</v>
      </c>
      <c r="C23" s="2315"/>
      <c r="D23" s="2041"/>
      <c r="E23" s="2145"/>
      <c r="F23" s="2145"/>
      <c r="G23" s="406"/>
      <c r="H23" s="401" t="s">
        <v>1650</v>
      </c>
      <c r="I23" s="345"/>
      <c r="J23" s="407"/>
      <c r="K23" s="187"/>
      <c r="L23" s="2007"/>
      <c r="M23" s="330"/>
      <c r="N23" s="1670"/>
      <c r="O23" s="1670"/>
    </row>
    <row s="2876" customFormat="1" customHeight="1" ht="41.25" hidden="1">
      <c r="A24" s="1830" t="s">
        <v>276</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395</v>
      </c>
      <c r="L24" s="2007"/>
      <c r="M24" s="330"/>
      <c r="N24" s="1670"/>
      <c r="O24" s="1670"/>
    </row>
    <row s="2876" customFormat="1" customHeight="1" ht="18.75" hidden="1">
      <c r="A25" s="1830"/>
      <c r="B25" s="369" t="s">
        <v>2286</v>
      </c>
      <c r="C25" s="2315"/>
      <c r="D25" s="2041"/>
      <c r="E25" s="2145"/>
      <c r="F25" s="2145"/>
      <c r="G25" s="406"/>
      <c r="H25" s="401" t="s">
        <v>1650</v>
      </c>
      <c r="I25" s="345"/>
      <c r="J25" s="407"/>
      <c r="K25" s="187"/>
      <c r="L25" s="2007"/>
      <c r="M25" s="330"/>
      <c r="N25" s="1670"/>
      <c r="O25" s="1670"/>
    </row>
    <row s="2876" customFormat="1" customHeight="1" ht="18.75" hidden="1">
      <c r="A26" s="1830" t="s">
        <v>282</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395</v>
      </c>
      <c r="L26" s="2007"/>
      <c r="M26" s="330"/>
      <c r="N26" s="1670"/>
      <c r="O26" s="1670"/>
    </row>
    <row s="2876" customFormat="1" customHeight="1" ht="18.75" hidden="1">
      <c r="A27" s="1830"/>
      <c r="B27" s="369" t="s">
        <v>2286</v>
      </c>
      <c r="C27" s="2315"/>
      <c r="D27" s="2041"/>
      <c r="E27" s="2145"/>
      <c r="F27" s="2145"/>
      <c r="G27" s="406"/>
      <c r="H27" s="401" t="s">
        <v>1650</v>
      </c>
      <c r="I27" s="345"/>
      <c r="J27" s="407"/>
      <c r="K27" s="187"/>
      <c r="L27" s="2007"/>
      <c r="M27" s="330"/>
      <c r="N27" s="1670"/>
      <c r="O27" s="1670"/>
    </row>
    <row s="2876" customFormat="1" customHeight="1" ht="18.75" hidden="1">
      <c r="A28" s="1830" t="s">
        <v>288</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395</v>
      </c>
      <c r="L28" s="2007"/>
      <c r="M28" s="330"/>
      <c r="N28" s="1670"/>
      <c r="O28" s="1670"/>
    </row>
    <row s="2876" customFormat="1" customHeight="1" ht="18.75" hidden="1">
      <c r="A29" s="1830"/>
      <c r="B29" s="369" t="s">
        <v>2286</v>
      </c>
      <c r="C29" s="2315"/>
      <c r="D29" s="2041"/>
      <c r="E29" s="2145"/>
      <c r="F29" s="2145"/>
      <c r="G29" s="406"/>
      <c r="H29" s="401" t="s">
        <v>1650</v>
      </c>
      <c r="I29" s="345"/>
      <c r="J29" s="407"/>
      <c r="K29" s="187"/>
      <c r="L29" s="2007"/>
      <c r="M29" s="330"/>
      <c r="N29" s="1670"/>
      <c r="O29" s="1670"/>
    </row>
    <row s="2876" customFormat="1" customHeight="1" ht="18.75" hidden="1">
      <c r="A30" s="1830" t="s">
        <v>294</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395</v>
      </c>
      <c r="L30" s="2007"/>
      <c r="M30" s="330"/>
      <c r="N30" s="1670"/>
      <c r="O30" s="1670"/>
    </row>
    <row s="2876" customFormat="1" customHeight="1" ht="18.75" hidden="1">
      <c r="A31" s="1830"/>
      <c r="B31" s="369" t="s">
        <v>2286</v>
      </c>
      <c r="C31" s="2315"/>
      <c r="D31" s="2041"/>
      <c r="E31" s="2145"/>
      <c r="F31" s="2145"/>
      <c r="G31" s="406"/>
      <c r="H31" s="401" t="s">
        <v>1650</v>
      </c>
      <c r="I31" s="345"/>
      <c r="J31" s="407"/>
      <c r="K31" s="187"/>
      <c r="L31" s="2007"/>
      <c r="M31" s="330"/>
      <c r="N31" s="1670"/>
      <c r="O31" s="1670"/>
    </row>
    <row s="2876" customFormat="1" customHeight="1" ht="18.75" hidden="1">
      <c r="A32" s="1830" t="s">
        <v>300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395</v>
      </c>
      <c r="L32" s="2007"/>
      <c r="M32" s="330"/>
      <c r="N32" s="1670"/>
      <c r="O32" s="1670"/>
    </row>
    <row s="2876" customFormat="1" customHeight="1" ht="18.75" hidden="1">
      <c r="A33" s="1830"/>
      <c r="B33" s="369" t="s">
        <v>2286</v>
      </c>
      <c r="C33" s="2315"/>
      <c r="D33" s="2041"/>
      <c r="E33" s="2145"/>
      <c r="F33" s="2145"/>
      <c r="G33" s="406"/>
      <c r="H33" s="401" t="s">
        <v>1650</v>
      </c>
      <c r="I33" s="345"/>
      <c r="J33" s="407"/>
      <c r="K33" s="187"/>
      <c r="L33" s="2007"/>
      <c r="M33" s="330"/>
      <c r="N33" s="1670"/>
      <c r="O33" s="1670"/>
    </row>
    <row s="2876" customFormat="1" customHeight="1" ht="18.75" hidden="1">
      <c r="A34" s="1830" t="s">
        <v>314</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395</v>
      </c>
      <c r="L34" s="2007"/>
      <c r="M34" s="330"/>
      <c r="N34" s="1670"/>
      <c r="O34" s="1670"/>
    </row>
    <row s="2876" customFormat="1" customHeight="1" ht="18.75" hidden="1">
      <c r="A35" s="1830"/>
      <c r="B35" s="369" t="s">
        <v>2286</v>
      </c>
      <c r="C35" s="2315"/>
      <c r="D35" s="2041"/>
      <c r="E35" s="2145"/>
      <c r="F35" s="2145"/>
      <c r="G35" s="406"/>
      <c r="H35" s="401" t="s">
        <v>1650</v>
      </c>
      <c r="I35" s="345"/>
      <c r="J35" s="407"/>
      <c r="K35" s="187"/>
      <c r="L35" s="2007"/>
      <c r="M35" s="330"/>
      <c r="N35" s="1670"/>
      <c r="O35" s="1670"/>
    </row>
    <row s="2876" customFormat="1" customHeight="1" ht="18.75" hidden="1">
      <c r="A36" s="1830" t="s">
        <v>319</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395</v>
      </c>
      <c r="L36" s="2007"/>
      <c r="M36" s="330"/>
      <c r="N36" s="1670"/>
      <c r="O36" s="1670"/>
    </row>
    <row s="2876" customFormat="1" customHeight="1" ht="18.75" hidden="1">
      <c r="A37" s="1830"/>
      <c r="B37" s="369" t="s">
        <v>2286</v>
      </c>
      <c r="C37" s="2315"/>
      <c r="D37" s="2041"/>
      <c r="E37" s="2145"/>
      <c r="F37" s="2145"/>
      <c r="G37" s="406"/>
      <c r="H37" s="401" t="s">
        <v>1650</v>
      </c>
      <c r="I37" s="345"/>
      <c r="J37" s="407"/>
      <c r="K37" s="187"/>
      <c r="L37" s="2007"/>
      <c r="M37" s="330"/>
      <c r="N37" s="1670"/>
      <c r="O37" s="1670"/>
    </row>
    <row s="2876" customFormat="1" customHeight="1" ht="18.75" hidden="1">
      <c r="A38" s="1830" t="s">
        <v>324</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395</v>
      </c>
      <c r="L38" s="2007"/>
      <c r="M38" s="330"/>
      <c r="N38" s="1670"/>
      <c r="O38" s="1670"/>
    </row>
    <row s="2876" customFormat="1" customHeight="1" ht="18.75" hidden="1">
      <c r="A39" s="1830"/>
      <c r="B39" s="369" t="s">
        <v>2286</v>
      </c>
      <c r="C39" s="2315"/>
      <c r="D39" s="2041"/>
      <c r="E39" s="2145"/>
      <c r="F39" s="2145"/>
      <c r="G39" s="406"/>
      <c r="H39" s="401" t="s">
        <v>1650</v>
      </c>
      <c r="I39" s="345"/>
      <c r="J39" s="407"/>
      <c r="K39" s="187"/>
      <c r="L39" s="2007"/>
      <c r="M39" s="330"/>
      <c r="N39" s="1670"/>
      <c r="O39" s="1670"/>
    </row>
    <row s="2876" customFormat="1" customHeight="1" ht="18.75" hidden="1">
      <c r="A40" s="1830" t="s">
        <v>329</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395</v>
      </c>
      <c r="L40" s="2007"/>
      <c r="M40" s="330"/>
      <c r="N40" s="1670"/>
      <c r="O40" s="1670"/>
    </row>
    <row s="2876" customFormat="1" customHeight="1" ht="18.75" hidden="1">
      <c r="A41" s="1830"/>
      <c r="B41" s="369" t="s">
        <v>2286</v>
      </c>
      <c r="C41" s="2315"/>
      <c r="D41" s="2041"/>
      <c r="E41" s="2145"/>
      <c r="F41" s="2145"/>
      <c r="G41" s="406"/>
      <c r="H41" s="401" t="s">
        <v>1650</v>
      </c>
      <c r="I41" s="345"/>
      <c r="J41" s="407"/>
      <c r="K41" s="187"/>
      <c r="L41" s="2007"/>
      <c r="M41" s="330"/>
      <c r="N41" s="1670"/>
      <c r="O41" s="1670"/>
    </row>
    <row s="2876" customFormat="1" customHeight="1" ht="18.75" hidden="1">
      <c r="A42" s="1830" t="s">
        <v>334</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395</v>
      </c>
      <c r="L42" s="2007"/>
      <c r="M42" s="330"/>
      <c r="N42" s="1670"/>
      <c r="O42" s="1670"/>
    </row>
    <row s="2876" customFormat="1" customHeight="1" ht="18.75" hidden="1">
      <c r="A43" s="1830"/>
      <c r="B43" s="369" t="s">
        <v>2286</v>
      </c>
      <c r="C43" s="2315"/>
      <c r="D43" s="2041"/>
      <c r="E43" s="2145"/>
      <c r="F43" s="2145"/>
      <c r="G43" s="406"/>
      <c r="H43" s="401" t="s">
        <v>1650</v>
      </c>
      <c r="I43" s="345"/>
      <c r="J43" s="407"/>
      <c r="K43" s="187"/>
      <c r="L43" s="2007"/>
      <c r="M43" s="330"/>
      <c r="N43" s="1670"/>
      <c r="O43" s="1670"/>
    </row>
    <row s="2876" customFormat="1" customHeight="1" ht="18.75" hidden="1">
      <c r="A44" s="1830" t="s">
        <v>339</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395</v>
      </c>
      <c r="L44" s="2007"/>
      <c r="M44" s="330"/>
      <c r="N44" s="1670"/>
      <c r="O44" s="1670"/>
    </row>
    <row s="2876" customFormat="1" customHeight="1" ht="18.75" hidden="1">
      <c r="A45" s="1830"/>
      <c r="B45" s="369" t="s">
        <v>2286</v>
      </c>
      <c r="C45" s="2315"/>
      <c r="D45" s="2041"/>
      <c r="E45" s="2145"/>
      <c r="F45" s="2145"/>
      <c r="G45" s="406"/>
      <c r="H45" s="401" t="s">
        <v>1650</v>
      </c>
      <c r="I45" s="345"/>
      <c r="J45" s="407"/>
      <c r="K45" s="187"/>
      <c r="L45" s="2007"/>
      <c r="M45" s="330"/>
      <c r="N45" s="1670"/>
      <c r="O45" s="1670"/>
    </row>
    <row s="2876" customFormat="1" customHeight="1" ht="18.75" hidden="1">
      <c r="A46" s="1830" t="s">
        <v>344</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395</v>
      </c>
      <c r="L46" s="2007"/>
      <c r="M46" s="330"/>
      <c r="N46" s="1670"/>
      <c r="O46" s="1670"/>
    </row>
    <row s="2876" customFormat="1" customHeight="1" ht="18.75" hidden="1">
      <c r="A47" s="1830"/>
      <c r="B47" s="369" t="s">
        <v>2286</v>
      </c>
      <c r="C47" s="2315"/>
      <c r="D47" s="2041"/>
      <c r="E47" s="2145"/>
      <c r="F47" s="2145"/>
      <c r="G47" s="406"/>
      <c r="H47" s="401" t="s">
        <v>1650</v>
      </c>
      <c r="I47" s="345"/>
      <c r="J47" s="407"/>
      <c r="K47" s="187"/>
      <c r="L47" s="2007"/>
      <c r="M47" s="330"/>
      <c r="N47" s="1670"/>
      <c r="O47" s="1670"/>
    </row>
    <row s="2876" customFormat="1" customHeight="1" ht="18.75" hidden="1">
      <c r="A48" s="1830" t="s">
        <v>349</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395</v>
      </c>
      <c r="L48" s="2007"/>
      <c r="M48" s="330"/>
      <c r="N48" s="1670"/>
      <c r="O48" s="1670"/>
    </row>
    <row s="2876" customFormat="1" customHeight="1" ht="18.75" hidden="1">
      <c r="A49" s="1830"/>
      <c r="B49" s="369" t="s">
        <v>2286</v>
      </c>
      <c r="C49" s="2315"/>
      <c r="D49" s="2041"/>
      <c r="E49" s="2145"/>
      <c r="F49" s="2145"/>
      <c r="G49" s="406"/>
      <c r="H49" s="401" t="s">
        <v>1650</v>
      </c>
      <c r="I49" s="345"/>
      <c r="J49" s="407"/>
      <c r="K49" s="187"/>
      <c r="L49" s="2007"/>
      <c r="M49" s="330"/>
      <c r="N49" s="1670"/>
      <c r="O49" s="1670"/>
    </row>
    <row s="2876" customFormat="1" customHeight="1" ht="18.75" hidden="1">
      <c r="A50" s="1830" t="s">
        <v>354</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395</v>
      </c>
      <c r="L50" s="2007"/>
      <c r="M50" s="330"/>
      <c r="N50" s="1670"/>
      <c r="O50" s="1670"/>
    </row>
    <row s="2876" customFormat="1" customHeight="1" ht="18.75" hidden="1">
      <c r="A51" s="1830"/>
      <c r="B51" s="369" t="s">
        <v>2286</v>
      </c>
      <c r="C51" s="2315"/>
      <c r="D51" s="2041"/>
      <c r="E51" s="2145"/>
      <c r="F51" s="2145"/>
      <c r="G51" s="406"/>
      <c r="H51" s="401" t="s">
        <v>1650</v>
      </c>
      <c r="I51" s="345"/>
      <c r="J51" s="407"/>
      <c r="K51" s="187"/>
      <c r="L51" s="2007"/>
      <c r="M51" s="330"/>
      <c r="N51" s="1670"/>
      <c r="O51" s="1670"/>
    </row>
    <row s="2876" customFormat="1" customHeight="1" ht="18.75" hidden="1">
      <c r="A52" s="1830" t="s">
        <v>359</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395</v>
      </c>
      <c r="L52" s="2007"/>
      <c r="M52" s="330"/>
      <c r="N52" s="1670"/>
      <c r="O52" s="1670"/>
    </row>
    <row s="2876" customFormat="1" customHeight="1" ht="18.75" hidden="1">
      <c r="A53" s="1830"/>
      <c r="B53" s="369" t="s">
        <v>2286</v>
      </c>
      <c r="C53" s="2315"/>
      <c r="D53" s="2041"/>
      <c r="E53" s="2145"/>
      <c r="F53" s="2145"/>
      <c r="G53" s="406"/>
      <c r="H53" s="401" t="s">
        <v>1650</v>
      </c>
      <c r="I53" s="345"/>
      <c r="J53" s="407"/>
      <c r="K53" s="187"/>
      <c r="L53" s="2007"/>
      <c r="M53" s="330"/>
      <c r="N53" s="1670"/>
      <c r="O53" s="1670"/>
    </row>
    <row s="2876" customFormat="1" customHeight="1" ht="18.75" hidden="1">
      <c r="A54" s="1830" t="s">
        <v>364</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395</v>
      </c>
      <c r="L54" s="2007"/>
      <c r="M54" s="330"/>
      <c r="N54" s="1670"/>
      <c r="O54" s="1670"/>
    </row>
    <row s="2876" customFormat="1" customHeight="1" ht="18.75" hidden="1">
      <c r="A55" s="1830"/>
      <c r="B55" s="369" t="s">
        <v>2286</v>
      </c>
      <c r="C55" s="2315"/>
      <c r="D55" s="2041"/>
      <c r="E55" s="2145"/>
      <c r="F55" s="2145"/>
      <c r="G55" s="406"/>
      <c r="H55" s="401" t="s">
        <v>1650</v>
      </c>
      <c r="I55" s="345"/>
      <c r="J55" s="407"/>
      <c r="K55" s="187"/>
      <c r="L55" s="2007"/>
      <c r="M55" s="330"/>
      <c r="N55" s="1670"/>
      <c r="O55" s="1670"/>
    </row>
    <row customHeight="1" ht="18.75">
      <c r="A56" s="1830"/>
      <c r="C56" s="377"/>
      <c r="D56" s="133" t="s">
        <v>102</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395</v>
      </c>
      <c r="F57" s="184" t="s">
        <v>395</v>
      </c>
      <c r="G57" s="2057" t="s">
        <v>395</v>
      </c>
      <c r="H57" s="2059"/>
      <c r="I57" s="184" t="s">
        <v>395</v>
      </c>
      <c r="J57" s="184" t="s">
        <v>395</v>
      </c>
      <c r="K57" s="408"/>
      <c r="L57" s="341" t="s">
        <v>2287</v>
      </c>
      <c r="M57" s="330"/>
    </row>
    <row customHeight="1" ht="18.75">
      <c r="A58" s="1830"/>
      <c r="C58" s="377"/>
      <c r="D58" s="133" t="s">
        <v>90</v>
      </c>
      <c r="E58" s="2303" t="s">
        <v>2288</v>
      </c>
      <c r="F58" s="2303"/>
      <c r="G58" s="2303"/>
      <c r="H58" s="2303"/>
      <c r="I58" s="2303"/>
      <c r="J58" s="2303"/>
      <c r="K58" s="2303"/>
      <c r="L58" s="285"/>
      <c r="M58" s="330"/>
    </row>
    <row s="2876" customFormat="1" customHeight="1" ht="56.25" hidden="1">
      <c r="A59" s="1830" t="s">
        <v>258</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395</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6" customFormat="1" customHeight="1" ht="18.75" hidden="1">
      <c r="A60" s="1830"/>
      <c r="B60" s="369" t="s">
        <v>2289</v>
      </c>
      <c r="C60" s="2315"/>
      <c r="D60" s="2041"/>
      <c r="E60" s="2145"/>
      <c r="F60" s="2145"/>
      <c r="G60" s="406"/>
      <c r="H60" s="401" t="s">
        <v>1650</v>
      </c>
      <c r="I60" s="345"/>
      <c r="J60" s="407"/>
      <c r="K60" s="187"/>
      <c r="L60" s="2007"/>
      <c r="M60" s="330"/>
      <c r="N60" s="1670"/>
      <c r="O60" s="1670"/>
    </row>
    <row s="2876" customFormat="1" customHeight="1" ht="26.25" hidden="1">
      <c r="A61" s="1830" t="s">
        <v>264</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395</v>
      </c>
      <c r="L61" s="2008"/>
      <c r="M61" s="330"/>
      <c r="N61" s="1670"/>
      <c r="O61" s="1670"/>
    </row>
    <row s="2876" customFormat="1" customHeight="1" ht="18.75" hidden="1">
      <c r="A62" s="1830"/>
      <c r="B62" s="369" t="s">
        <v>2289</v>
      </c>
      <c r="C62" s="2315"/>
      <c r="D62" s="2041"/>
      <c r="E62" s="2145"/>
      <c r="F62" s="2145"/>
      <c r="G62" s="406"/>
      <c r="H62" s="401" t="s">
        <v>1650</v>
      </c>
      <c r="I62" s="345"/>
      <c r="J62" s="407"/>
      <c r="K62" s="187"/>
      <c r="L62" s="337"/>
      <c r="M62" s="330"/>
      <c r="N62" s="1670"/>
      <c r="O62" s="1670"/>
    </row>
    <row s="2876" customFormat="1" customHeight="1" ht="18.75" hidden="1">
      <c r="A63" s="1830" t="s">
        <v>270</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395</v>
      </c>
      <c r="L63" s="337"/>
      <c r="M63" s="330"/>
      <c r="N63" s="1670"/>
      <c r="O63" s="1670"/>
    </row>
    <row s="2876" customFormat="1" customHeight="1" ht="18.75" hidden="1">
      <c r="A64" s="1830"/>
      <c r="B64" s="369" t="s">
        <v>2289</v>
      </c>
      <c r="C64" s="2315"/>
      <c r="D64" s="2041"/>
      <c r="E64" s="2145"/>
      <c r="F64" s="2145"/>
      <c r="G64" s="406"/>
      <c r="H64" s="401" t="s">
        <v>1650</v>
      </c>
      <c r="I64" s="345"/>
      <c r="J64" s="407"/>
      <c r="K64" s="187"/>
      <c r="L64" s="337"/>
      <c r="M64" s="330"/>
      <c r="N64" s="1670"/>
      <c r="O64" s="1670"/>
    </row>
    <row s="2876" customFormat="1" customHeight="1" ht="41.25" hidden="1">
      <c r="A65" s="1830" t="s">
        <v>276</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395</v>
      </c>
      <c r="L65" s="337"/>
      <c r="M65" s="330"/>
      <c r="N65" s="1670"/>
      <c r="O65" s="1670"/>
    </row>
    <row s="2876" customFormat="1" customHeight="1" ht="18.75" hidden="1">
      <c r="A66" s="1830"/>
      <c r="B66" s="369" t="s">
        <v>2289</v>
      </c>
      <c r="C66" s="2315"/>
      <c r="D66" s="2041"/>
      <c r="E66" s="2145"/>
      <c r="F66" s="2145"/>
      <c r="G66" s="406"/>
      <c r="H66" s="401" t="s">
        <v>1650</v>
      </c>
      <c r="I66" s="345"/>
      <c r="J66" s="407"/>
      <c r="K66" s="187"/>
      <c r="L66" s="337"/>
      <c r="M66" s="330"/>
      <c r="N66" s="1670"/>
      <c r="O66" s="1670"/>
    </row>
    <row s="2876" customFormat="1" customHeight="1" ht="18.75" hidden="1">
      <c r="A67" s="1830" t="s">
        <v>282</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395</v>
      </c>
      <c r="L67" s="337"/>
      <c r="M67" s="330"/>
      <c r="N67" s="1670"/>
      <c r="O67" s="1670"/>
    </row>
    <row s="2876" customFormat="1" customHeight="1" ht="18.75" hidden="1">
      <c r="A68" s="1830"/>
      <c r="B68" s="369" t="s">
        <v>2289</v>
      </c>
      <c r="C68" s="2315"/>
      <c r="D68" s="2041"/>
      <c r="E68" s="2145"/>
      <c r="F68" s="2145"/>
      <c r="G68" s="406"/>
      <c r="H68" s="401" t="s">
        <v>1650</v>
      </c>
      <c r="I68" s="345"/>
      <c r="J68" s="407"/>
      <c r="K68" s="187"/>
      <c r="L68" s="337"/>
      <c r="M68" s="330"/>
      <c r="N68" s="1670"/>
      <c r="O68" s="1670"/>
    </row>
    <row s="2876" customFormat="1" customHeight="1" ht="18.75" hidden="1">
      <c r="A69" s="1830" t="s">
        <v>288</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395</v>
      </c>
      <c r="L69" s="337"/>
      <c r="M69" s="330"/>
      <c r="N69" s="1670"/>
      <c r="O69" s="1670"/>
    </row>
    <row s="2876" customFormat="1" customHeight="1" ht="18.75" hidden="1">
      <c r="A70" s="1830"/>
      <c r="B70" s="369" t="s">
        <v>2289</v>
      </c>
      <c r="C70" s="2315"/>
      <c r="D70" s="2041"/>
      <c r="E70" s="2145"/>
      <c r="F70" s="2145"/>
      <c r="G70" s="406"/>
      <c r="H70" s="401" t="s">
        <v>1650</v>
      </c>
      <c r="I70" s="345"/>
      <c r="J70" s="407"/>
      <c r="K70" s="187"/>
      <c r="L70" s="337"/>
      <c r="M70" s="330"/>
      <c r="N70" s="1670"/>
      <c r="O70" s="1670"/>
    </row>
    <row s="2876" customFormat="1" customHeight="1" ht="18.75" hidden="1">
      <c r="A71" s="1830" t="s">
        <v>294</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395</v>
      </c>
      <c r="L71" s="337"/>
      <c r="M71" s="330"/>
      <c r="N71" s="1670"/>
      <c r="O71" s="1670"/>
    </row>
    <row s="2876" customFormat="1" customHeight="1" ht="18.75" hidden="1">
      <c r="A72" s="1830"/>
      <c r="B72" s="369" t="s">
        <v>2289</v>
      </c>
      <c r="C72" s="2315"/>
      <c r="D72" s="2041"/>
      <c r="E72" s="2145"/>
      <c r="F72" s="2145"/>
      <c r="G72" s="406"/>
      <c r="H72" s="401" t="s">
        <v>1650</v>
      </c>
      <c r="I72" s="345"/>
      <c r="J72" s="407"/>
      <c r="K72" s="187"/>
      <c r="L72" s="337"/>
      <c r="M72" s="330"/>
      <c r="N72" s="1670"/>
      <c r="O72" s="1670"/>
    </row>
    <row s="2876" customFormat="1" customHeight="1" ht="18.75" hidden="1">
      <c r="A73" s="1830" t="s">
        <v>300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395</v>
      </c>
      <c r="L73" s="337"/>
      <c r="M73" s="330"/>
      <c r="N73" s="1670"/>
      <c r="O73" s="1670"/>
    </row>
    <row s="2876" customFormat="1" customHeight="1" ht="18.75" hidden="1">
      <c r="A74" s="1830"/>
      <c r="B74" s="369" t="s">
        <v>2289</v>
      </c>
      <c r="C74" s="2315"/>
      <c r="D74" s="2041"/>
      <c r="E74" s="2145"/>
      <c r="F74" s="2145"/>
      <c r="G74" s="406"/>
      <c r="H74" s="401" t="s">
        <v>1650</v>
      </c>
      <c r="I74" s="345"/>
      <c r="J74" s="407"/>
      <c r="K74" s="187"/>
      <c r="L74" s="337"/>
      <c r="M74" s="330"/>
      <c r="N74" s="1670"/>
      <c r="O74" s="1670"/>
    </row>
    <row s="2876" customFormat="1" customHeight="1" ht="18.75" hidden="1">
      <c r="A75" s="1830" t="s">
        <v>314</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395</v>
      </c>
      <c r="L75" s="337"/>
      <c r="M75" s="330"/>
      <c r="N75" s="1670"/>
      <c r="O75" s="1670"/>
    </row>
    <row s="2876" customFormat="1" customHeight="1" ht="18.75" hidden="1">
      <c r="A76" s="1830"/>
      <c r="B76" s="369" t="s">
        <v>2289</v>
      </c>
      <c r="C76" s="2315"/>
      <c r="D76" s="2041"/>
      <c r="E76" s="2145"/>
      <c r="F76" s="2145"/>
      <c r="G76" s="406"/>
      <c r="H76" s="401" t="s">
        <v>1650</v>
      </c>
      <c r="I76" s="345"/>
      <c r="J76" s="407"/>
      <c r="K76" s="187"/>
      <c r="L76" s="337"/>
      <c r="M76" s="330"/>
      <c r="N76" s="1670"/>
      <c r="O76" s="1670"/>
    </row>
    <row s="2876" customFormat="1" customHeight="1" ht="18.75" hidden="1">
      <c r="A77" s="1830" t="s">
        <v>319</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395</v>
      </c>
      <c r="L77" s="337"/>
      <c r="M77" s="330"/>
      <c r="N77" s="1670"/>
      <c r="O77" s="1670"/>
    </row>
    <row s="2876" customFormat="1" customHeight="1" ht="18.75" hidden="1">
      <c r="A78" s="1830"/>
      <c r="B78" s="369" t="s">
        <v>2289</v>
      </c>
      <c r="C78" s="2315"/>
      <c r="D78" s="2041"/>
      <c r="E78" s="2145"/>
      <c r="F78" s="2145"/>
      <c r="G78" s="406"/>
      <c r="H78" s="401" t="s">
        <v>1650</v>
      </c>
      <c r="I78" s="345"/>
      <c r="J78" s="407"/>
      <c r="K78" s="187"/>
      <c r="L78" s="337"/>
      <c r="M78" s="330"/>
      <c r="N78" s="1670"/>
      <c r="O78" s="1670"/>
    </row>
    <row s="2876" customFormat="1" customHeight="1" ht="18.75" hidden="1">
      <c r="A79" s="1830" t="s">
        <v>324</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395</v>
      </c>
      <c r="L79" s="337"/>
      <c r="M79" s="330"/>
      <c r="N79" s="1670"/>
      <c r="O79" s="1670"/>
    </row>
    <row s="2876" customFormat="1" customHeight="1" ht="18.75" hidden="1">
      <c r="A80" s="1830"/>
      <c r="B80" s="369" t="s">
        <v>2289</v>
      </c>
      <c r="C80" s="2315"/>
      <c r="D80" s="2041"/>
      <c r="E80" s="2145"/>
      <c r="F80" s="2145"/>
      <c r="G80" s="406"/>
      <c r="H80" s="401" t="s">
        <v>1650</v>
      </c>
      <c r="I80" s="345"/>
      <c r="J80" s="407"/>
      <c r="K80" s="187"/>
      <c r="L80" s="337"/>
      <c r="M80" s="330"/>
      <c r="N80" s="1670"/>
      <c r="O80" s="1670"/>
    </row>
    <row s="2876" customFormat="1" customHeight="1" ht="18.75" hidden="1">
      <c r="A81" s="1830" t="s">
        <v>329</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395</v>
      </c>
      <c r="L81" s="337"/>
      <c r="M81" s="330"/>
      <c r="N81" s="1670"/>
      <c r="O81" s="1670"/>
    </row>
    <row s="2876" customFormat="1" customHeight="1" ht="18.75" hidden="1">
      <c r="A82" s="1830"/>
      <c r="B82" s="369" t="s">
        <v>2289</v>
      </c>
      <c r="C82" s="2315"/>
      <c r="D82" s="2041"/>
      <c r="E82" s="2145"/>
      <c r="F82" s="2145"/>
      <c r="G82" s="406"/>
      <c r="H82" s="401" t="s">
        <v>1650</v>
      </c>
      <c r="I82" s="345"/>
      <c r="J82" s="407"/>
      <c r="K82" s="187"/>
      <c r="L82" s="337"/>
      <c r="M82" s="330"/>
      <c r="N82" s="1670"/>
      <c r="O82" s="1670"/>
    </row>
    <row s="2876" customFormat="1" customHeight="1" ht="18.75" hidden="1">
      <c r="A83" s="1830" t="s">
        <v>334</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395</v>
      </c>
      <c r="L83" s="337"/>
      <c r="M83" s="330"/>
      <c r="N83" s="1670"/>
      <c r="O83" s="1670"/>
    </row>
    <row s="2876" customFormat="1" customHeight="1" ht="18.75" hidden="1">
      <c r="A84" s="1830"/>
      <c r="B84" s="369" t="s">
        <v>2289</v>
      </c>
      <c r="C84" s="2315"/>
      <c r="D84" s="2041"/>
      <c r="E84" s="2145"/>
      <c r="F84" s="2145"/>
      <c r="G84" s="406"/>
      <c r="H84" s="401" t="s">
        <v>1650</v>
      </c>
      <c r="I84" s="345"/>
      <c r="J84" s="407"/>
      <c r="K84" s="187"/>
      <c r="L84" s="337"/>
      <c r="M84" s="330"/>
      <c r="N84" s="1670"/>
      <c r="O84" s="1670"/>
    </row>
    <row s="2876" customFormat="1" customHeight="1" ht="18.75" hidden="1">
      <c r="A85" s="1830" t="s">
        <v>339</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395</v>
      </c>
      <c r="L85" s="337"/>
      <c r="M85" s="330"/>
      <c r="N85" s="1670"/>
      <c r="O85" s="1670"/>
    </row>
    <row s="2876" customFormat="1" customHeight="1" ht="18.75" hidden="1">
      <c r="A86" s="1830"/>
      <c r="B86" s="369" t="s">
        <v>2289</v>
      </c>
      <c r="C86" s="2315"/>
      <c r="D86" s="2041"/>
      <c r="E86" s="2145"/>
      <c r="F86" s="2145"/>
      <c r="G86" s="406"/>
      <c r="H86" s="401" t="s">
        <v>1650</v>
      </c>
      <c r="I86" s="345"/>
      <c r="J86" s="407"/>
      <c r="K86" s="187"/>
      <c r="L86" s="337"/>
      <c r="M86" s="330"/>
      <c r="N86" s="1670"/>
      <c r="O86" s="1670"/>
    </row>
    <row s="2876" customFormat="1" customHeight="1" ht="18.75" hidden="1">
      <c r="A87" s="1830" t="s">
        <v>344</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395</v>
      </c>
      <c r="L87" s="337"/>
      <c r="M87" s="330"/>
      <c r="N87" s="1670"/>
      <c r="O87" s="1670"/>
    </row>
    <row s="2876" customFormat="1" customHeight="1" ht="18.75" hidden="1">
      <c r="A88" s="1830"/>
      <c r="B88" s="369" t="s">
        <v>2289</v>
      </c>
      <c r="C88" s="2315"/>
      <c r="D88" s="2041"/>
      <c r="E88" s="2145"/>
      <c r="F88" s="2145"/>
      <c r="G88" s="406"/>
      <c r="H88" s="401" t="s">
        <v>1650</v>
      </c>
      <c r="I88" s="345"/>
      <c r="J88" s="407"/>
      <c r="K88" s="187"/>
      <c r="L88" s="337"/>
      <c r="M88" s="330"/>
      <c r="N88" s="1670"/>
      <c r="O88" s="1670"/>
    </row>
    <row s="2876" customFormat="1" customHeight="1" ht="18.75" hidden="1">
      <c r="A89" s="1830" t="s">
        <v>349</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395</v>
      </c>
      <c r="L89" s="337"/>
      <c r="M89" s="330"/>
      <c r="N89" s="1670"/>
      <c r="O89" s="1670"/>
    </row>
    <row s="2876" customFormat="1" customHeight="1" ht="18.75" hidden="1">
      <c r="A90" s="1830"/>
      <c r="B90" s="369" t="s">
        <v>2289</v>
      </c>
      <c r="C90" s="2315"/>
      <c r="D90" s="2041"/>
      <c r="E90" s="2145"/>
      <c r="F90" s="2145"/>
      <c r="G90" s="406"/>
      <c r="H90" s="401" t="s">
        <v>1650</v>
      </c>
      <c r="I90" s="345"/>
      <c r="J90" s="407"/>
      <c r="K90" s="187"/>
      <c r="L90" s="337"/>
      <c r="M90" s="330"/>
      <c r="N90" s="1670"/>
      <c r="O90" s="1670"/>
    </row>
    <row s="2876" customFormat="1" customHeight="1" ht="18.75" hidden="1">
      <c r="A91" s="1830" t="s">
        <v>354</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395</v>
      </c>
      <c r="L91" s="337"/>
      <c r="M91" s="330"/>
      <c r="N91" s="1670"/>
      <c r="O91" s="1670"/>
    </row>
    <row s="2876" customFormat="1" customHeight="1" ht="18.75" hidden="1">
      <c r="A92" s="1830"/>
      <c r="B92" s="369" t="s">
        <v>2289</v>
      </c>
      <c r="C92" s="2315"/>
      <c r="D92" s="2041"/>
      <c r="E92" s="2145"/>
      <c r="F92" s="2145"/>
      <c r="G92" s="406"/>
      <c r="H92" s="401" t="s">
        <v>1650</v>
      </c>
      <c r="I92" s="345"/>
      <c r="J92" s="407"/>
      <c r="K92" s="187"/>
      <c r="L92" s="337"/>
      <c r="M92" s="330"/>
      <c r="N92" s="1670"/>
      <c r="O92" s="1670"/>
    </row>
    <row s="2876" customFormat="1" customHeight="1" ht="18.75" hidden="1">
      <c r="A93" s="1830" t="s">
        <v>359</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395</v>
      </c>
      <c r="L93" s="337"/>
      <c r="M93" s="330"/>
      <c r="N93" s="1670"/>
      <c r="O93" s="1670"/>
    </row>
    <row s="2876" customFormat="1" customHeight="1" ht="18.75" hidden="1">
      <c r="A94" s="1830"/>
      <c r="B94" s="369" t="s">
        <v>2289</v>
      </c>
      <c r="C94" s="2315"/>
      <c r="D94" s="2041"/>
      <c r="E94" s="2145"/>
      <c r="F94" s="2145"/>
      <c r="G94" s="406"/>
      <c r="H94" s="401" t="s">
        <v>1650</v>
      </c>
      <c r="I94" s="345"/>
      <c r="J94" s="407"/>
      <c r="K94" s="187"/>
      <c r="L94" s="337"/>
      <c r="M94" s="330"/>
      <c r="N94" s="1670"/>
      <c r="O94" s="1670"/>
    </row>
    <row s="2876" customFormat="1" customHeight="1" ht="18.75" hidden="1">
      <c r="A95" s="1830" t="s">
        <v>364</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395</v>
      </c>
      <c r="L95" s="337"/>
      <c r="M95" s="330"/>
      <c r="N95" s="1670"/>
      <c r="O95" s="1670"/>
    </row>
    <row s="2876" customFormat="1" customHeight="1" ht="18.75" hidden="1">
      <c r="A96" s="1830"/>
      <c r="B96" s="369" t="s">
        <v>2289</v>
      </c>
      <c r="C96" s="2315"/>
      <c r="D96" s="2041"/>
      <c r="E96" s="2145"/>
      <c r="F96" s="2145"/>
      <c r="G96" s="406"/>
      <c r="H96" s="401" t="s">
        <v>1650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6" customFormat="1" customHeight="1" ht="56.25" hidden="1">
      <c r="A98" s="1830" t="s">
        <v>258</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395</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6" customFormat="1" customHeight="1" ht="18.75" hidden="1">
      <c r="A99" s="1830"/>
      <c r="B99" s="369" t="s">
        <v>2289</v>
      </c>
      <c r="C99" s="2315"/>
      <c r="D99" s="2041"/>
      <c r="E99" s="2145"/>
      <c r="F99" s="2145"/>
      <c r="G99" s="406"/>
      <c r="H99" s="401" t="s">
        <v>1650</v>
      </c>
      <c r="I99" s="345"/>
      <c r="J99" s="407"/>
      <c r="K99" s="187"/>
      <c r="L99" s="2007"/>
      <c r="M99" s="330"/>
      <c r="N99" s="1670"/>
      <c r="O99" s="1670"/>
    </row>
    <row s="2876" customFormat="1" customHeight="1" ht="26.25" hidden="1">
      <c r="A100" s="1830" t="s">
        <v>264</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395</v>
      </c>
      <c r="L100" s="2008"/>
      <c r="M100" s="330"/>
      <c r="N100" s="1670"/>
      <c r="O100" s="1670"/>
    </row>
    <row s="2876" customFormat="1" customHeight="1" ht="18.75" hidden="1">
      <c r="A101" s="1830"/>
      <c r="B101" s="369" t="s">
        <v>2289</v>
      </c>
      <c r="C101" s="2315"/>
      <c r="D101" s="2041"/>
      <c r="E101" s="2145"/>
      <c r="F101" s="2145"/>
      <c r="G101" s="406"/>
      <c r="H101" s="401" t="s">
        <v>1650</v>
      </c>
      <c r="I101" s="345"/>
      <c r="J101" s="407"/>
      <c r="K101" s="187"/>
      <c r="L101" s="337"/>
      <c r="M101" s="330"/>
      <c r="N101" s="1670"/>
      <c r="O101" s="1670"/>
    </row>
    <row s="2876" customFormat="1" customHeight="1" ht="18.75" hidden="1">
      <c r="A102" s="1830" t="s">
        <v>270</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395</v>
      </c>
      <c r="L102" s="337"/>
      <c r="M102" s="330"/>
      <c r="N102" s="1670"/>
      <c r="O102" s="1670"/>
    </row>
    <row s="2876" customFormat="1" customHeight="1" ht="18.75" hidden="1">
      <c r="A103" s="1830"/>
      <c r="B103" s="369" t="s">
        <v>2289</v>
      </c>
      <c r="C103" s="2315"/>
      <c r="D103" s="2041"/>
      <c r="E103" s="2145"/>
      <c r="F103" s="2145"/>
      <c r="G103" s="406"/>
      <c r="H103" s="401" t="s">
        <v>1650</v>
      </c>
      <c r="I103" s="345"/>
      <c r="J103" s="407"/>
      <c r="K103" s="187"/>
      <c r="L103" s="337"/>
      <c r="M103" s="330"/>
      <c r="N103" s="1670"/>
      <c r="O103" s="1670"/>
    </row>
    <row s="2876" customFormat="1" customHeight="1" ht="41.25" hidden="1">
      <c r="A104" s="1830" t="s">
        <v>276</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395</v>
      </c>
      <c r="L104" s="337"/>
      <c r="M104" s="330"/>
      <c r="N104" s="1670"/>
      <c r="O104" s="1670"/>
    </row>
    <row s="2876" customFormat="1" customHeight="1" ht="18.75" hidden="1">
      <c r="A105" s="1830"/>
      <c r="B105" s="369" t="s">
        <v>2289</v>
      </c>
      <c r="C105" s="2315"/>
      <c r="D105" s="2041"/>
      <c r="E105" s="2145"/>
      <c r="F105" s="2145"/>
      <c r="G105" s="406"/>
      <c r="H105" s="401" t="s">
        <v>1650</v>
      </c>
      <c r="I105" s="345"/>
      <c r="J105" s="407"/>
      <c r="K105" s="187"/>
      <c r="L105" s="337"/>
      <c r="M105" s="330"/>
      <c r="N105" s="1670"/>
      <c r="O105" s="1670"/>
    </row>
    <row s="2876" customFormat="1" customHeight="1" ht="18.75" hidden="1">
      <c r="A106" s="1830" t="s">
        <v>282</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395</v>
      </c>
      <c r="L106" s="337"/>
      <c r="M106" s="330"/>
      <c r="N106" s="1670"/>
      <c r="O106" s="1670"/>
    </row>
    <row s="2876" customFormat="1" customHeight="1" ht="18.75" hidden="1">
      <c r="A107" s="1830"/>
      <c r="B107" s="369" t="s">
        <v>2289</v>
      </c>
      <c r="C107" s="2315"/>
      <c r="D107" s="2041"/>
      <c r="E107" s="2145"/>
      <c r="F107" s="2145"/>
      <c r="G107" s="406"/>
      <c r="H107" s="401" t="s">
        <v>1650</v>
      </c>
      <c r="I107" s="345"/>
      <c r="J107" s="407"/>
      <c r="K107" s="187"/>
      <c r="L107" s="337"/>
      <c r="M107" s="330"/>
      <c r="N107" s="1670"/>
      <c r="O107" s="1670"/>
    </row>
    <row s="2876" customFormat="1" customHeight="1" ht="18.75" hidden="1">
      <c r="A108" s="1830" t="s">
        <v>288</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395</v>
      </c>
      <c r="L108" s="337"/>
      <c r="M108" s="330"/>
      <c r="N108" s="1670"/>
      <c r="O108" s="1670"/>
    </row>
    <row s="2876" customFormat="1" customHeight="1" ht="18.75" hidden="1">
      <c r="A109" s="1830"/>
      <c r="B109" s="369" t="s">
        <v>2289</v>
      </c>
      <c r="C109" s="2315"/>
      <c r="D109" s="2041"/>
      <c r="E109" s="2145"/>
      <c r="F109" s="2145"/>
      <c r="G109" s="406"/>
      <c r="H109" s="401" t="s">
        <v>1650</v>
      </c>
      <c r="I109" s="345"/>
      <c r="J109" s="407"/>
      <c r="K109" s="187"/>
      <c r="L109" s="337"/>
      <c r="M109" s="330"/>
      <c r="N109" s="1670"/>
      <c r="O109" s="1670"/>
    </row>
    <row s="2876" customFormat="1" customHeight="1" ht="18.75" hidden="1">
      <c r="A110" s="1830" t="s">
        <v>294</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395</v>
      </c>
      <c r="L110" s="337"/>
      <c r="M110" s="330"/>
      <c r="N110" s="1670"/>
      <c r="O110" s="1670"/>
    </row>
    <row s="2876" customFormat="1" customHeight="1" ht="18.75" hidden="1">
      <c r="A111" s="1830"/>
      <c r="B111" s="369" t="s">
        <v>2289</v>
      </c>
      <c r="C111" s="2315"/>
      <c r="D111" s="2041"/>
      <c r="E111" s="2145"/>
      <c r="F111" s="2145"/>
      <c r="G111" s="406"/>
      <c r="H111" s="401" t="s">
        <v>1650</v>
      </c>
      <c r="I111" s="345"/>
      <c r="J111" s="407"/>
      <c r="K111" s="187"/>
      <c r="L111" s="337"/>
      <c r="M111" s="330"/>
      <c r="N111" s="1670"/>
      <c r="O111" s="1670"/>
    </row>
    <row s="2876" customFormat="1" customHeight="1" ht="18.75" hidden="1">
      <c r="A112" s="1830" t="s">
        <v>300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395</v>
      </c>
      <c r="L112" s="337"/>
      <c r="M112" s="330"/>
      <c r="N112" s="1670"/>
      <c r="O112" s="1670"/>
    </row>
    <row s="2876" customFormat="1" customHeight="1" ht="18.75" hidden="1">
      <c r="A113" s="1830"/>
      <c r="B113" s="369" t="s">
        <v>2289</v>
      </c>
      <c r="C113" s="2315"/>
      <c r="D113" s="2041"/>
      <c r="E113" s="2145"/>
      <c r="F113" s="2145"/>
      <c r="G113" s="406"/>
      <c r="H113" s="401" t="s">
        <v>1650</v>
      </c>
      <c r="I113" s="345"/>
      <c r="J113" s="407"/>
      <c r="K113" s="187"/>
      <c r="L113" s="337"/>
      <c r="M113" s="330"/>
      <c r="N113" s="1670"/>
      <c r="O113" s="1670"/>
    </row>
    <row s="2876" customFormat="1" customHeight="1" ht="18.75" hidden="1">
      <c r="A114" s="1830" t="s">
        <v>314</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395</v>
      </c>
      <c r="L114" s="337"/>
      <c r="M114" s="330"/>
      <c r="N114" s="1670"/>
      <c r="O114" s="1670"/>
    </row>
    <row s="2876" customFormat="1" customHeight="1" ht="18.75" hidden="1">
      <c r="A115" s="1830"/>
      <c r="B115" s="369" t="s">
        <v>2289</v>
      </c>
      <c r="C115" s="2315"/>
      <c r="D115" s="2041"/>
      <c r="E115" s="2145"/>
      <c r="F115" s="2145"/>
      <c r="G115" s="406"/>
      <c r="H115" s="401" t="s">
        <v>1650</v>
      </c>
      <c r="I115" s="345"/>
      <c r="J115" s="407"/>
      <c r="K115" s="187"/>
      <c r="L115" s="337"/>
      <c r="M115" s="330"/>
      <c r="N115" s="1670"/>
      <c r="O115" s="1670"/>
    </row>
    <row s="2876" customFormat="1" customHeight="1" ht="18.75" hidden="1">
      <c r="A116" s="1830" t="s">
        <v>319</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395</v>
      </c>
      <c r="L116" s="337"/>
      <c r="M116" s="330"/>
      <c r="N116" s="1670"/>
      <c r="O116" s="1670"/>
    </row>
    <row s="2876" customFormat="1" customHeight="1" ht="18.75" hidden="1">
      <c r="A117" s="1830"/>
      <c r="B117" s="369" t="s">
        <v>2289</v>
      </c>
      <c r="C117" s="2315"/>
      <c r="D117" s="2041"/>
      <c r="E117" s="2145"/>
      <c r="F117" s="2145"/>
      <c r="G117" s="406"/>
      <c r="H117" s="401" t="s">
        <v>1650</v>
      </c>
      <c r="I117" s="345"/>
      <c r="J117" s="407"/>
      <c r="K117" s="187"/>
      <c r="L117" s="337"/>
      <c r="M117" s="330"/>
      <c r="N117" s="1670"/>
      <c r="O117" s="1670"/>
    </row>
    <row s="2876" customFormat="1" customHeight="1" ht="18.75" hidden="1">
      <c r="A118" s="1830" t="s">
        <v>324</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395</v>
      </c>
      <c r="L118" s="337"/>
      <c r="M118" s="330"/>
      <c r="N118" s="1670"/>
      <c r="O118" s="1670"/>
    </row>
    <row s="2876" customFormat="1" customHeight="1" ht="18.75" hidden="1">
      <c r="A119" s="1830"/>
      <c r="B119" s="369" t="s">
        <v>2289</v>
      </c>
      <c r="C119" s="2315"/>
      <c r="D119" s="2041"/>
      <c r="E119" s="2145"/>
      <c r="F119" s="2145"/>
      <c r="G119" s="406"/>
      <c r="H119" s="401" t="s">
        <v>1650</v>
      </c>
      <c r="I119" s="345"/>
      <c r="J119" s="407"/>
      <c r="K119" s="187"/>
      <c r="L119" s="337"/>
      <c r="M119" s="330"/>
      <c r="N119" s="1670"/>
      <c r="O119" s="1670"/>
    </row>
    <row s="2876" customFormat="1" customHeight="1" ht="18.75" hidden="1">
      <c r="A120" s="1830" t="s">
        <v>329</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395</v>
      </c>
      <c r="L120" s="337"/>
      <c r="M120" s="330"/>
      <c r="N120" s="1670"/>
      <c r="O120" s="1670"/>
    </row>
    <row s="2876" customFormat="1" customHeight="1" ht="18.75" hidden="1">
      <c r="A121" s="1830"/>
      <c r="B121" s="369" t="s">
        <v>2289</v>
      </c>
      <c r="C121" s="2315"/>
      <c r="D121" s="2041"/>
      <c r="E121" s="2145"/>
      <c r="F121" s="2145"/>
      <c r="G121" s="406"/>
      <c r="H121" s="401" t="s">
        <v>1650</v>
      </c>
      <c r="I121" s="345"/>
      <c r="J121" s="407"/>
      <c r="K121" s="187"/>
      <c r="L121" s="337"/>
      <c r="M121" s="330"/>
      <c r="N121" s="1670"/>
      <c r="O121" s="1670"/>
    </row>
    <row s="2876" customFormat="1" customHeight="1" ht="18.75" hidden="1">
      <c r="A122" s="1830" t="s">
        <v>334</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395</v>
      </c>
      <c r="L122" s="337"/>
      <c r="M122" s="330"/>
      <c r="N122" s="1670"/>
      <c r="O122" s="1670"/>
    </row>
    <row s="2876" customFormat="1" customHeight="1" ht="18.75" hidden="1">
      <c r="A123" s="1830"/>
      <c r="B123" s="369" t="s">
        <v>2289</v>
      </c>
      <c r="C123" s="2315"/>
      <c r="D123" s="2041"/>
      <c r="E123" s="2145"/>
      <c r="F123" s="2145"/>
      <c r="G123" s="406"/>
      <c r="H123" s="401" t="s">
        <v>1650</v>
      </c>
      <c r="I123" s="345"/>
      <c r="J123" s="407"/>
      <c r="K123" s="187"/>
      <c r="L123" s="337"/>
      <c r="M123" s="330"/>
      <c r="N123" s="1670"/>
      <c r="O123" s="1670"/>
    </row>
    <row s="2876" customFormat="1" customHeight="1" ht="18.75" hidden="1">
      <c r="A124" s="1830" t="s">
        <v>339</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395</v>
      </c>
      <c r="L124" s="337"/>
      <c r="M124" s="330"/>
      <c r="N124" s="1670"/>
      <c r="O124" s="1670"/>
    </row>
    <row s="2876" customFormat="1" customHeight="1" ht="18.75" hidden="1">
      <c r="A125" s="1830"/>
      <c r="B125" s="369" t="s">
        <v>2289</v>
      </c>
      <c r="C125" s="2315"/>
      <c r="D125" s="2041"/>
      <c r="E125" s="2145"/>
      <c r="F125" s="2145"/>
      <c r="G125" s="406"/>
      <c r="H125" s="401" t="s">
        <v>1650</v>
      </c>
      <c r="I125" s="345"/>
      <c r="J125" s="407"/>
      <c r="K125" s="187"/>
      <c r="L125" s="337"/>
      <c r="M125" s="330"/>
      <c r="N125" s="1670"/>
      <c r="O125" s="1670"/>
    </row>
    <row s="2876" customFormat="1" customHeight="1" ht="18.75" hidden="1">
      <c r="A126" s="1830" t="s">
        <v>344</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395</v>
      </c>
      <c r="L126" s="337"/>
      <c r="M126" s="330"/>
      <c r="N126" s="1670"/>
      <c r="O126" s="1670"/>
    </row>
    <row s="2876" customFormat="1" customHeight="1" ht="18.75" hidden="1">
      <c r="A127" s="1830"/>
      <c r="B127" s="369" t="s">
        <v>2289</v>
      </c>
      <c r="C127" s="2315"/>
      <c r="D127" s="2041"/>
      <c r="E127" s="2145"/>
      <c r="F127" s="2145"/>
      <c r="G127" s="406"/>
      <c r="H127" s="401" t="s">
        <v>1650</v>
      </c>
      <c r="I127" s="345"/>
      <c r="J127" s="407"/>
      <c r="K127" s="187"/>
      <c r="L127" s="337"/>
      <c r="M127" s="330"/>
      <c r="N127" s="1670"/>
      <c r="O127" s="1670"/>
    </row>
    <row s="2876" customFormat="1" customHeight="1" ht="18.75" hidden="1">
      <c r="A128" s="1830" t="s">
        <v>349</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395</v>
      </c>
      <c r="L128" s="337"/>
      <c r="M128" s="330"/>
      <c r="N128" s="1670"/>
      <c r="O128" s="1670"/>
    </row>
    <row s="2876" customFormat="1" customHeight="1" ht="18.75" hidden="1">
      <c r="A129" s="1830"/>
      <c r="B129" s="369" t="s">
        <v>2289</v>
      </c>
      <c r="C129" s="2315"/>
      <c r="D129" s="2041"/>
      <c r="E129" s="2145"/>
      <c r="F129" s="2145"/>
      <c r="G129" s="406"/>
      <c r="H129" s="401" t="s">
        <v>1650</v>
      </c>
      <c r="I129" s="345"/>
      <c r="J129" s="407"/>
      <c r="K129" s="187"/>
      <c r="L129" s="337"/>
      <c r="M129" s="330"/>
      <c r="N129" s="1670"/>
      <c r="O129" s="1670"/>
    </row>
    <row s="2876" customFormat="1" customHeight="1" ht="18.75" hidden="1">
      <c r="A130" s="1830" t="s">
        <v>354</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395</v>
      </c>
      <c r="L130" s="337"/>
      <c r="M130" s="330"/>
      <c r="N130" s="1670"/>
      <c r="O130" s="1670"/>
    </row>
    <row s="2876" customFormat="1" customHeight="1" ht="18.75" hidden="1">
      <c r="A131" s="1830"/>
      <c r="B131" s="369" t="s">
        <v>2289</v>
      </c>
      <c r="C131" s="2315"/>
      <c r="D131" s="2041"/>
      <c r="E131" s="2145"/>
      <c r="F131" s="2145"/>
      <c r="G131" s="406"/>
      <c r="H131" s="401" t="s">
        <v>1650</v>
      </c>
      <c r="I131" s="345"/>
      <c r="J131" s="407"/>
      <c r="K131" s="187"/>
      <c r="L131" s="337"/>
      <c r="M131" s="330"/>
      <c r="N131" s="1670"/>
      <c r="O131" s="1670"/>
    </row>
    <row s="2876" customFormat="1" customHeight="1" ht="18.75" hidden="1">
      <c r="A132" s="1830" t="s">
        <v>359</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395</v>
      </c>
      <c r="L132" s="337"/>
      <c r="M132" s="330"/>
      <c r="N132" s="1670"/>
      <c r="O132" s="1670"/>
    </row>
    <row s="2876" customFormat="1" customHeight="1" ht="18.75" hidden="1">
      <c r="A133" s="1830"/>
      <c r="B133" s="369" t="s">
        <v>2289</v>
      </c>
      <c r="C133" s="2315"/>
      <c r="D133" s="2041"/>
      <c r="E133" s="2145"/>
      <c r="F133" s="2145"/>
      <c r="G133" s="406"/>
      <c r="H133" s="401" t="s">
        <v>1650</v>
      </c>
      <c r="I133" s="345"/>
      <c r="J133" s="407"/>
      <c r="K133" s="187"/>
      <c r="L133" s="337"/>
      <c r="M133" s="330"/>
      <c r="N133" s="1670"/>
      <c r="O133" s="1670"/>
    </row>
    <row s="2876" customFormat="1" customHeight="1" ht="18.75" hidden="1">
      <c r="A134" s="1830" t="s">
        <v>364</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395</v>
      </c>
      <c r="L134" s="337"/>
      <c r="M134" s="330"/>
      <c r="N134" s="1670"/>
      <c r="O134" s="1670"/>
    </row>
    <row s="2876" customFormat="1" customHeight="1" ht="18.75" hidden="1">
      <c r="A135" s="1830"/>
      <c r="B135" s="369" t="s">
        <v>2289</v>
      </c>
      <c r="C135" s="2315"/>
      <c r="D135" s="2041"/>
      <c r="E135" s="2145"/>
      <c r="F135" s="2145"/>
      <c r="G135" s="406"/>
      <c r="H135" s="401" t="s">
        <v>1650</v>
      </c>
      <c r="I135" s="345"/>
      <c r="J135" s="407"/>
      <c r="K135" s="187"/>
      <c r="L135" s="337"/>
      <c r="M135" s="330"/>
      <c r="N135" s="1670"/>
      <c r="O135" s="1670"/>
    </row>
    <row customHeight="1" ht="26.25">
      <c r="A136" s="1830"/>
      <c r="C136" s="377"/>
      <c r="D136" s="133" t="s">
        <v>113</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6" customFormat="1" customHeight="1" ht="56.25" hidden="1">
      <c r="A137" s="1830" t="s">
        <v>258</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395</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6" customFormat="1" customHeight="1" ht="18.75" hidden="1">
      <c r="A138" s="1830"/>
      <c r="B138" s="369" t="s">
        <v>2289</v>
      </c>
      <c r="C138" s="2315"/>
      <c r="D138" s="2041"/>
      <c r="E138" s="2145"/>
      <c r="F138" s="2145"/>
      <c r="G138" s="406"/>
      <c r="H138" s="401" t="s">
        <v>1650</v>
      </c>
      <c r="I138" s="345"/>
      <c r="J138" s="407"/>
      <c r="K138" s="187"/>
      <c r="L138" s="2007"/>
      <c r="M138" s="330"/>
      <c r="N138" s="1670"/>
      <c r="O138" s="1670"/>
    </row>
    <row s="2876" customFormat="1" customHeight="1" ht="26.25" hidden="1">
      <c r="A139" s="1830" t="s">
        <v>264</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395</v>
      </c>
      <c r="L139" s="2008"/>
      <c r="M139" s="330"/>
      <c r="N139" s="1670"/>
      <c r="O139" s="1670"/>
    </row>
    <row s="2876" customFormat="1" customHeight="1" ht="18.75" hidden="1">
      <c r="A140" s="1830"/>
      <c r="B140" s="369" t="s">
        <v>2289</v>
      </c>
      <c r="C140" s="2315"/>
      <c r="D140" s="2041"/>
      <c r="E140" s="2145"/>
      <c r="F140" s="2145"/>
      <c r="G140" s="406"/>
      <c r="H140" s="401" t="s">
        <v>1650</v>
      </c>
      <c r="I140" s="345"/>
      <c r="J140" s="407"/>
      <c r="K140" s="187"/>
      <c r="L140" s="337"/>
      <c r="M140" s="330"/>
      <c r="N140" s="1670"/>
      <c r="O140" s="1670"/>
    </row>
    <row s="2876" customFormat="1" customHeight="1" ht="18.75" hidden="1">
      <c r="A141" s="1830" t="s">
        <v>270</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395</v>
      </c>
      <c r="L141" s="337"/>
      <c r="M141" s="330"/>
      <c r="N141" s="1670"/>
      <c r="O141" s="1670"/>
    </row>
    <row s="2876" customFormat="1" customHeight="1" ht="18.75" hidden="1">
      <c r="A142" s="1830"/>
      <c r="B142" s="369" t="s">
        <v>2289</v>
      </c>
      <c r="C142" s="2315"/>
      <c r="D142" s="2041"/>
      <c r="E142" s="2145"/>
      <c r="F142" s="2145"/>
      <c r="G142" s="406"/>
      <c r="H142" s="401" t="s">
        <v>1650</v>
      </c>
      <c r="I142" s="345"/>
      <c r="J142" s="407"/>
      <c r="K142" s="187"/>
      <c r="L142" s="337"/>
      <c r="M142" s="330"/>
      <c r="N142" s="1670"/>
      <c r="O142" s="1670"/>
    </row>
    <row s="2876" customFormat="1" customHeight="1" ht="40.5" hidden="1">
      <c r="A143" s="1830" t="s">
        <v>276</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395</v>
      </c>
      <c r="L143" s="337"/>
      <c r="M143" s="330"/>
      <c r="N143" s="1670"/>
      <c r="O143" s="1670"/>
    </row>
    <row s="2876" customFormat="1" customHeight="1" ht="18.75" hidden="1">
      <c r="A144" s="1830"/>
      <c r="B144" s="369" t="s">
        <v>2289</v>
      </c>
      <c r="C144" s="2315"/>
      <c r="D144" s="2041"/>
      <c r="E144" s="2145"/>
      <c r="F144" s="2145"/>
      <c r="G144" s="406"/>
      <c r="H144" s="401" t="s">
        <v>1650</v>
      </c>
      <c r="I144" s="345"/>
      <c r="J144" s="407"/>
      <c r="K144" s="187"/>
      <c r="L144" s="337"/>
      <c r="M144" s="330"/>
      <c r="N144" s="1670"/>
      <c r="O144" s="1670"/>
    </row>
    <row s="2876" customFormat="1" customHeight="1" ht="18.75" hidden="1">
      <c r="A145" s="1830" t="s">
        <v>282</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395</v>
      </c>
      <c r="L145" s="337"/>
      <c r="M145" s="330"/>
      <c r="N145" s="1670"/>
      <c r="O145" s="1670"/>
    </row>
    <row s="2876" customFormat="1" customHeight="1" ht="18.75" hidden="1">
      <c r="A146" s="1830"/>
      <c r="B146" s="369" t="s">
        <v>2289</v>
      </c>
      <c r="C146" s="2315"/>
      <c r="D146" s="2041"/>
      <c r="E146" s="2145"/>
      <c r="F146" s="2145"/>
      <c r="G146" s="406"/>
      <c r="H146" s="401" t="s">
        <v>1650</v>
      </c>
      <c r="I146" s="345"/>
      <c r="J146" s="407"/>
      <c r="K146" s="187"/>
      <c r="L146" s="337"/>
      <c r="M146" s="330"/>
      <c r="N146" s="1670"/>
      <c r="O146" s="1670"/>
    </row>
    <row s="2876" customFormat="1" customHeight="1" ht="18.75" hidden="1">
      <c r="A147" s="1830" t="s">
        <v>288</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395</v>
      </c>
      <c r="L147" s="337"/>
      <c r="M147" s="330"/>
      <c r="N147" s="1670"/>
      <c r="O147" s="1670"/>
    </row>
    <row s="2876" customFormat="1" customHeight="1" ht="18.75" hidden="1">
      <c r="A148" s="1830"/>
      <c r="B148" s="369" t="s">
        <v>2289</v>
      </c>
      <c r="C148" s="2315"/>
      <c r="D148" s="2041"/>
      <c r="E148" s="2145"/>
      <c r="F148" s="2145"/>
      <c r="G148" s="406"/>
      <c r="H148" s="401" t="s">
        <v>1650</v>
      </c>
      <c r="I148" s="345"/>
      <c r="J148" s="407"/>
      <c r="K148" s="187"/>
      <c r="L148" s="337"/>
      <c r="M148" s="330"/>
      <c r="N148" s="1670"/>
      <c r="O148" s="1670"/>
    </row>
    <row s="2876" customFormat="1" customHeight="1" ht="18.75" hidden="1">
      <c r="A149" s="1830" t="s">
        <v>294</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395</v>
      </c>
      <c r="L149" s="337"/>
      <c r="M149" s="330"/>
      <c r="N149" s="1670"/>
      <c r="O149" s="1670"/>
    </row>
    <row s="2876" customFormat="1" customHeight="1" ht="18.75" hidden="1">
      <c r="A150" s="1830"/>
      <c r="B150" s="369" t="s">
        <v>2289</v>
      </c>
      <c r="C150" s="2315"/>
      <c r="D150" s="2041"/>
      <c r="E150" s="2145"/>
      <c r="F150" s="2145"/>
      <c r="G150" s="406"/>
      <c r="H150" s="401" t="s">
        <v>1650</v>
      </c>
      <c r="I150" s="345"/>
      <c r="J150" s="407"/>
      <c r="K150" s="187"/>
      <c r="L150" s="337"/>
      <c r="M150" s="330"/>
      <c r="N150" s="1670"/>
      <c r="O150" s="1670"/>
    </row>
    <row s="2876" customFormat="1" customHeight="1" ht="18.75" hidden="1">
      <c r="A151" s="1830" t="s">
        <v>300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395</v>
      </c>
      <c r="L151" s="337"/>
      <c r="M151" s="330"/>
      <c r="N151" s="1670"/>
      <c r="O151" s="1670"/>
    </row>
    <row s="2876" customFormat="1" customHeight="1" ht="18.75" hidden="1">
      <c r="A152" s="1830"/>
      <c r="B152" s="369" t="s">
        <v>2289</v>
      </c>
      <c r="C152" s="2315"/>
      <c r="D152" s="2041"/>
      <c r="E152" s="2145"/>
      <c r="F152" s="2145"/>
      <c r="G152" s="406"/>
      <c r="H152" s="401" t="s">
        <v>1650</v>
      </c>
      <c r="I152" s="345"/>
      <c r="J152" s="407"/>
      <c r="K152" s="187"/>
      <c r="L152" s="337"/>
      <c r="M152" s="330"/>
      <c r="N152" s="1670"/>
      <c r="O152" s="1670"/>
    </row>
    <row s="2876" customFormat="1" customHeight="1" ht="18.75" hidden="1">
      <c r="A153" s="1830" t="s">
        <v>314</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395</v>
      </c>
      <c r="L153" s="337"/>
      <c r="M153" s="330"/>
      <c r="N153" s="1670"/>
      <c r="O153" s="1670"/>
    </row>
    <row s="2876" customFormat="1" customHeight="1" ht="18.75" hidden="1">
      <c r="A154" s="1830"/>
      <c r="B154" s="369" t="s">
        <v>2289</v>
      </c>
      <c r="C154" s="2315"/>
      <c r="D154" s="2041"/>
      <c r="E154" s="2145"/>
      <c r="F154" s="2145"/>
      <c r="G154" s="406"/>
      <c r="H154" s="401" t="s">
        <v>1650</v>
      </c>
      <c r="I154" s="345"/>
      <c r="J154" s="407"/>
      <c r="K154" s="187"/>
      <c r="L154" s="337"/>
      <c r="M154" s="330"/>
      <c r="N154" s="1670"/>
      <c r="O154" s="1670"/>
    </row>
    <row s="2876" customFormat="1" customHeight="1" ht="18.75" hidden="1">
      <c r="A155" s="1830" t="s">
        <v>319</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395</v>
      </c>
      <c r="L155" s="337"/>
      <c r="M155" s="330"/>
      <c r="N155" s="1670"/>
      <c r="O155" s="1670"/>
    </row>
    <row s="2876" customFormat="1" customHeight="1" ht="18.75" hidden="1">
      <c r="A156" s="1830"/>
      <c r="B156" s="369" t="s">
        <v>2289</v>
      </c>
      <c r="C156" s="2315"/>
      <c r="D156" s="2041"/>
      <c r="E156" s="2145"/>
      <c r="F156" s="2145"/>
      <c r="G156" s="406"/>
      <c r="H156" s="401" t="s">
        <v>1650</v>
      </c>
      <c r="I156" s="345"/>
      <c r="J156" s="407"/>
      <c r="K156" s="187"/>
      <c r="L156" s="337"/>
      <c r="M156" s="330"/>
      <c r="N156" s="1670"/>
      <c r="O156" s="1670"/>
    </row>
    <row s="2876" customFormat="1" customHeight="1" ht="18.75" hidden="1">
      <c r="A157" s="1830" t="s">
        <v>324</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395</v>
      </c>
      <c r="L157" s="337"/>
      <c r="M157" s="330"/>
      <c r="N157" s="1670"/>
      <c r="O157" s="1670"/>
    </row>
    <row s="2876" customFormat="1" customHeight="1" ht="18.75" hidden="1">
      <c r="A158" s="1830"/>
      <c r="B158" s="369" t="s">
        <v>2289</v>
      </c>
      <c r="C158" s="2315"/>
      <c r="D158" s="2041"/>
      <c r="E158" s="2145"/>
      <c r="F158" s="2145"/>
      <c r="G158" s="406"/>
      <c r="H158" s="401" t="s">
        <v>1650</v>
      </c>
      <c r="I158" s="345"/>
      <c r="J158" s="407"/>
      <c r="K158" s="187"/>
      <c r="L158" s="337"/>
      <c r="M158" s="330"/>
      <c r="N158" s="1670"/>
      <c r="O158" s="1670"/>
    </row>
    <row s="2876" customFormat="1" customHeight="1" ht="18.75" hidden="1">
      <c r="A159" s="1830" t="s">
        <v>329</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395</v>
      </c>
      <c r="L159" s="337"/>
      <c r="M159" s="330"/>
      <c r="N159" s="1670"/>
      <c r="O159" s="1670"/>
    </row>
    <row s="2876" customFormat="1" customHeight="1" ht="18.75" hidden="1">
      <c r="A160" s="1830"/>
      <c r="B160" s="369" t="s">
        <v>2289</v>
      </c>
      <c r="C160" s="2315"/>
      <c r="D160" s="2041"/>
      <c r="E160" s="2145"/>
      <c r="F160" s="2145"/>
      <c r="G160" s="406"/>
      <c r="H160" s="401" t="s">
        <v>1650</v>
      </c>
      <c r="I160" s="345"/>
      <c r="J160" s="407"/>
      <c r="K160" s="187"/>
      <c r="L160" s="337"/>
      <c r="M160" s="330"/>
      <c r="N160" s="1670"/>
      <c r="O160" s="1670"/>
    </row>
    <row s="2876" customFormat="1" customHeight="1" ht="18.75" hidden="1">
      <c r="A161" s="1830" t="s">
        <v>334</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395</v>
      </c>
      <c r="L161" s="337"/>
      <c r="M161" s="330"/>
      <c r="N161" s="1670"/>
      <c r="O161" s="1670"/>
    </row>
    <row s="2876" customFormat="1" customHeight="1" ht="18.75" hidden="1">
      <c r="A162" s="1830"/>
      <c r="B162" s="369" t="s">
        <v>2289</v>
      </c>
      <c r="C162" s="2315"/>
      <c r="D162" s="2041"/>
      <c r="E162" s="2145"/>
      <c r="F162" s="2145"/>
      <c r="G162" s="406"/>
      <c r="H162" s="401" t="s">
        <v>1650</v>
      </c>
      <c r="I162" s="345"/>
      <c r="J162" s="407"/>
      <c r="K162" s="187"/>
      <c r="L162" s="337"/>
      <c r="M162" s="330"/>
      <c r="N162" s="1670"/>
      <c r="O162" s="1670"/>
    </row>
    <row s="2876" customFormat="1" customHeight="1" ht="18.75" hidden="1">
      <c r="A163" s="1830" t="s">
        <v>339</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395</v>
      </c>
      <c r="L163" s="337"/>
      <c r="M163" s="330"/>
      <c r="N163" s="1670"/>
      <c r="O163" s="1670"/>
    </row>
    <row s="2876" customFormat="1" customHeight="1" ht="18.75" hidden="1">
      <c r="A164" s="1830"/>
      <c r="B164" s="369" t="s">
        <v>2289</v>
      </c>
      <c r="C164" s="2315"/>
      <c r="D164" s="2041"/>
      <c r="E164" s="2145"/>
      <c r="F164" s="2145"/>
      <c r="G164" s="406"/>
      <c r="H164" s="401" t="s">
        <v>1650</v>
      </c>
      <c r="I164" s="345"/>
      <c r="J164" s="407"/>
      <c r="K164" s="187"/>
      <c r="L164" s="337"/>
      <c r="M164" s="330"/>
      <c r="N164" s="1670"/>
      <c r="O164" s="1670"/>
    </row>
    <row s="2876" customFormat="1" customHeight="1" ht="18.75" hidden="1">
      <c r="A165" s="1830" t="s">
        <v>344</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395</v>
      </c>
      <c r="L165" s="337"/>
      <c r="M165" s="330"/>
      <c r="N165" s="1670"/>
      <c r="O165" s="1670"/>
    </row>
    <row s="2876" customFormat="1" customHeight="1" ht="18.75" hidden="1">
      <c r="A166" s="1830"/>
      <c r="B166" s="369" t="s">
        <v>2289</v>
      </c>
      <c r="C166" s="2315"/>
      <c r="D166" s="2041"/>
      <c r="E166" s="2145"/>
      <c r="F166" s="2145"/>
      <c r="G166" s="406"/>
      <c r="H166" s="401" t="s">
        <v>1650</v>
      </c>
      <c r="I166" s="345"/>
      <c r="J166" s="407"/>
      <c r="K166" s="187"/>
      <c r="L166" s="337"/>
      <c r="M166" s="330"/>
      <c r="N166" s="1670"/>
      <c r="O166" s="1670"/>
    </row>
    <row s="2876" customFormat="1" customHeight="1" ht="18.75" hidden="1">
      <c r="A167" s="1830" t="s">
        <v>349</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395</v>
      </c>
      <c r="L167" s="337"/>
      <c r="M167" s="330"/>
      <c r="N167" s="1670"/>
      <c r="O167" s="1670"/>
    </row>
    <row s="2876" customFormat="1" customHeight="1" ht="18.75" hidden="1">
      <c r="A168" s="1830"/>
      <c r="B168" s="369" t="s">
        <v>2289</v>
      </c>
      <c r="C168" s="2315"/>
      <c r="D168" s="2041"/>
      <c r="E168" s="2145"/>
      <c r="F168" s="2145"/>
      <c r="G168" s="406"/>
      <c r="H168" s="401" t="s">
        <v>1650</v>
      </c>
      <c r="I168" s="345"/>
      <c r="J168" s="407"/>
      <c r="K168" s="187"/>
      <c r="L168" s="337"/>
      <c r="M168" s="330"/>
      <c r="N168" s="1670"/>
      <c r="O168" s="1670"/>
    </row>
    <row s="2876" customFormat="1" customHeight="1" ht="18.75" hidden="1">
      <c r="A169" s="1830" t="s">
        <v>354</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395</v>
      </c>
      <c r="L169" s="337"/>
      <c r="M169" s="330"/>
      <c r="N169" s="1670"/>
      <c r="O169" s="1670"/>
    </row>
    <row s="2876" customFormat="1" customHeight="1" ht="18.75" hidden="1">
      <c r="A170" s="1830"/>
      <c r="B170" s="369" t="s">
        <v>2289</v>
      </c>
      <c r="C170" s="2315"/>
      <c r="D170" s="2041"/>
      <c r="E170" s="2145"/>
      <c r="F170" s="2145"/>
      <c r="G170" s="406"/>
      <c r="H170" s="401" t="s">
        <v>1650</v>
      </c>
      <c r="I170" s="345"/>
      <c r="J170" s="407"/>
      <c r="K170" s="187"/>
      <c r="L170" s="337"/>
      <c r="M170" s="330"/>
      <c r="N170" s="1670"/>
      <c r="O170" s="1670"/>
    </row>
    <row s="2876" customFormat="1" customHeight="1" ht="18.75" hidden="1">
      <c r="A171" s="1830" t="s">
        <v>359</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395</v>
      </c>
      <c r="L171" s="337"/>
      <c r="M171" s="330"/>
      <c r="N171" s="1670"/>
      <c r="O171" s="1670"/>
    </row>
    <row s="2876" customFormat="1" customHeight="1" ht="18.75" hidden="1">
      <c r="A172" s="1830"/>
      <c r="B172" s="369" t="s">
        <v>2289</v>
      </c>
      <c r="C172" s="2315"/>
      <c r="D172" s="2041"/>
      <c r="E172" s="2145"/>
      <c r="F172" s="2145"/>
      <c r="G172" s="406"/>
      <c r="H172" s="401" t="s">
        <v>1650</v>
      </c>
      <c r="I172" s="345"/>
      <c r="J172" s="407"/>
      <c r="K172" s="187"/>
      <c r="L172" s="337"/>
      <c r="M172" s="330"/>
      <c r="N172" s="1670"/>
      <c r="O172" s="1670"/>
    </row>
    <row s="2876" customFormat="1" customHeight="1" ht="18.75" hidden="1">
      <c r="A173" s="1830" t="s">
        <v>364</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395</v>
      </c>
      <c r="L173" s="337"/>
      <c r="M173" s="330"/>
      <c r="N173" s="1670"/>
      <c r="O173" s="1670"/>
    </row>
    <row s="2876" customFormat="1" customHeight="1" ht="18.75" hidden="1">
      <c r="A174" s="1830"/>
      <c r="B174" s="369" t="s">
        <v>2289</v>
      </c>
      <c r="C174" s="2315"/>
      <c r="D174" s="2041"/>
      <c r="E174" s="2145"/>
      <c r="F174" s="2145"/>
      <c r="G174" s="406"/>
      <c r="H174" s="401" t="s">
        <v>1650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6" customFormat="1" customHeight="1" ht="56.25" hidden="1">
      <c r="A176" s="1830" t="s">
        <v>258</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395</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6" customFormat="1" customHeight="1" ht="18.75" hidden="1">
      <c r="A177" s="1830"/>
      <c r="B177" s="369" t="s">
        <v>2289</v>
      </c>
      <c r="C177" s="2315"/>
      <c r="D177" s="2041"/>
      <c r="E177" s="2145"/>
      <c r="F177" s="2145"/>
      <c r="G177" s="406"/>
      <c r="H177" s="401" t="s">
        <v>1650</v>
      </c>
      <c r="I177" s="345"/>
      <c r="J177" s="407"/>
      <c r="K177" s="187"/>
      <c r="L177" s="2007"/>
      <c r="M177" s="330"/>
      <c r="N177" s="1670"/>
      <c r="O177" s="1670"/>
    </row>
    <row s="2876" customFormat="1" customHeight="1" ht="26.25" hidden="1">
      <c r="A178" s="1830" t="s">
        <v>264</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395</v>
      </c>
      <c r="L178" s="2008"/>
      <c r="M178" s="330"/>
      <c r="N178" s="1670"/>
      <c r="O178" s="1670"/>
    </row>
    <row s="2876" customFormat="1" customHeight="1" ht="18.75" hidden="1">
      <c r="A179" s="1830"/>
      <c r="B179" s="369" t="s">
        <v>2289</v>
      </c>
      <c r="C179" s="2315"/>
      <c r="D179" s="2041"/>
      <c r="E179" s="2145"/>
      <c r="F179" s="2145"/>
      <c r="G179" s="406"/>
      <c r="H179" s="401" t="s">
        <v>1650</v>
      </c>
      <c r="I179" s="345"/>
      <c r="J179" s="407"/>
      <c r="K179" s="187"/>
      <c r="L179" s="337"/>
      <c r="M179" s="330"/>
      <c r="N179" s="1670"/>
      <c r="O179" s="1670"/>
    </row>
    <row s="2876" customFormat="1" customHeight="1" ht="18.75" hidden="1">
      <c r="A180" s="1830" t="s">
        <v>270</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395</v>
      </c>
      <c r="L180" s="337"/>
      <c r="M180" s="330"/>
      <c r="N180" s="1670"/>
      <c r="O180" s="1670"/>
    </row>
    <row s="2876" customFormat="1" customHeight="1" ht="18.75" hidden="1">
      <c r="A181" s="1830"/>
      <c r="B181" s="369" t="s">
        <v>2289</v>
      </c>
      <c r="C181" s="2315"/>
      <c r="D181" s="2041"/>
      <c r="E181" s="2145"/>
      <c r="F181" s="2145"/>
      <c r="G181" s="406"/>
      <c r="H181" s="401" t="s">
        <v>1650</v>
      </c>
      <c r="I181" s="345"/>
      <c r="J181" s="407"/>
      <c r="K181" s="187"/>
      <c r="L181" s="337"/>
      <c r="M181" s="330"/>
      <c r="N181" s="1670"/>
      <c r="O181" s="1670"/>
    </row>
    <row s="2876" customFormat="1" customHeight="1" ht="41.25" hidden="1">
      <c r="A182" s="1830" t="s">
        <v>276</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395</v>
      </c>
      <c r="L182" s="337"/>
      <c r="M182" s="330"/>
      <c r="N182" s="1670"/>
      <c r="O182" s="1670"/>
    </row>
    <row s="2876" customFormat="1" customHeight="1" ht="18.75" hidden="1">
      <c r="A183" s="1830"/>
      <c r="B183" s="369" t="s">
        <v>2289</v>
      </c>
      <c r="C183" s="2315"/>
      <c r="D183" s="2041"/>
      <c r="E183" s="2145"/>
      <c r="F183" s="2145"/>
      <c r="G183" s="406"/>
      <c r="H183" s="401" t="s">
        <v>1650</v>
      </c>
      <c r="I183" s="345"/>
      <c r="J183" s="407"/>
      <c r="K183" s="187"/>
      <c r="L183" s="337"/>
      <c r="M183" s="330"/>
      <c r="N183" s="1670"/>
      <c r="O183" s="1670"/>
    </row>
    <row s="2876" customFormat="1" customHeight="1" ht="18.75" hidden="1">
      <c r="A184" s="1830" t="s">
        <v>282</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395</v>
      </c>
      <c r="L184" s="337"/>
      <c r="M184" s="330"/>
      <c r="N184" s="1670"/>
      <c r="O184" s="1670"/>
    </row>
    <row s="2876" customFormat="1" customHeight="1" ht="18.75" hidden="1">
      <c r="A185" s="1830"/>
      <c r="B185" s="369" t="s">
        <v>2289</v>
      </c>
      <c r="C185" s="2315"/>
      <c r="D185" s="2041"/>
      <c r="E185" s="2145"/>
      <c r="F185" s="2145"/>
      <c r="G185" s="406"/>
      <c r="H185" s="401" t="s">
        <v>1650</v>
      </c>
      <c r="I185" s="345"/>
      <c r="J185" s="407"/>
      <c r="K185" s="187"/>
      <c r="L185" s="337"/>
      <c r="M185" s="330"/>
      <c r="N185" s="1670"/>
      <c r="O185" s="1670"/>
    </row>
    <row s="2876" customFormat="1" customHeight="1" ht="18.75" hidden="1">
      <c r="A186" s="1830" t="s">
        <v>288</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395</v>
      </c>
      <c r="L186" s="337"/>
      <c r="M186" s="330"/>
      <c r="N186" s="1670"/>
      <c r="O186" s="1670"/>
    </row>
    <row s="2876" customFormat="1" customHeight="1" ht="18.75" hidden="1">
      <c r="A187" s="1830"/>
      <c r="B187" s="369" t="s">
        <v>2289</v>
      </c>
      <c r="C187" s="2315"/>
      <c r="D187" s="2041"/>
      <c r="E187" s="2145"/>
      <c r="F187" s="2145"/>
      <c r="G187" s="406"/>
      <c r="H187" s="401" t="s">
        <v>1650</v>
      </c>
      <c r="I187" s="345"/>
      <c r="J187" s="407"/>
      <c r="K187" s="187"/>
      <c r="L187" s="337"/>
      <c r="M187" s="330"/>
      <c r="N187" s="1670"/>
      <c r="O187" s="1670"/>
    </row>
    <row s="2876" customFormat="1" customHeight="1" ht="18.75" hidden="1">
      <c r="A188" s="1830" t="s">
        <v>294</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395</v>
      </c>
      <c r="L188" s="337"/>
      <c r="M188" s="330"/>
      <c r="N188" s="1670"/>
      <c r="O188" s="1670"/>
    </row>
    <row s="2876" customFormat="1" customHeight="1" ht="18.75" hidden="1">
      <c r="A189" s="1830"/>
      <c r="B189" s="369" t="s">
        <v>2289</v>
      </c>
      <c r="C189" s="2315"/>
      <c r="D189" s="2041"/>
      <c r="E189" s="2145"/>
      <c r="F189" s="2145"/>
      <c r="G189" s="406"/>
      <c r="H189" s="401" t="s">
        <v>1650</v>
      </c>
      <c r="I189" s="345"/>
      <c r="J189" s="407"/>
      <c r="K189" s="187"/>
      <c r="L189" s="337"/>
      <c r="M189" s="330"/>
      <c r="N189" s="1670"/>
      <c r="O189" s="1670"/>
    </row>
    <row s="2876" customFormat="1" customHeight="1" ht="18.75" hidden="1">
      <c r="A190" s="1830" t="s">
        <v>300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395</v>
      </c>
      <c r="L190" s="337"/>
      <c r="M190" s="330"/>
      <c r="N190" s="1670"/>
      <c r="O190" s="1670"/>
    </row>
    <row s="2876" customFormat="1" customHeight="1" ht="18.75" hidden="1">
      <c r="A191" s="1830"/>
      <c r="B191" s="369" t="s">
        <v>2289</v>
      </c>
      <c r="C191" s="2315"/>
      <c r="D191" s="2041"/>
      <c r="E191" s="2145"/>
      <c r="F191" s="2145"/>
      <c r="G191" s="406"/>
      <c r="H191" s="401" t="s">
        <v>1650</v>
      </c>
      <c r="I191" s="345"/>
      <c r="J191" s="407"/>
      <c r="K191" s="187"/>
      <c r="L191" s="337"/>
      <c r="M191" s="330"/>
      <c r="N191" s="1670"/>
      <c r="O191" s="1670"/>
    </row>
    <row s="2876" customFormat="1" customHeight="1" ht="18.75" hidden="1">
      <c r="A192" s="1830" t="s">
        <v>314</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395</v>
      </c>
      <c r="L192" s="337"/>
      <c r="M192" s="330"/>
      <c r="N192" s="1670"/>
      <c r="O192" s="1670"/>
    </row>
    <row s="2876" customFormat="1" customHeight="1" ht="18.75" hidden="1">
      <c r="A193" s="1830"/>
      <c r="B193" s="369" t="s">
        <v>2289</v>
      </c>
      <c r="C193" s="2315"/>
      <c r="D193" s="2041"/>
      <c r="E193" s="2145"/>
      <c r="F193" s="2145"/>
      <c r="G193" s="406"/>
      <c r="H193" s="401" t="s">
        <v>1650</v>
      </c>
      <c r="I193" s="345"/>
      <c r="J193" s="407"/>
      <c r="K193" s="187"/>
      <c r="L193" s="337"/>
      <c r="M193" s="330"/>
      <c r="N193" s="1670"/>
      <c r="O193" s="1670"/>
    </row>
    <row s="2876" customFormat="1" customHeight="1" ht="18.75" hidden="1">
      <c r="A194" s="1830" t="s">
        <v>319</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395</v>
      </c>
      <c r="L194" s="337"/>
      <c r="M194" s="330"/>
      <c r="N194" s="1670"/>
      <c r="O194" s="1670"/>
    </row>
    <row s="2876" customFormat="1" customHeight="1" ht="18.75" hidden="1">
      <c r="A195" s="1830"/>
      <c r="B195" s="369" t="s">
        <v>2289</v>
      </c>
      <c r="C195" s="2315"/>
      <c r="D195" s="2041"/>
      <c r="E195" s="2145"/>
      <c r="F195" s="2145"/>
      <c r="G195" s="406"/>
      <c r="H195" s="401" t="s">
        <v>1650</v>
      </c>
      <c r="I195" s="345"/>
      <c r="J195" s="407"/>
      <c r="K195" s="187"/>
      <c r="L195" s="337"/>
      <c r="M195" s="330"/>
      <c r="N195" s="1670"/>
      <c r="O195" s="1670"/>
    </row>
    <row s="2876" customFormat="1" customHeight="1" ht="18.75" hidden="1">
      <c r="A196" s="1830" t="s">
        <v>324</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395</v>
      </c>
      <c r="L196" s="337"/>
      <c r="M196" s="330"/>
      <c r="N196" s="1670"/>
      <c r="O196" s="1670"/>
    </row>
    <row s="2876" customFormat="1" customHeight="1" ht="18.75" hidden="1">
      <c r="A197" s="1830"/>
      <c r="B197" s="369" t="s">
        <v>2289</v>
      </c>
      <c r="C197" s="2315"/>
      <c r="D197" s="2041"/>
      <c r="E197" s="2145"/>
      <c r="F197" s="2145"/>
      <c r="G197" s="406"/>
      <c r="H197" s="401" t="s">
        <v>1650</v>
      </c>
      <c r="I197" s="345"/>
      <c r="J197" s="407"/>
      <c r="K197" s="187"/>
      <c r="L197" s="337"/>
      <c r="M197" s="330"/>
      <c r="N197" s="1670"/>
      <c r="O197" s="1670"/>
    </row>
    <row s="2876" customFormat="1" customHeight="1" ht="18.75" hidden="1">
      <c r="A198" s="1830" t="s">
        <v>329</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395</v>
      </c>
      <c r="L198" s="337"/>
      <c r="M198" s="330"/>
      <c r="N198" s="1670"/>
      <c r="O198" s="1670"/>
    </row>
    <row s="2876" customFormat="1" customHeight="1" ht="18.75" hidden="1">
      <c r="A199" s="1830"/>
      <c r="B199" s="369" t="s">
        <v>2289</v>
      </c>
      <c r="C199" s="2315"/>
      <c r="D199" s="2041"/>
      <c r="E199" s="2145"/>
      <c r="F199" s="2145"/>
      <c r="G199" s="406"/>
      <c r="H199" s="401" t="s">
        <v>1650</v>
      </c>
      <c r="I199" s="345"/>
      <c r="J199" s="407"/>
      <c r="K199" s="187"/>
      <c r="L199" s="337"/>
      <c r="M199" s="330"/>
      <c r="N199" s="1670"/>
      <c r="O199" s="1670"/>
    </row>
    <row s="2876" customFormat="1" customHeight="1" ht="18.75" hidden="1">
      <c r="A200" s="1830" t="s">
        <v>334</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395</v>
      </c>
      <c r="L200" s="337"/>
      <c r="M200" s="330"/>
      <c r="N200" s="1670"/>
      <c r="O200" s="1670"/>
    </row>
    <row s="2876" customFormat="1" customHeight="1" ht="18.75" hidden="1">
      <c r="A201" s="1830"/>
      <c r="B201" s="369" t="s">
        <v>2289</v>
      </c>
      <c r="C201" s="2315"/>
      <c r="D201" s="2041"/>
      <c r="E201" s="2145"/>
      <c r="F201" s="2145"/>
      <c r="G201" s="406"/>
      <c r="H201" s="401" t="s">
        <v>1650</v>
      </c>
      <c r="I201" s="345"/>
      <c r="J201" s="407"/>
      <c r="K201" s="187"/>
      <c r="L201" s="337"/>
      <c r="M201" s="330"/>
      <c r="N201" s="1670"/>
      <c r="O201" s="1670"/>
    </row>
    <row s="2876" customFormat="1" customHeight="1" ht="18.75" hidden="1">
      <c r="A202" s="1830" t="s">
        <v>339</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395</v>
      </c>
      <c r="L202" s="337"/>
      <c r="M202" s="330"/>
      <c r="N202" s="1670"/>
      <c r="O202" s="1670"/>
    </row>
    <row s="2876" customFormat="1" customHeight="1" ht="18.75" hidden="1">
      <c r="A203" s="1830"/>
      <c r="B203" s="369" t="s">
        <v>2289</v>
      </c>
      <c r="C203" s="2315"/>
      <c r="D203" s="2041"/>
      <c r="E203" s="2145"/>
      <c r="F203" s="2145"/>
      <c r="G203" s="406"/>
      <c r="H203" s="401" t="s">
        <v>1650</v>
      </c>
      <c r="I203" s="345"/>
      <c r="J203" s="407"/>
      <c r="K203" s="187"/>
      <c r="L203" s="337"/>
      <c r="M203" s="330"/>
      <c r="N203" s="1670"/>
      <c r="O203" s="1670"/>
    </row>
    <row s="2876" customFormat="1" customHeight="1" ht="18.75" hidden="1">
      <c r="A204" s="1830" t="s">
        <v>344</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395</v>
      </c>
      <c r="L204" s="337"/>
      <c r="M204" s="330"/>
      <c r="N204" s="1670"/>
      <c r="O204" s="1670"/>
    </row>
    <row s="2876" customFormat="1" customHeight="1" ht="18.75" hidden="1">
      <c r="A205" s="1830"/>
      <c r="B205" s="369" t="s">
        <v>2289</v>
      </c>
      <c r="C205" s="2315"/>
      <c r="D205" s="2041"/>
      <c r="E205" s="2145"/>
      <c r="F205" s="2145"/>
      <c r="G205" s="406"/>
      <c r="H205" s="401" t="s">
        <v>1650</v>
      </c>
      <c r="I205" s="345"/>
      <c r="J205" s="407"/>
      <c r="K205" s="187"/>
      <c r="L205" s="337"/>
      <c r="M205" s="330"/>
      <c r="N205" s="1670"/>
      <c r="O205" s="1670"/>
    </row>
    <row s="2876" customFormat="1" customHeight="1" ht="18.75" hidden="1">
      <c r="A206" s="1830" t="s">
        <v>349</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395</v>
      </c>
      <c r="L206" s="337"/>
      <c r="M206" s="330"/>
      <c r="N206" s="1670"/>
      <c r="O206" s="1670"/>
    </row>
    <row s="2876" customFormat="1" customHeight="1" ht="18.75" hidden="1">
      <c r="A207" s="1830"/>
      <c r="B207" s="369" t="s">
        <v>2289</v>
      </c>
      <c r="C207" s="2315"/>
      <c r="D207" s="2041"/>
      <c r="E207" s="2145"/>
      <c r="F207" s="2145"/>
      <c r="G207" s="406"/>
      <c r="H207" s="401" t="s">
        <v>1650</v>
      </c>
      <c r="I207" s="345"/>
      <c r="J207" s="407"/>
      <c r="K207" s="187"/>
      <c r="L207" s="337"/>
      <c r="M207" s="330"/>
      <c r="N207" s="1670"/>
      <c r="O207" s="1670"/>
    </row>
    <row s="2876" customFormat="1" customHeight="1" ht="18.75" hidden="1">
      <c r="A208" s="1830" t="s">
        <v>354</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395</v>
      </c>
      <c r="L208" s="337"/>
      <c r="M208" s="330"/>
      <c r="N208" s="1670"/>
      <c r="O208" s="1670"/>
    </row>
    <row s="2876" customFormat="1" customHeight="1" ht="18.75" hidden="1">
      <c r="A209" s="1830"/>
      <c r="B209" s="369" t="s">
        <v>2289</v>
      </c>
      <c r="C209" s="2315"/>
      <c r="D209" s="2041"/>
      <c r="E209" s="2145"/>
      <c r="F209" s="2145"/>
      <c r="G209" s="406"/>
      <c r="H209" s="401" t="s">
        <v>1650</v>
      </c>
      <c r="I209" s="345"/>
      <c r="J209" s="407"/>
      <c r="K209" s="187"/>
      <c r="L209" s="337"/>
      <c r="M209" s="330"/>
      <c r="N209" s="1670"/>
      <c r="O209" s="1670"/>
    </row>
    <row s="2876" customFormat="1" customHeight="1" ht="18.75" hidden="1">
      <c r="A210" s="1830" t="s">
        <v>359</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395</v>
      </c>
      <c r="L210" s="337"/>
      <c r="M210" s="330"/>
      <c r="N210" s="1670"/>
      <c r="O210" s="1670"/>
    </row>
    <row s="2876" customFormat="1" customHeight="1" ht="18.75" hidden="1">
      <c r="A211" s="1830"/>
      <c r="B211" s="369" t="s">
        <v>2289</v>
      </c>
      <c r="C211" s="2315"/>
      <c r="D211" s="2041"/>
      <c r="E211" s="2145"/>
      <c r="F211" s="2145"/>
      <c r="G211" s="406"/>
      <c r="H211" s="401" t="s">
        <v>1650</v>
      </c>
      <c r="I211" s="345"/>
      <c r="J211" s="407"/>
      <c r="K211" s="187"/>
      <c r="L211" s="337"/>
      <c r="M211" s="330"/>
      <c r="N211" s="1670"/>
      <c r="O211" s="1670"/>
    </row>
    <row s="2876" customFormat="1" customHeight="1" ht="18.75" hidden="1">
      <c r="A212" s="1830" t="s">
        <v>364</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395</v>
      </c>
      <c r="L212" s="337"/>
      <c r="M212" s="330"/>
      <c r="N212" s="1670"/>
      <c r="O212" s="1670"/>
    </row>
    <row s="2876" customFormat="1" customHeight="1" ht="18.75" hidden="1">
      <c r="A213" s="1830"/>
      <c r="B213" s="369" t="s">
        <v>2289</v>
      </c>
      <c r="C213" s="2315"/>
      <c r="D213" s="2041"/>
      <c r="E213" s="2145"/>
      <c r="F213" s="2145"/>
      <c r="G213" s="406"/>
      <c r="H213" s="401" t="s">
        <v>1650</v>
      </c>
      <c r="I213" s="345"/>
      <c r="J213" s="407"/>
      <c r="K213" s="187"/>
      <c r="L213" s="337"/>
      <c r="M213" s="330"/>
      <c r="N213" s="1670"/>
      <c r="O213" s="1670"/>
    </row>
    <row s="409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5C4A8-D658-F7EC-3034-02FB11C39A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508" width="19.140625" hidden="1" customWidth="1"/>
    <col min="13" max="14" style="3617" width="12.28125" hidden="1" customWidth="1"/>
    <col min="15" max="15" style="3617" width="23.421875" hidden="1" customWidth="1"/>
    <col min="16" max="16" style="4518"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2290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2291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461">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57"/>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457"/>
      <c r="M19" s="1398"/>
      <c r="N19" s="1398"/>
      <c r="O19" s="1398"/>
      <c r="P19" s="1398"/>
      <c r="Q19" s="1407"/>
      <c r="R19" s="1407"/>
      <c r="S19" s="738"/>
      <c r="AB19" s="1402"/>
      <c r="AI19" s="1402"/>
      <c r="AL19" s="519"/>
      <c r="AM19" s="519"/>
      <c r="AN19" s="519"/>
      <c r="AO19" s="519"/>
      <c r="AP19" s="519"/>
    </row>
    <row s="2650" customFormat="1" customHeight="1" ht="12" hidden="1">
      <c r="L20" s="1457"/>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388" t="s">
        <v>2298</v>
      </c>
      <c r="W38" s="2195" t="s">
        <v>593</v>
      </c>
      <c r="X38" s="2196"/>
      <c r="Y38" s="2195" t="s">
        <v>594</v>
      </c>
      <c r="Z38" s="2202"/>
      <c r="AA38" s="2196"/>
      <c r="AB38" s="2211"/>
      <c r="AC38" s="1388" t="s">
        <v>2298</v>
      </c>
      <c r="AD38" s="2195" t="s">
        <v>593</v>
      </c>
      <c r="AE38" s="2196"/>
      <c r="AF38" s="2195" t="s">
        <v>594</v>
      </c>
      <c r="AG38" s="2202"/>
      <c r="AH38" s="2196"/>
      <c r="AI38" s="2211"/>
      <c r="AJ38" s="2214"/>
      <c r="AK38" s="1966"/>
    </row>
    <row customHeight="1" ht="33.7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388" t="s">
        <v>2301</v>
      </c>
      <c r="W39" s="1243" t="s">
        <v>2302</v>
      </c>
      <c r="X39" s="1243" t="s">
        <v>2303</v>
      </c>
      <c r="Y39" s="1393" t="s">
        <v>604</v>
      </c>
      <c r="Z39" s="2203" t="s">
        <v>605</v>
      </c>
      <c r="AA39" s="2204"/>
      <c r="AB39" s="2212"/>
      <c r="AC39" s="1388" t="s">
        <v>2301</v>
      </c>
      <c r="AD39" s="1243" t="s">
        <v>2302</v>
      </c>
      <c r="AE39" s="1243" t="s">
        <v>2303</v>
      </c>
      <c r="AF39" s="1393" t="s">
        <v>604</v>
      </c>
      <c r="AG39" s="2203" t="s">
        <v>605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315</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315</v>
      </c>
      <c r="B42" s="1399" t="s">
        <v>316</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315</v>
      </c>
      <c r="B43" s="1399" t="s">
        <v>316</v>
      </c>
      <c r="C43" s="1399" t="s">
        <v>317</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2290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2291</v>
      </c>
      <c r="AM43" s="508"/>
      <c r="AN43" s="508" t="str">
        <f>IF(T43="","",T43)</f>
        <v>Наименование централизованной системы холодного водоснабжения</v>
      </c>
      <c r="AO43" s="508"/>
      <c r="AP43" s="508"/>
    </row>
    <row customHeight="1" ht="23.25">
      <c r="A44" s="1399" t="s">
        <v>315</v>
      </c>
      <c r="B44" s="1399" t="s">
        <v>316</v>
      </c>
      <c r="C44" s="1399" t="s">
        <v>317</v>
      </c>
      <c r="D44" s="1399" t="s">
        <v>2304</v>
      </c>
      <c r="E44" s="2192"/>
      <c r="F44" s="2192"/>
      <c r="G44" s="2192"/>
      <c r="H44" s="2192"/>
      <c r="I44" s="2189" t="str">
        <f>S43&amp;".1"</f>
        <v>...1</v>
      </c>
      <c r="J44" s="1399"/>
      <c r="K44" s="1399"/>
      <c r="L44" s="1400"/>
      <c r="P44" s="2190">
        <v>1</v>
      </c>
      <c r="Q44" s="1390"/>
      <c r="R44" s="352"/>
      <c r="S44" s="1394"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315</v>
      </c>
      <c r="B45" s="1399" t="s">
        <v>316</v>
      </c>
      <c r="C45" s="1399" t="s">
        <v>317</v>
      </c>
      <c r="D45" s="1399" t="s">
        <v>2304</v>
      </c>
      <c r="E45" s="2192"/>
      <c r="F45" s="2192"/>
      <c r="G45" s="2192"/>
      <c r="H45" s="2192"/>
      <c r="I45" s="2219"/>
      <c r="J45" s="2189" t="str">
        <f>I44&amp;".1"</f>
        <v>...1.1</v>
      </c>
      <c r="K45" s="1399"/>
      <c r="L45" s="1400" t="s">
        <v>567</v>
      </c>
      <c r="P45" s="2190"/>
      <c r="Q45" s="2190">
        <v>1</v>
      </c>
      <c r="R45" s="353"/>
      <c r="S45" s="1394"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315</v>
      </c>
      <c r="B46" s="1399" t="s">
        <v>316</v>
      </c>
      <c r="C46" s="1399" t="s">
        <v>317</v>
      </c>
      <c r="D46" s="1399" t="s">
        <v>2304</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315</v>
      </c>
      <c r="B47" s="1399" t="s">
        <v>316</v>
      </c>
      <c r="C47" s="1399" t="s">
        <v>317</v>
      </c>
      <c r="D47" s="1399" t="s">
        <v>2304</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315</v>
      </c>
      <c r="B48" s="1399" t="s">
        <v>316</v>
      </c>
      <c r="C48" s="1399" t="s">
        <v>317</v>
      </c>
      <c r="D48" s="1399" t="s">
        <v>2304</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315</v>
      </c>
      <c r="B49" s="1399" t="s">
        <v>316</v>
      </c>
      <c r="C49" s="1399" t="s">
        <v>317</v>
      </c>
      <c r="D49" s="1399" t="s">
        <v>2304</v>
      </c>
      <c r="E49" s="2192"/>
      <c r="F49" s="2192"/>
      <c r="G49" s="2192"/>
      <c r="H49" s="2192"/>
      <c r="I49" s="2189"/>
      <c r="J49" s="1399"/>
      <c r="K49" s="1399"/>
      <c r="L49" s="1400"/>
      <c r="P49" s="2190"/>
      <c r="Q49" s="1390"/>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315</v>
      </c>
      <c r="B50" s="1399" t="s">
        <v>316</v>
      </c>
      <c r="C50" s="1399" t="s">
        <v>317</v>
      </c>
      <c r="D50" s="1399" t="s">
        <v>2304</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315</v>
      </c>
      <c r="B51" s="1379" t="s">
        <v>316</v>
      </c>
      <c r="C51" s="1350"/>
      <c r="D51" s="1350"/>
      <c r="E51" s="2192"/>
      <c r="F51" s="2191"/>
      <c r="G51" s="1350"/>
      <c r="H51" s="1350"/>
      <c r="I51" s="1350"/>
      <c r="J51" s="1350"/>
      <c r="K51" s="1350"/>
      <c r="L51" s="1462"/>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315</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2305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2306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D4B3B-8468-AA64-6B0F-F88AAFF687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524" width="19.140625" hidden="1" customWidth="1"/>
    <col min="13" max="14" style="3617" width="12.28125" hidden="1" customWidth="1"/>
    <col min="15" max="15" style="3617" width="23.421875" hidden="1" customWidth="1"/>
    <col min="16" max="16" style="452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2290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2291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493">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488" t="s">
        <v>2298</v>
      </c>
      <c r="W38" s="2195" t="s">
        <v>593</v>
      </c>
      <c r="X38" s="2196"/>
      <c r="Y38" s="2195" t="s">
        <v>594</v>
      </c>
      <c r="Z38" s="2202"/>
      <c r="AA38" s="2196"/>
      <c r="AB38" s="2211"/>
      <c r="AC38" s="1488" t="s">
        <v>2298</v>
      </c>
      <c r="AD38" s="2195" t="s">
        <v>593</v>
      </c>
      <c r="AE38" s="2196"/>
      <c r="AF38" s="2195" t="s">
        <v>594</v>
      </c>
      <c r="AG38" s="2202"/>
      <c r="AH38" s="2196"/>
      <c r="AI38" s="2211"/>
      <c r="AJ38" s="2214"/>
      <c r="AK38" s="1966"/>
    </row>
    <row customHeight="1" ht="33.7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488" t="s">
        <v>2301</v>
      </c>
      <c r="W39" s="1243" t="s">
        <v>2302</v>
      </c>
      <c r="X39" s="1243" t="s">
        <v>2303</v>
      </c>
      <c r="Y39" s="1491" t="s">
        <v>604</v>
      </c>
      <c r="Z39" s="2203" t="s">
        <v>605</v>
      </c>
      <c r="AA39" s="2204"/>
      <c r="AB39" s="2212"/>
      <c r="AC39" s="1488" t="s">
        <v>2301</v>
      </c>
      <c r="AD39" s="1243" t="s">
        <v>2302</v>
      </c>
      <c r="AE39" s="1243" t="s">
        <v>2303</v>
      </c>
      <c r="AF39" s="1491" t="s">
        <v>604</v>
      </c>
      <c r="AG39" s="2203" t="s">
        <v>605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320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320</v>
      </c>
      <c r="B42" s="1399" t="s">
        <v>321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320</v>
      </c>
      <c r="B43" s="1399" t="s">
        <v>321</v>
      </c>
      <c r="C43" s="1399" t="s">
        <v>322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2290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2291</v>
      </c>
      <c r="AM43" s="508"/>
      <c r="AN43" s="508" t="str">
        <f>IF(T43="","",T43)</f>
        <v>Наименование централизованной системы холодного водоснабжения</v>
      </c>
      <c r="AO43" s="508"/>
      <c r="AP43" s="508"/>
    </row>
    <row customHeight="1" ht="23.25">
      <c r="A44" s="1399" t="s">
        <v>320</v>
      </c>
      <c r="B44" s="1399" t="s">
        <v>321</v>
      </c>
      <c r="C44" s="1399" t="s">
        <v>322</v>
      </c>
      <c r="D44" s="1399" t="s">
        <v>2307</v>
      </c>
      <c r="E44" s="2192"/>
      <c r="F44" s="2192"/>
      <c r="G44" s="2192"/>
      <c r="H44" s="2192"/>
      <c r="I44" s="2189" t="str">
        <f>S43&amp;".1"</f>
        <v>...1</v>
      </c>
      <c r="J44" s="1399"/>
      <c r="K44" s="1399"/>
      <c r="L44" s="1400"/>
      <c r="P44" s="2190">
        <v>1</v>
      </c>
      <c r="Q44" s="1486"/>
      <c r="R44" s="352"/>
      <c r="S44" s="1493"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320</v>
      </c>
      <c r="B45" s="1399" t="s">
        <v>321</v>
      </c>
      <c r="C45" s="1399" t="s">
        <v>322</v>
      </c>
      <c r="D45" s="1399" t="s">
        <v>2307</v>
      </c>
      <c r="E45" s="2192"/>
      <c r="F45" s="2192"/>
      <c r="G45" s="2192"/>
      <c r="H45" s="2192"/>
      <c r="I45" s="2219"/>
      <c r="J45" s="2189" t="str">
        <f>I44&amp;".1"</f>
        <v>...1.1</v>
      </c>
      <c r="K45" s="1399"/>
      <c r="L45" s="1400" t="s">
        <v>567</v>
      </c>
      <c r="P45" s="2190"/>
      <c r="Q45" s="2190">
        <v>1</v>
      </c>
      <c r="R45" s="353"/>
      <c r="S45" s="1493"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320</v>
      </c>
      <c r="B46" s="1399" t="s">
        <v>321</v>
      </c>
      <c r="C46" s="1399" t="s">
        <v>322</v>
      </c>
      <c r="D46" s="1399" t="s">
        <v>2307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320</v>
      </c>
      <c r="B47" s="1399" t="s">
        <v>321</v>
      </c>
      <c r="C47" s="1399" t="s">
        <v>322</v>
      </c>
      <c r="D47" s="1399" t="s">
        <v>2307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320</v>
      </c>
      <c r="B48" s="1399" t="s">
        <v>321</v>
      </c>
      <c r="C48" s="1399" t="s">
        <v>322</v>
      </c>
      <c r="D48" s="1399" t="s">
        <v>2307</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320</v>
      </c>
      <c r="B49" s="1399" t="s">
        <v>321</v>
      </c>
      <c r="C49" s="1399" t="s">
        <v>322</v>
      </c>
      <c r="D49" s="1399" t="s">
        <v>2307</v>
      </c>
      <c r="E49" s="2192"/>
      <c r="F49" s="2192"/>
      <c r="G49" s="2192"/>
      <c r="H49" s="2192"/>
      <c r="I49" s="2189"/>
      <c r="J49" s="1399"/>
      <c r="K49" s="1399"/>
      <c r="L49" s="1400"/>
      <c r="P49" s="2190"/>
      <c r="Q49" s="1486"/>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320</v>
      </c>
      <c r="B50" s="1399" t="s">
        <v>321</v>
      </c>
      <c r="C50" s="1399" t="s">
        <v>322</v>
      </c>
      <c r="D50" s="1399" t="s">
        <v>2307</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320</v>
      </c>
      <c r="B51" s="1379" t="s">
        <v>321</v>
      </c>
      <c r="C51" s="1350"/>
      <c r="D51" s="1350"/>
      <c r="E51" s="2192"/>
      <c r="F51" s="2191"/>
      <c r="G51" s="1350"/>
      <c r="H51" s="1350"/>
      <c r="I51" s="1350"/>
      <c r="J51" s="1350"/>
      <c r="K51" s="1350"/>
      <c r="L51" s="1494"/>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320</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2305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2306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3A77-F50B-5CD8-CF93-F1F2710756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524" width="19.140625" hidden="1" customWidth="1"/>
    <col min="13" max="14" style="3617" width="12.28125" hidden="1" customWidth="1"/>
    <col min="15" max="15" style="3617" width="23.421875" hidden="1" customWidth="1"/>
    <col min="16" max="16" style="452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2290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2291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493">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488" t="s">
        <v>2298</v>
      </c>
      <c r="W38" s="2195" t="s">
        <v>593</v>
      </c>
      <c r="X38" s="2196"/>
      <c r="Y38" s="2195" t="s">
        <v>594</v>
      </c>
      <c r="Z38" s="2202"/>
      <c r="AA38" s="2196"/>
      <c r="AB38" s="2211"/>
      <c r="AC38" s="1488" t="s">
        <v>2298</v>
      </c>
      <c r="AD38" s="2195" t="s">
        <v>593</v>
      </c>
      <c r="AE38" s="2196"/>
      <c r="AF38" s="2195" t="s">
        <v>594</v>
      </c>
      <c r="AG38" s="2202"/>
      <c r="AH38" s="2196"/>
      <c r="AI38" s="2211"/>
      <c r="AJ38" s="2214"/>
      <c r="AK38" s="1966"/>
    </row>
    <row customHeight="1" ht="33.7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488" t="s">
        <v>2301</v>
      </c>
      <c r="W39" s="1243" t="s">
        <v>2302</v>
      </c>
      <c r="X39" s="1243" t="s">
        <v>2303</v>
      </c>
      <c r="Y39" s="1491" t="s">
        <v>604</v>
      </c>
      <c r="Z39" s="2203" t="s">
        <v>605</v>
      </c>
      <c r="AA39" s="2204"/>
      <c r="AB39" s="2212"/>
      <c r="AC39" s="1488" t="s">
        <v>2301</v>
      </c>
      <c r="AD39" s="1243" t="s">
        <v>2302</v>
      </c>
      <c r="AE39" s="1243" t="s">
        <v>2303</v>
      </c>
      <c r="AF39" s="1491" t="s">
        <v>604</v>
      </c>
      <c r="AG39" s="2203" t="s">
        <v>605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325</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325</v>
      </c>
      <c r="B42" s="1399" t="s">
        <v>326</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325</v>
      </c>
      <c r="B43" s="1399" t="s">
        <v>326</v>
      </c>
      <c r="C43" s="1399" t="s">
        <v>327</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2290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2291</v>
      </c>
      <c r="AM43" s="508"/>
      <c r="AN43" s="508" t="str">
        <f>IF(T43="","",T43)</f>
        <v>Наименование централизованной системы холодного водоснабжения</v>
      </c>
      <c r="AO43" s="508"/>
      <c r="AP43" s="508"/>
    </row>
    <row customHeight="1" ht="23.25">
      <c r="A44" s="1399" t="s">
        <v>325</v>
      </c>
      <c r="B44" s="1399" t="s">
        <v>326</v>
      </c>
      <c r="C44" s="1399" t="s">
        <v>327</v>
      </c>
      <c r="D44" s="1399" t="s">
        <v>2308</v>
      </c>
      <c r="E44" s="2192"/>
      <c r="F44" s="2192"/>
      <c r="G44" s="2192"/>
      <c r="H44" s="2192"/>
      <c r="I44" s="2189" t="str">
        <f>S43&amp;".1"</f>
        <v>...1</v>
      </c>
      <c r="J44" s="1399"/>
      <c r="K44" s="1399"/>
      <c r="L44" s="1400"/>
      <c r="P44" s="2190">
        <v>1</v>
      </c>
      <c r="Q44" s="1486"/>
      <c r="R44" s="352"/>
      <c r="S44" s="1493"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325</v>
      </c>
      <c r="B45" s="1399" t="s">
        <v>326</v>
      </c>
      <c r="C45" s="1399" t="s">
        <v>327</v>
      </c>
      <c r="D45" s="1399" t="s">
        <v>2308</v>
      </c>
      <c r="E45" s="2192"/>
      <c r="F45" s="2192"/>
      <c r="G45" s="2192"/>
      <c r="H45" s="2192"/>
      <c r="I45" s="2219"/>
      <c r="J45" s="2189" t="str">
        <f>I44&amp;".1"</f>
        <v>...1.1</v>
      </c>
      <c r="K45" s="1399"/>
      <c r="L45" s="1400" t="s">
        <v>567</v>
      </c>
      <c r="P45" s="2190"/>
      <c r="Q45" s="2190">
        <v>1</v>
      </c>
      <c r="R45" s="353"/>
      <c r="S45" s="1493"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325</v>
      </c>
      <c r="B46" s="1399" t="s">
        <v>326</v>
      </c>
      <c r="C46" s="1399" t="s">
        <v>327</v>
      </c>
      <c r="D46" s="1399" t="s">
        <v>2308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325</v>
      </c>
      <c r="B47" s="1399" t="s">
        <v>326</v>
      </c>
      <c r="C47" s="1399" t="s">
        <v>327</v>
      </c>
      <c r="D47" s="1399" t="s">
        <v>2308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325</v>
      </c>
      <c r="B48" s="1399" t="s">
        <v>326</v>
      </c>
      <c r="C48" s="1399" t="s">
        <v>327</v>
      </c>
      <c r="D48" s="1399" t="s">
        <v>2308</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325</v>
      </c>
      <c r="B49" s="1399" t="s">
        <v>326</v>
      </c>
      <c r="C49" s="1399" t="s">
        <v>327</v>
      </c>
      <c r="D49" s="1399" t="s">
        <v>2308</v>
      </c>
      <c r="E49" s="2192"/>
      <c r="F49" s="2192"/>
      <c r="G49" s="2192"/>
      <c r="H49" s="2192"/>
      <c r="I49" s="2189"/>
      <c r="J49" s="1399"/>
      <c r="K49" s="1399"/>
      <c r="L49" s="1400"/>
      <c r="P49" s="2190"/>
      <c r="Q49" s="1486"/>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325</v>
      </c>
      <c r="B50" s="1399" t="s">
        <v>326</v>
      </c>
      <c r="C50" s="1399" t="s">
        <v>327</v>
      </c>
      <c r="D50" s="1399" t="s">
        <v>2308</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325</v>
      </c>
      <c r="B51" s="1379" t="s">
        <v>326</v>
      </c>
      <c r="C51" s="1350"/>
      <c r="D51" s="1350"/>
      <c r="E51" s="2192"/>
      <c r="F51" s="2191"/>
      <c r="G51" s="1350"/>
      <c r="H51" s="1350"/>
      <c r="I51" s="1350"/>
      <c r="J51" s="1350"/>
      <c r="K51" s="1350"/>
      <c r="L51" s="1494"/>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325</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2305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2306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F4494-879C-EA23-762F-1371B8C85F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524" width="19.140625" hidden="1" customWidth="1"/>
    <col min="13" max="14" style="3617" width="12.28125" hidden="1" customWidth="1"/>
    <col min="15" max="15" style="3617" width="23.421875" hidden="1" customWidth="1"/>
    <col min="16" max="16" style="452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2290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2291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493">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488" t="s">
        <v>2298</v>
      </c>
      <c r="W38" s="2195" t="s">
        <v>593</v>
      </c>
      <c r="X38" s="2196"/>
      <c r="Y38" s="2195" t="s">
        <v>594</v>
      </c>
      <c r="Z38" s="2202"/>
      <c r="AA38" s="2196"/>
      <c r="AB38" s="2211"/>
      <c r="AC38" s="1488" t="s">
        <v>2298</v>
      </c>
      <c r="AD38" s="2195" t="s">
        <v>593</v>
      </c>
      <c r="AE38" s="2196"/>
      <c r="AF38" s="2195" t="s">
        <v>594</v>
      </c>
      <c r="AG38" s="2202"/>
      <c r="AH38" s="2196"/>
      <c r="AI38" s="2211"/>
      <c r="AJ38" s="2214"/>
      <c r="AK38" s="1966"/>
    </row>
    <row customHeight="1" ht="33.7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488" t="s">
        <v>2301</v>
      </c>
      <c r="W39" s="1243" t="s">
        <v>2302</v>
      </c>
      <c r="X39" s="1243" t="s">
        <v>2303</v>
      </c>
      <c r="Y39" s="1491" t="s">
        <v>604</v>
      </c>
      <c r="Z39" s="2203" t="s">
        <v>605</v>
      </c>
      <c r="AA39" s="2204"/>
      <c r="AB39" s="2212"/>
      <c r="AC39" s="1488" t="s">
        <v>2301</v>
      </c>
      <c r="AD39" s="1243" t="s">
        <v>2302</v>
      </c>
      <c r="AE39" s="1243" t="s">
        <v>2303</v>
      </c>
      <c r="AF39" s="1491" t="s">
        <v>604</v>
      </c>
      <c r="AG39" s="2203" t="s">
        <v>605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330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330</v>
      </c>
      <c r="B42" s="1399" t="s">
        <v>331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330</v>
      </c>
      <c r="B43" s="1399" t="s">
        <v>331</v>
      </c>
      <c r="C43" s="1399" t="s">
        <v>332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2290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2291</v>
      </c>
      <c r="AM43" s="508"/>
      <c r="AN43" s="508" t="str">
        <f>IF(T43="","",T43)</f>
        <v>Наименование централизованной системы холодного водоснабжения</v>
      </c>
      <c r="AO43" s="508"/>
      <c r="AP43" s="508"/>
    </row>
    <row customHeight="1" ht="23.25">
      <c r="A44" s="1399" t="s">
        <v>330</v>
      </c>
      <c r="B44" s="1399" t="s">
        <v>331</v>
      </c>
      <c r="C44" s="1399" t="s">
        <v>332</v>
      </c>
      <c r="D44" s="1399" t="s">
        <v>2309</v>
      </c>
      <c r="E44" s="2192"/>
      <c r="F44" s="2192"/>
      <c r="G44" s="2192"/>
      <c r="H44" s="2192"/>
      <c r="I44" s="2189" t="str">
        <f>S43&amp;".1"</f>
        <v>...1</v>
      </c>
      <c r="J44" s="1399"/>
      <c r="K44" s="1399"/>
      <c r="L44" s="1400"/>
      <c r="P44" s="2190">
        <v>1</v>
      </c>
      <c r="Q44" s="1486"/>
      <c r="R44" s="352"/>
      <c r="S44" s="1493"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330</v>
      </c>
      <c r="B45" s="1399" t="s">
        <v>331</v>
      </c>
      <c r="C45" s="1399" t="s">
        <v>332</v>
      </c>
      <c r="D45" s="1399" t="s">
        <v>2309</v>
      </c>
      <c r="E45" s="2192"/>
      <c r="F45" s="2192"/>
      <c r="G45" s="2192"/>
      <c r="H45" s="2192"/>
      <c r="I45" s="2219"/>
      <c r="J45" s="2189" t="str">
        <f>I44&amp;".1"</f>
        <v>...1.1</v>
      </c>
      <c r="K45" s="1399"/>
      <c r="L45" s="1400" t="s">
        <v>567</v>
      </c>
      <c r="P45" s="2190"/>
      <c r="Q45" s="2190">
        <v>1</v>
      </c>
      <c r="R45" s="353"/>
      <c r="S45" s="1493"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330</v>
      </c>
      <c r="B46" s="1399" t="s">
        <v>331</v>
      </c>
      <c r="C46" s="1399" t="s">
        <v>332</v>
      </c>
      <c r="D46" s="1399" t="s">
        <v>2309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330</v>
      </c>
      <c r="B47" s="1399" t="s">
        <v>331</v>
      </c>
      <c r="C47" s="1399" t="s">
        <v>332</v>
      </c>
      <c r="D47" s="1399" t="s">
        <v>2309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330</v>
      </c>
      <c r="B48" s="1399" t="s">
        <v>331</v>
      </c>
      <c r="C48" s="1399" t="s">
        <v>332</v>
      </c>
      <c r="D48" s="1399" t="s">
        <v>2309</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330</v>
      </c>
      <c r="B49" s="1399" t="s">
        <v>331</v>
      </c>
      <c r="C49" s="1399" t="s">
        <v>332</v>
      </c>
      <c r="D49" s="1399" t="s">
        <v>2309</v>
      </c>
      <c r="E49" s="2192"/>
      <c r="F49" s="2192"/>
      <c r="G49" s="2192"/>
      <c r="H49" s="2192"/>
      <c r="I49" s="2189"/>
      <c r="J49" s="1399"/>
      <c r="K49" s="1399"/>
      <c r="L49" s="1400"/>
      <c r="P49" s="2190"/>
      <c r="Q49" s="1486"/>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330</v>
      </c>
      <c r="B50" s="1399" t="s">
        <v>331</v>
      </c>
      <c r="C50" s="1399" t="s">
        <v>332</v>
      </c>
      <c r="D50" s="1399" t="s">
        <v>2309</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330</v>
      </c>
      <c r="B51" s="1379" t="s">
        <v>331</v>
      </c>
      <c r="C51" s="1350"/>
      <c r="D51" s="1350"/>
      <c r="E51" s="2192"/>
      <c r="F51" s="2191"/>
      <c r="G51" s="1350"/>
      <c r="H51" s="1350"/>
      <c r="I51" s="1350"/>
      <c r="J51" s="1350"/>
      <c r="K51" s="1350"/>
      <c r="L51" s="1494"/>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330</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2305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2306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14989-FE12-2715-31B2-3952D004C5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551"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7" width="32.00390625" customWidth="1"/>
    <col min="21" max="21" style="2867" width="0.140625" customWidth="1"/>
    <col min="22" max="25" style="2867" width="21.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2" style="2867" width="3.7109375" customWidth="1"/>
    <col min="33" max="33" style="2867" width="24.7109375" customWidth="1"/>
    <col min="34" max="36" style="2867" width="3.7109375" customWidth="1"/>
    <col min="37" max="37" style="2867" width="24.7109375" customWidth="1"/>
    <col min="38" max="40" style="2867" width="3.7109375" customWidth="1"/>
    <col min="41" max="41" style="2867" width="18.8515625" customWidth="1"/>
    <col min="42" max="44" style="2867" width="3.7109375" customWidth="1"/>
    <col min="45" max="45" style="2867" width="18.8515625" customWidth="1"/>
    <col min="46" max="49" style="2867" width="21.7109375" customWidth="1"/>
    <col min="50" max="50" style="2867" width="11.7109375" customWidth="1"/>
    <col min="51" max="51" style="2867" width="3.7109375" customWidth="1"/>
    <col min="52" max="52" style="2867" width="11.7109375" customWidth="1"/>
    <col min="53" max="53" style="2867" width="8.57421875" hidden="1" customWidth="1"/>
    <col min="54" max="54" style="2867" width="4.7109375" customWidth="1"/>
    <col min="55" max="55" style="2867"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232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558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2290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2291</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564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2310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2311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2312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2313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2314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532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533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575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576</v>
      </c>
      <c r="P24" s="1544"/>
      <c r="Q24" s="1546"/>
      <c r="R24" s="1546"/>
      <c r="AA24" s="1543" t="s">
        <v>578</v>
      </c>
      <c r="AC24" s="1543" t="s">
        <v>579</v>
      </c>
      <c r="AD24" s="1543" t="s">
        <v>639</v>
      </c>
      <c r="AH24" s="1543" t="s">
        <v>639</v>
      </c>
      <c r="AK24" s="1543" t="s">
        <v>2315</v>
      </c>
      <c r="AL24" s="1543" t="s">
        <v>639</v>
      </c>
      <c r="AP24" s="1543" t="s">
        <v>639</v>
      </c>
      <c r="AY24" s="1543" t="s">
        <v>578</v>
      </c>
      <c r="BA24" s="1543" t="s">
        <v>579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ГУП СК "Ставрополькрайводоканал"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581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582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581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582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390</v>
      </c>
    </row>
    <row customHeight="1" ht="14.25">
      <c r="Q41" s="279"/>
      <c r="R41" s="377"/>
      <c r="S41" s="2206" t="s">
        <v>88</v>
      </c>
      <c r="T41" s="2047" t="s">
        <v>2316</v>
      </c>
      <c r="U41" s="289"/>
      <c r="V41" s="2207" t="s">
        <v>587</v>
      </c>
      <c r="W41" s="2208"/>
      <c r="X41" s="2208"/>
      <c r="Y41" s="2208"/>
      <c r="Z41" s="2208"/>
      <c r="AA41" s="2208"/>
      <c r="AB41" s="2209"/>
      <c r="AC41" s="2210" t="s">
        <v>588</v>
      </c>
      <c r="AD41" s="2253" t="s">
        <v>2317</v>
      </c>
      <c r="AE41" s="2222"/>
      <c r="AF41" s="2222"/>
      <c r="AG41" s="2254"/>
      <c r="AH41" s="2253" t="s">
        <v>2318</v>
      </c>
      <c r="AI41" s="2222"/>
      <c r="AJ41" s="2222"/>
      <c r="AK41" s="2254"/>
      <c r="AL41" s="2253" t="s">
        <v>2319</v>
      </c>
      <c r="AM41" s="2222"/>
      <c r="AN41" s="2222"/>
      <c r="AO41" s="2254"/>
      <c r="AP41" s="2253" t="s">
        <v>2320</v>
      </c>
      <c r="AQ41" s="2222"/>
      <c r="AR41" s="2222"/>
      <c r="AS41" s="2254"/>
      <c r="AT41" s="2207" t="s">
        <v>587</v>
      </c>
      <c r="AU41" s="2208"/>
      <c r="AV41" s="2208"/>
      <c r="AW41" s="2208"/>
      <c r="AX41" s="2208"/>
      <c r="AY41" s="2208"/>
      <c r="AZ41" s="2209"/>
      <c r="BA41" s="2210" t="s">
        <v>588</v>
      </c>
      <c r="BB41" s="2213" t="s">
        <v>590</v>
      </c>
      <c r="BC41" s="1966"/>
    </row>
    <row customHeight="1" ht="33.75">
      <c r="Q42" s="279"/>
      <c r="R42" s="377"/>
      <c r="S42" s="2206"/>
      <c r="T42" s="2047"/>
      <c r="U42" s="1044"/>
      <c r="V42" s="2029" t="s">
        <v>2321</v>
      </c>
      <c r="W42" s="2030"/>
      <c r="X42" s="2029" t="s">
        <v>2322</v>
      </c>
      <c r="Y42" s="2030"/>
      <c r="Z42" s="2225" t="s">
        <v>2323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2321</v>
      </c>
      <c r="AU42" s="2030"/>
      <c r="AV42" s="2029" t="s">
        <v>2322</v>
      </c>
      <c r="AW42" s="2030"/>
      <c r="AX42" s="2225" t="s">
        <v>2323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244</v>
      </c>
      <c r="C44" s="1406" t="s">
        <v>245</v>
      </c>
      <c r="D44" s="1406" t="s">
        <v>246</v>
      </c>
      <c r="E44" s="1400" t="s">
        <v>595</v>
      </c>
      <c r="F44" s="1400" t="s">
        <v>596</v>
      </c>
      <c r="G44" s="1400" t="s">
        <v>597</v>
      </c>
      <c r="H44" s="1400" t="s">
        <v>598</v>
      </c>
      <c r="I44" s="1400" t="s">
        <v>599</v>
      </c>
      <c r="J44" s="1400" t="s">
        <v>600</v>
      </c>
      <c r="K44" s="1400" t="s">
        <v>601</v>
      </c>
      <c r="L44" s="1400" t="s">
        <v>576</v>
      </c>
      <c r="Q44" s="279"/>
      <c r="R44" s="377"/>
      <c r="S44" s="2206"/>
      <c r="T44" s="2047"/>
      <c r="U44" s="290"/>
      <c r="V44" s="1484" t="s">
        <v>649</v>
      </c>
      <c r="W44" s="1484" t="s">
        <v>650</v>
      </c>
      <c r="X44" s="1484" t="s">
        <v>649</v>
      </c>
      <c r="Y44" s="1484" t="s">
        <v>650</v>
      </c>
      <c r="Z44" s="1491" t="s">
        <v>604</v>
      </c>
      <c r="AA44" s="2203" t="s">
        <v>605</v>
      </c>
      <c r="AB44" s="2204"/>
      <c r="AC44" s="2212"/>
      <c r="AD44" s="2258"/>
      <c r="AE44" s="2259"/>
      <c r="AF44" s="2259"/>
      <c r="AG44" s="2260"/>
      <c r="AH44" s="2258"/>
      <c r="AI44" s="2259"/>
      <c r="AJ44" s="2259"/>
      <c r="AK44" s="2260"/>
      <c r="AL44" s="2258"/>
      <c r="AM44" s="2259"/>
      <c r="AN44" s="2259"/>
      <c r="AO44" s="2260"/>
      <c r="AP44" s="2258"/>
      <c r="AQ44" s="2259"/>
      <c r="AR44" s="2259"/>
      <c r="AS44" s="2260"/>
      <c r="AT44" s="1484" t="s">
        <v>649</v>
      </c>
      <c r="AU44" s="1484" t="s">
        <v>650</v>
      </c>
      <c r="AV44" s="1484" t="s">
        <v>649</v>
      </c>
      <c r="AW44" s="1484" t="s">
        <v>650</v>
      </c>
      <c r="AX44" s="1491" t="s">
        <v>604</v>
      </c>
      <c r="AY44" s="2203" t="s">
        <v>605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159</v>
      </c>
      <c r="T45" s="1287" t="s">
        <v>102</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335</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232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335</v>
      </c>
      <c r="B47" s="1399" t="s">
        <v>336</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558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559</v>
      </c>
      <c r="BE47" s="508"/>
      <c r="BF47" s="508" t="str">
        <f>IF(T47="","",T47)</f>
        <v>Территория действия тарифа</v>
      </c>
      <c r="BG47" s="508"/>
      <c r="BH47" s="508"/>
    </row>
    <row customHeight="1" ht="42">
      <c r="A48" s="1399" t="s">
        <v>335</v>
      </c>
      <c r="B48" s="1399" t="s">
        <v>336</v>
      </c>
      <c r="C48" s="1399" t="s">
        <v>337</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2290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2291</v>
      </c>
      <c r="BE48" s="508"/>
      <c r="BF48" s="508" t="str">
        <f>IF(T48="","",T48)</f>
        <v>Наименование централизованной системы холодного водоснабжения</v>
      </c>
      <c r="BG48" s="508"/>
      <c r="BH48" s="508"/>
    </row>
    <row s="2586" customFormat="1" customHeight="1" ht="0">
      <c r="A49" s="1379" t="s">
        <v>335</v>
      </c>
      <c r="B49" s="1379" t="s">
        <v>336</v>
      </c>
      <c r="C49" s="1379" t="s">
        <v>337</v>
      </c>
      <c r="D49" s="1379" t="s">
        <v>2324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563</v>
      </c>
      <c r="BE49" s="508"/>
      <c r="BF49" s="508" t="str">
        <f>IF(T49="","",T49)</f>
        <v/>
      </c>
      <c r="BG49" s="508"/>
      <c r="BH49" s="508"/>
    </row>
    <row s="2586" customFormat="1" customHeight="1" ht="0">
      <c r="A50" s="1379" t="s">
        <v>335</v>
      </c>
      <c r="B50" s="1379" t="s">
        <v>336</v>
      </c>
      <c r="C50" s="1379" t="s">
        <v>337</v>
      </c>
      <c r="D50" s="1379" t="s">
        <v>2324</v>
      </c>
      <c r="E50" s="2192"/>
      <c r="F50" s="2192"/>
      <c r="G50" s="2192"/>
      <c r="H50" s="2192"/>
      <c r="I50" s="2189" t="str">
        <f>S49&amp;".1"</f>
        <v>.1</v>
      </c>
      <c r="J50" s="1379"/>
      <c r="K50" s="1379"/>
      <c r="L50" s="1382" t="s">
        <v>564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335</v>
      </c>
      <c r="B51" s="1379" t="s">
        <v>336</v>
      </c>
      <c r="C51" s="1379" t="s">
        <v>337</v>
      </c>
      <c r="D51" s="1379" t="s">
        <v>2324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335</v>
      </c>
      <c r="B52" s="1399" t="s">
        <v>336</v>
      </c>
      <c r="C52" s="1399" t="s">
        <v>337</v>
      </c>
      <c r="D52" s="1399" t="s">
        <v>2324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2310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2311</v>
      </c>
      <c r="AT53" s="1429"/>
      <c r="AU53" s="1532"/>
      <c r="AV53" s="1429"/>
      <c r="AW53" s="1532"/>
      <c r="AX53" s="1429"/>
      <c r="AY53" s="1429"/>
      <c r="AZ53" s="1429"/>
      <c r="BA53" s="1429"/>
      <c r="BB53" s="1433"/>
      <c r="BC53" s="2187"/>
      <c r="BE53" s="508"/>
      <c r="BF53" s="508"/>
      <c r="BG53" s="508"/>
      <c r="BH53" s="508"/>
    </row>
    <row customHeight="1" ht="11.25">
      <c r="A54" s="1399" t="s">
        <v>335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2312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335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2313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335</v>
      </c>
      <c r="B56" s="1399" t="s">
        <v>336</v>
      </c>
      <c r="C56" s="1399" t="s">
        <v>337</v>
      </c>
      <c r="D56" s="1399" t="s">
        <v>2324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2314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335</v>
      </c>
      <c r="B57" s="1399" t="s">
        <v>336</v>
      </c>
      <c r="C57" s="1399" t="s">
        <v>337</v>
      </c>
      <c r="D57" s="1399" t="s">
        <v>2324</v>
      </c>
      <c r="E57" s="2192"/>
      <c r="F57" s="2192"/>
      <c r="G57" s="2192"/>
      <c r="H57" s="2192"/>
      <c r="I57" s="2219"/>
      <c r="J57" s="2189"/>
      <c r="K57" s="1399"/>
      <c r="L57" s="1400"/>
      <c r="P57" s="2190"/>
      <c r="Q57" s="2190"/>
      <c r="R57" s="352"/>
      <c r="S57" s="1314"/>
      <c r="T57" s="275" t="s">
        <v>638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335</v>
      </c>
      <c r="B58" s="1379" t="s">
        <v>336</v>
      </c>
      <c r="C58" s="1379" t="s">
        <v>337</v>
      </c>
      <c r="D58" s="1379" t="s">
        <v>2324</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335</v>
      </c>
      <c r="B59" s="1379" t="s">
        <v>336</v>
      </c>
      <c r="C59" s="1379" t="s">
        <v>337</v>
      </c>
      <c r="D59" s="1379" t="s">
        <v>2324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335</v>
      </c>
      <c r="B60" s="1379" t="s">
        <v>336</v>
      </c>
      <c r="C60" s="1379" t="s">
        <v>337</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335</v>
      </c>
      <c r="B61" s="1379" t="s">
        <v>336</v>
      </c>
      <c r="C61" s="1350"/>
      <c r="D61" s="1350"/>
      <c r="E61" s="2192"/>
      <c r="F61" s="2191"/>
      <c r="G61" s="1350"/>
      <c r="H61" s="1350"/>
      <c r="I61" s="1350"/>
      <c r="J61" s="1350"/>
      <c r="K61" s="1350"/>
      <c r="L61" s="1500"/>
      <c r="M61" s="1357"/>
      <c r="N61" s="1357"/>
      <c r="P61" s="1352"/>
      <c r="Q61" s="1353"/>
      <c r="R61" s="1352"/>
      <c r="S61" s="1358"/>
      <c r="T61" s="1361" t="s">
        <v>532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335</v>
      </c>
      <c r="B62" s="1379"/>
      <c r="C62" s="1379"/>
      <c r="D62" s="1379"/>
      <c r="E62" s="2191"/>
      <c r="F62" s="1379"/>
      <c r="G62" s="1379"/>
      <c r="H62" s="1379"/>
      <c r="I62" s="1379"/>
      <c r="J62" s="1379"/>
      <c r="K62" s="1379"/>
      <c r="L62" s="1382"/>
      <c r="M62" s="1357"/>
      <c r="N62" s="1357"/>
      <c r="O62" s="526"/>
      <c r="P62" s="385"/>
      <c r="Q62" s="1380"/>
      <c r="R62" s="385"/>
      <c r="S62" s="1358"/>
      <c r="T62" s="1361" t="s">
        <v>533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534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606</v>
      </c>
      <c r="T65" s="2218" t="s">
        <v>2325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606</v>
      </c>
      <c r="T67" s="2218" t="s">
        <v>2326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35BD-E65C-803C-26FE-0CF0F156A90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565" width="10.7109375" hidden="1" customWidth="1"/>
    <col min="2" max="2" style="2650" width="16.8515625" hidden="1" customWidth="1"/>
    <col min="3" max="3" style="2654" width="5.57421875" hidden="1" customWidth="1"/>
    <col min="4" max="4" style="4652" width="3.7109375" customWidth="1"/>
    <col min="5" max="5" style="2876" width="7.7109375" customWidth="1"/>
    <col min="6" max="6" style="2876" width="54.57421875" customWidth="1"/>
    <col min="7" max="7" style="2876" width="10.421875" customWidth="1"/>
    <col min="8" max="8" style="2876" width="40.7109375" hidden="1" customWidth="1"/>
    <col min="9" max="9" style="2876" width="40.7109375" customWidth="1"/>
    <col min="10" max="10" style="2876" width="102.8515625" customWidth="1"/>
    <col min="11" max="11" style="2650" width="9.7109375" customWidth="1"/>
    <col min="12" max="12" style="2654" width="5.28125" customWidth="1"/>
    <col min="13" max="13" style="2654" width="3.7109375" customWidth="1"/>
    <col min="14" max="17" style="2650" width="3.7109375" customWidth="1"/>
    <col min="18" max="18" style="2654" width="10.57421875" customWidth="1"/>
    <col min="19" max="19" style="2650" width="34.7109375" customWidth="1"/>
    <col min="20" max="20" style="2650" width="9.421875" customWidth="1"/>
    <col min="21" max="21" style="4569" width="9.140625"/>
    <col min="22" max="26" style="2650" width="9.140625"/>
    <col min="27" max="31" style="2875" width="9.140625"/>
  </cols>
  <sheetData>
    <row customHeight="1" ht="11.25" hidden="1"/>
    <row customHeight="1" ht="23.25" hidden="1">
      <c r="B2" s="1938"/>
      <c r="C2" s="1181" t="s">
        <v>2327</v>
      </c>
      <c r="D2" s="1684"/>
      <c r="E2" s="554">
        <f>B2</f>
        <v>0</v>
      </c>
      <c r="F2" s="555"/>
      <c r="G2" s="1692" t="s">
        <v>526</v>
      </c>
      <c r="H2" s="1692" t="s">
        <v>526</v>
      </c>
      <c r="I2" s="1692" t="s">
        <v>526</v>
      </c>
      <c r="J2" s="277" t="s">
        <v>2328</v>
      </c>
      <c r="K2" s="551"/>
    </row>
    <row s="2654" customFormat="1" customHeight="1" ht="0.75" hidden="1">
      <c r="B3" s="1938"/>
      <c r="C3" s="1181"/>
      <c r="D3" s="556"/>
      <c r="E3" s="557"/>
      <c r="F3" s="558" t="s">
        <v>2329</v>
      </c>
      <c r="G3" s="559"/>
      <c r="H3" s="559">
        <f>H4*H5+H7</f>
        <v>0</v>
      </c>
      <c r="I3" s="559">
        <f>I4*I5+I6</f>
        <v>0</v>
      </c>
      <c r="J3" s="560"/>
    </row>
    <row customHeight="1" ht="23.25" hidden="1">
      <c r="B4" s="1938"/>
      <c r="C4" s="1181"/>
      <c r="D4" s="1684"/>
      <c r="E4" s="554" t="str">
        <f>B2&amp;".1"</f>
        <v>.1</v>
      </c>
      <c r="F4" s="561" t="s">
        <v>2330</v>
      </c>
      <c r="G4" s="562"/>
      <c r="H4" s="549"/>
      <c r="I4" s="549"/>
      <c r="J4" s="277" t="s">
        <v>2331</v>
      </c>
      <c r="K4" s="551"/>
    </row>
    <row customHeight="1" ht="18.75" hidden="1">
      <c r="B5" s="1938"/>
      <c r="C5" s="1181"/>
      <c r="D5" s="1684"/>
      <c r="E5" s="554" t="str">
        <f>B2&amp;".2"</f>
        <v>.2</v>
      </c>
      <c r="F5" s="561" t="s">
        <v>2332</v>
      </c>
      <c r="G5" s="1692" t="s">
        <v>2333</v>
      </c>
      <c r="H5" s="549"/>
      <c r="I5" s="549"/>
      <c r="J5" s="277"/>
      <c r="K5" s="551"/>
    </row>
    <row customHeight="1" ht="18.75" hidden="1">
      <c r="B6" s="1938"/>
      <c r="C6" s="1181"/>
      <c r="D6" s="1684"/>
      <c r="E6" s="554" t="str">
        <f>B2&amp;".3"</f>
        <v>.3</v>
      </c>
      <c r="F6" s="561" t="s">
        <v>2334</v>
      </c>
      <c r="G6" s="1692" t="s">
        <v>2333</v>
      </c>
      <c r="H6" s="549"/>
      <c r="I6" s="549"/>
      <c r="J6" s="277"/>
      <c r="K6" s="551"/>
    </row>
    <row customHeight="1" ht="18.75" hidden="1">
      <c r="B7" s="1938"/>
      <c r="C7" s="1181"/>
      <c r="D7" s="1684"/>
      <c r="E7" s="554" t="str">
        <f>B2&amp;".4"</f>
        <v>.4</v>
      </c>
      <c r="F7" s="561" t="s">
        <v>2335</v>
      </c>
      <c r="G7" s="1692" t="s">
        <v>526</v>
      </c>
      <c r="H7" s="563"/>
      <c r="I7" s="563"/>
      <c r="J7" s="277"/>
      <c r="K7" s="551"/>
    </row>
    <row s="2650" customFormat="1" customHeight="1" ht="11.25" hidden="1">
      <c r="A8" s="1000"/>
      <c r="C8" s="1682"/>
      <c r="D8" s="545"/>
      <c r="H8" s="1174">
        <v>4</v>
      </c>
      <c r="I8" s="1174">
        <v>4</v>
      </c>
      <c r="L8" s="1682"/>
      <c r="M8" s="1682"/>
      <c r="R8" s="1682"/>
    </row>
    <row s="2650" customFormat="1" customHeight="1" ht="22.5" hidden="1">
      <c r="A9" s="1000"/>
      <c r="C9" s="1682"/>
      <c r="D9" s="546"/>
      <c r="E9" s="1694"/>
      <c r="F9" s="548"/>
      <c r="G9" s="1692" t="s">
        <v>2333</v>
      </c>
      <c r="H9" s="549"/>
      <c r="I9" s="549"/>
      <c r="J9" s="550" t="s">
        <v>2336</v>
      </c>
      <c r="K9" s="551"/>
      <c r="L9" s="1682"/>
      <c r="M9" s="1682"/>
      <c r="R9" s="1682"/>
      <c r="U9" s="552"/>
      <c r="AA9" s="1678"/>
      <c r="AB9" s="1678"/>
      <c r="AC9" s="1678"/>
      <c r="AD9" s="1678"/>
      <c r="AE9" s="1678"/>
    </row>
    <row customHeight="1" ht="11.25" hidden="1"/>
    <row customHeight="1" ht="18.75" hidden="1">
      <c r="D11" s="1684"/>
      <c r="E11" s="554"/>
      <c r="F11" s="548"/>
      <c r="G11" s="1692" t="s">
        <v>729</v>
      </c>
      <c r="H11" s="549"/>
      <c r="I11" s="549"/>
      <c r="J11" s="277" t="s">
        <v>2337</v>
      </c>
      <c r="K11" s="551"/>
    </row>
    <row customHeight="1" ht="11.25" hidden="1"/>
    <row customHeight="1" ht="22.5" hidden="1">
      <c r="D13" s="1684"/>
      <c r="E13" s="554"/>
      <c r="F13" s="548"/>
      <c r="G13" s="982" t="s">
        <v>1712</v>
      </c>
      <c r="H13" s="553"/>
      <c r="I13" s="553"/>
      <c r="J13" s="754" t="s">
        <v>2338</v>
      </c>
      <c r="K13" s="551"/>
    </row>
    <row customHeight="1" ht="11.25" hidden="1"/>
    <row customHeight="1" ht="22.5" hidden="1">
      <c r="D15" s="1684"/>
      <c r="E15" s="554"/>
      <c r="F15" s="548"/>
      <c r="G15" s="1692" t="s">
        <v>2339</v>
      </c>
      <c r="H15" s="553"/>
      <c r="I15" s="553"/>
      <c r="J15" s="277" t="s">
        <v>2340</v>
      </c>
      <c r="K15" s="551"/>
    </row>
    <row customHeight="1" ht="11.25" hidden="1"/>
    <row customHeight="1" ht="22.5" hidden="1">
      <c r="D17" s="1684"/>
      <c r="E17" s="554"/>
      <c r="F17" s="548"/>
      <c r="G17" s="1692" t="s">
        <v>2341</v>
      </c>
      <c r="H17" s="553"/>
      <c r="I17" s="553"/>
      <c r="J17" s="277" t="s">
        <v>2342</v>
      </c>
      <c r="K17" s="551"/>
    </row>
    <row customHeight="1" ht="11.25" hidden="1"/>
    <row s="287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ГУП СК "Ставрополькрайводоканал"</v>
      </c>
      <c r="F22" s="2172"/>
      <c r="G22" s="2172"/>
      <c r="H22" s="2172"/>
      <c r="I22" s="2173"/>
    </row>
    <row customHeight="1" ht="11.25">
      <c r="E23" s="1149"/>
      <c r="F23" s="1149"/>
      <c r="G23" s="1149"/>
      <c r="H23" s="1149"/>
      <c r="I23" s="1149"/>
    </row>
    <row s="2654" customFormat="1" customHeight="1" ht="0.75">
      <c r="A24" s="1181"/>
      <c r="D24" s="1688"/>
      <c r="H24" s="900"/>
      <c r="I24" s="900" t="s">
        <v>225</v>
      </c>
    </row>
    <row customHeight="1" ht="11.25">
      <c r="E25" s="719"/>
      <c r="F25" s="2308" t="s">
        <v>217</v>
      </c>
      <c r="G25" s="2309"/>
      <c r="H25" s="1698" t="str">
        <f>IF(H24="","",INDEX(DIFFERENTIATION_UNMERGE_VD,MATCH(H24,DIFFERENTIATION_ID_DIFF,0)))</f>
        <v/>
      </c>
      <c r="I25" s="1698" t="str">
        <f>IF(I24="","",INDEX(DIFFERENTIATION_UNMERGE_VD,MATCH(I24,DIFFERENTIATION_ID_DIFF,0)))</f>
        <v>Подключение (технологическое присоединение) к централизованной системе водоснабжения</v>
      </c>
      <c r="J25" s="1966"/>
    </row>
    <row customHeight="1" ht="11.25">
      <c r="E26" s="719"/>
      <c r="F26" s="2308" t="s">
        <v>514</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515</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389</v>
      </c>
      <c r="F28" s="2311"/>
      <c r="G28" s="2311"/>
      <c r="H28" s="1691"/>
      <c r="I28" s="1691"/>
      <c r="J28" s="1966"/>
    </row>
    <row customHeight="1" ht="22.5">
      <c r="E29" s="1692" t="s">
        <v>88</v>
      </c>
      <c r="F29" s="1699" t="s">
        <v>391</v>
      </c>
      <c r="G29" s="1699" t="s">
        <v>1694</v>
      </c>
      <c r="H29" s="1699" t="s">
        <v>392</v>
      </c>
      <c r="I29" s="1699" t="s">
        <v>392</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2333</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2333</v>
      </c>
      <c r="H31" s="566">
        <f>SUMIF($K33:$K71,$K31,H33:H71)</f>
        <v>0</v>
      </c>
      <c r="I31" s="566">
        <f>SUMIF($K33:$K71,$K31,I33:I71)</f>
        <v>0</v>
      </c>
      <c r="J31" s="277" t="str">
        <f>FHD_NOTE_P_2</f>
        <v>Указывается суммарная себестоимость производимых товаров.</v>
      </c>
      <c r="K31" s="1682" t="s">
        <v>2343</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2333</v>
      </c>
      <c r="H32" s="565"/>
      <c r="I32" s="565"/>
      <c r="J32" s="277" t="str">
        <f>FHD_NOTE_P_3</f>
        <v/>
      </c>
      <c r="K32" s="1682" t="str">
        <f>IF((LEN(E32)-LEN(SUBSTITUTE(E32,".","")))/LEN(".")=1,"p","")</f>
        <v>p</v>
      </c>
    </row>
    <row customHeight="1" ht="11.25" hidden="1">
      <c r="A33" s="2337" t="s">
        <v>2344</v>
      </c>
      <c r="D33" s="1684"/>
      <c r="E33" s="554" t="str">
        <f>FHD_NUM_P_4</f>
        <v/>
      </c>
      <c r="F33" s="967" t="str">
        <f>FHD_P_4</f>
        <v/>
      </c>
      <c r="G33" s="1692" t="s">
        <v>2333</v>
      </c>
      <c r="H33" s="566">
        <f>SUMIF($F34:$F40,$F3,H34:H40)</f>
        <v>0</v>
      </c>
      <c r="I33" s="566">
        <f>SUMIF($F34:$F40,$F3,I34:I40)</f>
        <v>0</v>
      </c>
      <c r="J33" s="277" t="str">
        <f>FHD_NOTE_P_4</f>
        <v/>
      </c>
      <c r="K33" s="1682" t="str">
        <f>IF((LEN(E33)-LEN(SUBSTITUTE(E33,".","")))/LEN(".")=1,"p","")</f>
        <v/>
      </c>
    </row>
    <row s="458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58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58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58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58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58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0" customFormat="1" customHeight="1" ht="15" hidden="1">
      <c r="A40" s="2337"/>
      <c r="C40" s="1682"/>
      <c r="D40" s="1679"/>
      <c r="E40" s="578"/>
      <c r="F40" s="579" t="s">
        <v>2345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2346</v>
      </c>
      <c r="D41" s="1684"/>
      <c r="E41" s="554" t="str">
        <f>FHD_NUM_P_5</f>
        <v/>
      </c>
      <c r="F41" s="967" t="str">
        <f>FHD_P_5</f>
        <v/>
      </c>
      <c r="G41" s="1692" t="s">
        <v>2333</v>
      </c>
      <c r="H41" s="565"/>
      <c r="I41" s="565"/>
      <c r="J41" s="277" t="str">
        <f>FHD_NOTE_P_5</f>
        <v/>
      </c>
      <c r="K41" s="1682" t="str">
        <f>IF((LEN(E41)-LEN(SUBSTITUTE(E41,".","")))/LEN(".")=1,"p","")</f>
        <v/>
      </c>
    </row>
    <row customHeight="1" ht="11.25" hidden="1">
      <c r="A42" s="2337"/>
      <c r="D42" s="1684"/>
      <c r="E42" s="554" t="str">
        <f>FHD_NUM_P_6</f>
        <v/>
      </c>
      <c r="F42" s="967" t="str">
        <f>FHD_P_6</f>
        <v/>
      </c>
      <c r="G42" s="1692" t="s">
        <v>2333</v>
      </c>
      <c r="H42" s="565"/>
      <c r="I42" s="565"/>
      <c r="J42" s="277" t="str">
        <f>FHD_NOTE_P_6</f>
        <v/>
      </c>
      <c r="K42" s="1682" t="str">
        <f>IF((LEN(E42)-LEN(SUBSTITUTE(E42,".","")))/LEN(".")=1,"p","")</f>
        <v/>
      </c>
    </row>
    <row customHeight="1" ht="11.25" hidden="1">
      <c r="A43" s="2337"/>
      <c r="D43" s="1684"/>
      <c r="E43" s="554" t="str">
        <f>FHD_NUM_P_7</f>
        <v/>
      </c>
      <c r="F43" s="967" t="str">
        <f>FHD_P_7</f>
        <v/>
      </c>
      <c r="G43" s="1692" t="s">
        <v>2333</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2333</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1323</v>
      </c>
      <c r="H45" s="565"/>
      <c r="I45" s="565"/>
      <c r="J45" s="277" t="str">
        <f>FHD_NOTE_P_9</f>
        <v/>
      </c>
      <c r="K45" s="1682" t="str">
        <f>IF((LEN(E45)-LEN(SUBSTITUTE(E45,".","")))/LEN(".")=1,"p","")</f>
        <v/>
      </c>
    </row>
    <row s="2650" customFormat="1" customHeight="1" ht="11.25">
      <c r="A46" s="1000"/>
      <c r="C46" s="1682"/>
      <c r="D46" s="582"/>
      <c r="E46" s="554" t="str">
        <f>FHD_NUM_P_10</f>
        <v>2.2.2</v>
      </c>
      <c r="F46" s="1696" t="str">
        <f>FHD_P_10</f>
        <v>Объём приобретения электрической энергии</v>
      </c>
      <c r="G46" s="1692" t="s">
        <v>2347</v>
      </c>
      <c r="H46" s="565"/>
      <c r="I46" s="565"/>
      <c r="J46" s="277" t="str">
        <f>FHD_NOTE_P_10</f>
        <v/>
      </c>
      <c r="K46" s="1682" t="str">
        <f>IF((LEN(E46)-LEN(SUBSTITUTE(E46,".","")))/LEN(".")=1,"p","")</f>
        <v/>
      </c>
      <c r="L46" s="1682"/>
      <c r="M46" s="1682"/>
      <c r="R46" s="1682"/>
      <c r="U46" s="552"/>
      <c r="AA46" s="1678"/>
      <c r="AB46" s="1678"/>
      <c r="AC46" s="1678"/>
      <c r="AD46" s="1678"/>
      <c r="AE46" s="1678"/>
    </row>
    <row s="2650" customFormat="1" customHeight="1" ht="11.25" hidden="1">
      <c r="A47" s="1002" t="s">
        <v>2348</v>
      </c>
      <c r="C47" s="1682"/>
      <c r="D47" s="583"/>
      <c r="E47" s="554" t="str">
        <f>FHD_NUM_P_11</f>
        <v/>
      </c>
      <c r="F47" s="967" t="str">
        <f>FHD_P_11</f>
        <v/>
      </c>
      <c r="G47" s="1692" t="s">
        <v>2333</v>
      </c>
      <c r="H47" s="565"/>
      <c r="I47" s="565"/>
      <c r="J47" s="277" t="str">
        <f>FHD_NOTE_P_11</f>
        <v/>
      </c>
      <c r="K47" s="1682" t="str">
        <f>IF((LEN(E47)-LEN(SUBSTITUTE(E47,".","")))/LEN(".")=1,"p","")</f>
        <v/>
      </c>
      <c r="L47" s="1682"/>
      <c r="M47" s="1682"/>
      <c r="R47" s="1682"/>
      <c r="U47" s="552"/>
      <c r="AA47" s="1678"/>
      <c r="AB47" s="1678"/>
      <c r="AC47" s="1678"/>
      <c r="AD47" s="1678"/>
      <c r="AE47" s="1678"/>
    </row>
    <row s="2650" customFormat="1" customHeight="1" ht="18">
      <c r="A48" s="1002" t="s">
        <v>2349</v>
      </c>
      <c r="C48" s="1682"/>
      <c r="D48" s="1684"/>
      <c r="E48" s="554" t="str">
        <f>FHD_NUM_P_12</f>
        <v>2.3</v>
      </c>
      <c r="F48" s="967" t="str">
        <f>FHD_P_12</f>
        <v>Расходы на химические реагенты, используемые в технологическом процессе</v>
      </c>
      <c r="G48" s="1692" t="s">
        <v>2333</v>
      </c>
      <c r="H48" s="585"/>
      <c r="I48" s="585"/>
      <c r="J48" s="277" t="str">
        <f>FHD_NOTE_P_12</f>
        <v/>
      </c>
      <c r="K48" s="1682" t="str">
        <f>IF((LEN(E48)-LEN(SUBSTITUTE(E48,".","")))/LEN(".")=1,"p","")</f>
        <v>p</v>
      </c>
      <c r="L48" s="1682"/>
      <c r="M48" s="1682"/>
      <c r="R48" s="1682"/>
      <c r="U48" s="552"/>
      <c r="AA48" s="1678"/>
      <c r="AB48" s="1678"/>
      <c r="AC48" s="1678"/>
      <c r="AD48" s="1678"/>
      <c r="AE48" s="1678"/>
    </row>
    <row s="3620"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2333</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0"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2333</v>
      </c>
      <c r="H50" s="565"/>
      <c r="I50" s="565"/>
      <c r="J50" s="277" t="str">
        <f>FHD_NOTE_P_14</f>
        <v/>
      </c>
      <c r="K50" s="1682" t="str">
        <f>IF((LEN(E50)-LEN(SUBSTITUTE(E50,".","")))/LEN(".")=1,"p","")</f>
        <v/>
      </c>
      <c r="L50" s="739"/>
      <c r="M50" s="739"/>
      <c r="R50" s="739"/>
      <c r="U50" s="740"/>
      <c r="AA50" s="741"/>
      <c r="AB50" s="741"/>
      <c r="AC50" s="741"/>
      <c r="AD50" s="741"/>
      <c r="AE50" s="741"/>
    </row>
    <row s="3620"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2333</v>
      </c>
      <c r="H51" s="565"/>
      <c r="I51" s="565"/>
      <c r="J51" s="277" t="str">
        <f>FHD_NOTE_P_15</f>
        <v/>
      </c>
      <c r="K51" s="1682" t="str">
        <f>IF((LEN(E51)-LEN(SUBSTITUTE(E51,".","")))/LEN(".")=1,"p","")</f>
        <v/>
      </c>
      <c r="L51" s="739"/>
      <c r="M51" s="739"/>
      <c r="R51" s="739"/>
      <c r="U51" s="740"/>
      <c r="AA51" s="741"/>
      <c r="AB51" s="741"/>
      <c r="AC51" s="741"/>
      <c r="AD51" s="741"/>
      <c r="AE51" s="741"/>
    </row>
    <row s="265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2333</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5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2333</v>
      </c>
      <c r="H53" s="565"/>
      <c r="I53" s="565"/>
      <c r="J53" s="277" t="str">
        <f>FHD_NOTE_P_17</f>
        <v/>
      </c>
      <c r="K53" s="1682" t="str">
        <f>IF((LEN(E53)-LEN(SUBSTITUTE(E53,".","")))/LEN(".")=1,"p","")</f>
        <v/>
      </c>
      <c r="L53" s="1682"/>
      <c r="M53" s="1688"/>
      <c r="N53" s="545"/>
      <c r="O53" s="545"/>
      <c r="R53" s="1682"/>
      <c r="U53" s="552"/>
      <c r="AA53" s="1678"/>
      <c r="AB53" s="1678"/>
      <c r="AC53" s="1678"/>
      <c r="AD53" s="1678"/>
      <c r="AE53" s="1678"/>
    </row>
    <row s="265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2333</v>
      </c>
      <c r="H54" s="565"/>
      <c r="I54" s="565"/>
      <c r="J54" s="277" t="str">
        <f>FHD_NOTE_P_18</f>
        <v/>
      </c>
      <c r="K54" s="1682" t="str">
        <f>IF((LEN(E54)-LEN(SUBSTITUTE(E54,".","")))/LEN(".")=1,"p","")</f>
        <v/>
      </c>
      <c r="L54" s="1682"/>
      <c r="M54" s="1688"/>
      <c r="N54" s="545"/>
      <c r="O54" s="545"/>
      <c r="R54" s="1682"/>
      <c r="U54" s="552"/>
      <c r="AA54" s="1678"/>
      <c r="AB54" s="1678"/>
      <c r="AC54" s="1678"/>
      <c r="AD54" s="1678"/>
      <c r="AE54" s="1678"/>
    </row>
    <row s="265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2333</v>
      </c>
      <c r="H55" s="565"/>
      <c r="I55" s="565"/>
      <c r="J55" s="277" t="str">
        <f>FHD_NOTE_P_19</f>
        <v/>
      </c>
      <c r="K55" s="1682" t="str">
        <f>IF((LEN(E55)-LEN(SUBSTITUTE(E55,".","")))/LEN(".")=1,"p","")</f>
        <v>p</v>
      </c>
      <c r="L55" s="1682"/>
      <c r="M55" s="1682"/>
      <c r="R55" s="1682"/>
      <c r="U55" s="552"/>
      <c r="AA55" s="1678"/>
      <c r="AB55" s="1678"/>
      <c r="AC55" s="1678"/>
      <c r="AD55" s="1678"/>
      <c r="AE55" s="1678"/>
    </row>
    <row s="2650" customFormat="1" customHeight="1" ht="11.25">
      <c r="A56" s="1000"/>
      <c r="C56" s="1682"/>
      <c r="D56" s="583"/>
      <c r="E56" s="554" t="str">
        <f>FHD_NUM_P_20</f>
        <v>2.6.1</v>
      </c>
      <c r="F56" s="1696" t="str">
        <f>FHD_P_20</f>
        <v>Расходы на амортизацию основных средств</v>
      </c>
      <c r="G56" s="1692" t="s">
        <v>2333</v>
      </c>
      <c r="H56" s="565"/>
      <c r="I56" s="565"/>
      <c r="J56" s="277" t="str">
        <f>FHD_NOTE_P_20</f>
        <v/>
      </c>
      <c r="K56" s="1682" t="str">
        <f>IF((LEN(E56)-LEN(SUBSTITUTE(E56,".","")))/LEN(".")=1,"p","")</f>
        <v/>
      </c>
      <c r="L56" s="1682"/>
      <c r="M56" s="1682"/>
      <c r="R56" s="1682"/>
      <c r="U56" s="552"/>
      <c r="AA56" s="1678"/>
      <c r="AB56" s="1678"/>
      <c r="AC56" s="1678"/>
      <c r="AD56" s="1678"/>
      <c r="AE56" s="1678"/>
    </row>
    <row s="2650" customFormat="1" customHeight="1" ht="11.25">
      <c r="A57" s="1000"/>
      <c r="C57" s="1682"/>
      <c r="D57" s="583"/>
      <c r="E57" s="554" t="str">
        <f>FHD_NUM_P_21</f>
        <v>2.6.2</v>
      </c>
      <c r="F57" s="1696" t="str">
        <f>FHD_P_21</f>
        <v>Расходы на амортизацию нематериальных активов</v>
      </c>
      <c r="G57" s="1692" t="s">
        <v>2333</v>
      </c>
      <c r="H57" s="565"/>
      <c r="I57" s="565"/>
      <c r="J57" s="277" t="str">
        <f>FHD_NOTE_P_21</f>
        <v/>
      </c>
      <c r="K57" s="1682" t="str">
        <f>IF((LEN(E57)-LEN(SUBSTITUTE(E57,".","")))/LEN(".")=1,"p","")</f>
        <v/>
      </c>
      <c r="L57" s="1682"/>
      <c r="M57" s="1682"/>
      <c r="R57" s="1682"/>
      <c r="U57" s="552"/>
      <c r="AA57" s="1678"/>
      <c r="AB57" s="1678"/>
      <c r="AC57" s="1678"/>
      <c r="AD57" s="1678"/>
      <c r="AE57" s="1678"/>
    </row>
    <row s="265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2333</v>
      </c>
      <c r="H58" s="565"/>
      <c r="I58" s="565"/>
      <c r="J58" s="277" t="str">
        <f>FHD_NOTE_P_22</f>
        <v/>
      </c>
      <c r="K58" s="1682" t="str">
        <f>IF((LEN(E58)-LEN(SUBSTITUTE(E58,".","")))/LEN(".")=1,"p","")</f>
        <v>p</v>
      </c>
      <c r="L58" s="1682"/>
      <c r="M58" s="1682"/>
      <c r="R58" s="1682"/>
      <c r="U58" s="552"/>
      <c r="AA58" s="1678"/>
      <c r="AB58" s="1678"/>
      <c r="AC58" s="1678"/>
      <c r="AD58" s="1678"/>
      <c r="AE58" s="1678"/>
    </row>
    <row s="2650" customFormat="1" customHeight="1" ht="11.25">
      <c r="A59" s="1000"/>
      <c r="C59" s="1682"/>
      <c r="D59" s="583"/>
      <c r="E59" s="554" t="str">
        <f>FHD_NUM_P_23</f>
        <v>2.8</v>
      </c>
      <c r="F59" s="967" t="str">
        <f>FHD_P_23</f>
        <v>Общепроизводственные расходы, в том числе:</v>
      </c>
      <c r="G59" s="1692" t="s">
        <v>2333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0" customFormat="1" customHeight="1" ht="11.25">
      <c r="A60" s="1000"/>
      <c r="C60" s="1682"/>
      <c r="D60" s="583"/>
      <c r="E60" s="554" t="str">
        <f>FHD_NUM_P_24</f>
        <v>2.8.1</v>
      </c>
      <c r="F60" s="1696" t="str">
        <f>FHD_P_24</f>
        <v>Расходы на текущий ремонт</v>
      </c>
      <c r="G60" s="1692" t="s">
        <v>2333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0" customFormat="1" customHeight="1" ht="11.25">
      <c r="A61" s="1000"/>
      <c r="C61" s="1682"/>
      <c r="D61" s="583"/>
      <c r="E61" s="554" t="str">
        <f>FHD_NUM_P_25</f>
        <v>2.8.2</v>
      </c>
      <c r="F61" s="1696" t="str">
        <f>FHD_P_25</f>
        <v>Расходы на капитальный ремонт</v>
      </c>
      <c r="G61" s="1692" t="s">
        <v>2333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0" customFormat="1" customHeight="1" ht="11.25">
      <c r="A62" s="1000"/>
      <c r="C62" s="1682"/>
      <c r="D62" s="1684"/>
      <c r="E62" s="554" t="str">
        <f>FHD_NUM_P_26</f>
        <v>2.9</v>
      </c>
      <c r="F62" s="967" t="str">
        <f>FHD_P_26</f>
        <v>Общехозяйственные расходы, в том числе:</v>
      </c>
      <c r="G62" s="1692" t="s">
        <v>2333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0" customFormat="1" customHeight="1" ht="11.25">
      <c r="A63" s="1000"/>
      <c r="C63" s="1682"/>
      <c r="D63" s="1684"/>
      <c r="E63" s="554" t="str">
        <f>FHD_NUM_P_27</f>
        <v>2.9.1</v>
      </c>
      <c r="F63" s="1696" t="str">
        <f>FHD_P_27</f>
        <v>Расходы на текущий ремонт</v>
      </c>
      <c r="G63" s="1692" t="s">
        <v>2333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0" customFormat="1" customHeight="1" ht="11.25">
      <c r="A64" s="1000"/>
      <c r="C64" s="1682"/>
      <c r="D64" s="1684"/>
      <c r="E64" s="554" t="str">
        <f>FHD_NUM_P_28</f>
        <v>2.9.2</v>
      </c>
      <c r="F64" s="1696" t="str">
        <f>FHD_P_28</f>
        <v>Расходы на капитальный ремонт</v>
      </c>
      <c r="G64" s="1692" t="s">
        <v>2333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0" customFormat="1" customHeight="1" ht="11.25">
      <c r="A65" s="1000"/>
      <c r="C65" s="1682"/>
      <c r="D65" s="1684"/>
      <c r="E65" s="554" t="str">
        <f>FHD_NUM_P_29</f>
        <v>2.10</v>
      </c>
      <c r="F65" s="967" t="str">
        <f>FHD_P_29</f>
        <v>Расходы на капитальный и текущий ремонт основных средств</v>
      </c>
      <c r="G65" s="1692" t="s">
        <v>2333</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395</v>
      </c>
      <c r="H66" s="1695" t="s">
        <v>519</v>
      </c>
      <c r="I66" s="1695" t="s">
        <v>519</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0" customFormat="1" customHeight="1" ht="11.25">
      <c r="A67" s="2337" t="s">
        <v>2350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2333</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5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395</v>
      </c>
      <c r="H68" s="1695" t="s">
        <v>519</v>
      </c>
      <c r="I68" s="1695" t="s">
        <v>519</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2333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4" customFormat="1" customHeight="1" ht="0.75">
      <c r="A70" s="1181"/>
      <c r="D70" s="556"/>
      <c r="E70" s="812" t="str">
        <f>E69&amp;".0"</f>
        <v>2.12.0</v>
      </c>
      <c r="F70" s="1004"/>
      <c r="G70" s="559"/>
      <c r="H70" s="1005"/>
      <c r="I70" s="1005"/>
      <c r="J70" s="1006"/>
      <c r="K70" s="1682" t="str">
        <f>IF((LEN(E70)-LEN(SUBSTITUTE(E70,".","")))/LEN(".")=1,"p","")</f>
        <v/>
      </c>
    </row>
    <row s="2650" customFormat="1" customHeight="1" ht="14.25">
      <c r="A71" s="1000"/>
      <c r="C71" s="1682"/>
      <c r="D71" s="1679"/>
      <c r="E71" s="578"/>
      <c r="F71" s="579" t="s">
        <v>2351</v>
      </c>
      <c r="G71" s="580"/>
      <c r="H71" s="581"/>
      <c r="I71" s="581"/>
      <c r="J71" s="289"/>
      <c r="K71" s="1682"/>
      <c r="L71" s="1682"/>
      <c r="M71" s="1682"/>
      <c r="R71" s="1682"/>
      <c r="U71" s="552"/>
      <c r="AA71" s="1678"/>
      <c r="AB71" s="1678"/>
      <c r="AC71" s="1678"/>
      <c r="AD71" s="1678"/>
      <c r="AE71" s="1678"/>
    </row>
    <row s="2650" customFormat="1" customHeight="1" ht="18.75" hidden="1">
      <c r="A72" s="1002" t="s">
        <v>2352</v>
      </c>
      <c r="C72" s="1682"/>
      <c r="D72" s="1684"/>
      <c r="E72" s="554" t="str">
        <f>FHD_NUM_P_34</f>
        <v/>
      </c>
      <c r="F72" s="715" t="str">
        <f>FHD_P_34</f>
        <v/>
      </c>
      <c r="G72" s="1692" t="s">
        <v>2333</v>
      </c>
      <c r="H72" s="565"/>
      <c r="I72" s="565"/>
      <c r="J72" s="277" t="str">
        <f>FHD_NOTE_P_34</f>
        <v/>
      </c>
      <c r="K72" s="551"/>
      <c r="L72" s="1682"/>
      <c r="M72" s="1682"/>
      <c r="R72" s="1682"/>
      <c r="U72" s="552"/>
      <c r="AA72" s="1678"/>
      <c r="AB72" s="1678"/>
      <c r="AC72" s="1678"/>
      <c r="AD72" s="1678"/>
      <c r="AE72" s="1678"/>
    </row>
    <row s="265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2333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5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2333</v>
      </c>
      <c r="H74" s="565"/>
      <c r="I74" s="565"/>
      <c r="J74" s="277" t="str">
        <f>FHD_NOTE_P_36</f>
        <v/>
      </c>
      <c r="K74" s="551"/>
      <c r="L74" s="1682"/>
      <c r="M74" s="1682"/>
      <c r="R74" s="1682"/>
      <c r="U74" s="552"/>
      <c r="AA74" s="1678"/>
      <c r="AB74" s="1678"/>
      <c r="AC74" s="1678"/>
      <c r="AD74" s="1678"/>
      <c r="AE74" s="1678"/>
    </row>
    <row s="2650" customFormat="1" customHeight="1" ht="18.75">
      <c r="A75" s="1000"/>
      <c r="C75" s="1682"/>
      <c r="D75" s="1684"/>
      <c r="E75" s="554" t="str">
        <f>FHD_NUM_P_37</f>
        <v>4</v>
      </c>
      <c r="F75" s="715" t="str">
        <f>FHD_P_37</f>
        <v>Изменение стоимости основных фондов, в том числе:</v>
      </c>
      <c r="G75" s="1692" t="s">
        <v>2333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5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2333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5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2333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5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2333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50" customFormat="1" customHeight="1" ht="18.75">
      <c r="A79" s="1000"/>
      <c r="C79" s="1682"/>
      <c r="D79" s="1684"/>
      <c r="E79" s="554" t="str">
        <f>FHD_NUM_P_41</f>
        <v>4.2</v>
      </c>
      <c r="F79" s="967" t="str">
        <f>FHD_P_41</f>
        <v>Изменение стоимости основных фондов за счет их переоценки</v>
      </c>
      <c r="G79" s="1690" t="s">
        <v>2333</v>
      </c>
      <c r="H79" s="565"/>
      <c r="I79" s="565"/>
      <c r="J79" s="277" t="str">
        <f>FHD_NOTE_P_41</f>
        <v/>
      </c>
      <c r="K79" s="551"/>
      <c r="L79" s="1682"/>
      <c r="M79" s="1682"/>
      <c r="R79" s="1682"/>
      <c r="U79" s="552"/>
      <c r="AA79" s="1678"/>
      <c r="AB79" s="1678"/>
      <c r="AC79" s="1678"/>
      <c r="AD79" s="1678"/>
      <c r="AE79" s="1678"/>
    </row>
    <row s="2650" customFormat="1" customHeight="1" ht="18.75">
      <c r="A80" s="1002" t="s">
        <v>2353</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2333</v>
      </c>
      <c r="H80" s="989"/>
      <c r="I80" s="565"/>
      <c r="J80" s="277" t="str">
        <f>FHD_NOTE_P_42</f>
        <v/>
      </c>
      <c r="K80" s="551"/>
      <c r="L80" s="1682"/>
      <c r="M80" s="1682"/>
      <c r="R80" s="1682"/>
      <c r="U80" s="552"/>
      <c r="AA80" s="1678"/>
      <c r="AB80" s="1678"/>
      <c r="AC80" s="1678"/>
      <c r="AD80" s="1678"/>
      <c r="AE80" s="1678"/>
    </row>
    <row s="265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395</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615" customFormat="1" customHeight="1" ht="18.75">
      <c r="A82" s="2337" t="s">
        <v>2354</v>
      </c>
      <c r="C82" s="744"/>
      <c r="D82" s="742"/>
      <c r="E82" s="554" t="str">
        <f>FHD_NUM_P_44</f>
        <v>7</v>
      </c>
      <c r="F82" s="715" t="str">
        <f>FHD_P_44</f>
        <v>Объём поднятой воды</v>
      </c>
      <c r="G82" s="729" t="s">
        <v>2355</v>
      </c>
      <c r="H82" s="990"/>
      <c r="I82" s="585"/>
      <c r="J82" s="277" t="str">
        <f>FHD_NOTE_P_44</f>
        <v/>
      </c>
      <c r="K82" s="743"/>
      <c r="L82" s="744"/>
      <c r="M82" s="744"/>
      <c r="R82" s="744"/>
      <c r="U82" s="745"/>
      <c r="AA82" s="746"/>
      <c r="AB82" s="746"/>
      <c r="AC82" s="746"/>
      <c r="AD82" s="746"/>
      <c r="AE82" s="746"/>
    </row>
    <row s="4615" customFormat="1" customHeight="1" ht="18.75">
      <c r="A83" s="2337"/>
      <c r="C83" s="744"/>
      <c r="D83" s="742"/>
      <c r="E83" s="554" t="str">
        <f>FHD_NUM_P_45</f>
        <v>8</v>
      </c>
      <c r="F83" s="715" t="str">
        <f>FHD_P_45</f>
        <v>Объём покупной воды</v>
      </c>
      <c r="G83" s="729" t="s">
        <v>2355</v>
      </c>
      <c r="H83" s="990"/>
      <c r="I83" s="585"/>
      <c r="J83" s="277" t="str">
        <f>FHD_NOTE_P_45</f>
        <v/>
      </c>
      <c r="K83" s="743"/>
      <c r="L83" s="744"/>
      <c r="M83" s="744"/>
      <c r="R83" s="744"/>
      <c r="U83" s="745"/>
      <c r="AA83" s="746"/>
      <c r="AB83" s="746"/>
      <c r="AC83" s="746"/>
      <c r="AD83" s="746"/>
      <c r="AE83" s="746"/>
    </row>
    <row s="4615" customFormat="1" customHeight="1" ht="18.75">
      <c r="A84" s="2337"/>
      <c r="C84" s="744"/>
      <c r="D84" s="747"/>
      <c r="E84" s="554" t="str">
        <f>FHD_NUM_P_46</f>
        <v>9</v>
      </c>
      <c r="F84" s="715" t="str">
        <f>FHD_P_46</f>
        <v>Объём воды, пропущенной через очистные сооружения</v>
      </c>
      <c r="G84" s="729" t="s">
        <v>2355</v>
      </c>
      <c r="H84" s="990"/>
      <c r="I84" s="585"/>
      <c r="J84" s="277" t="str">
        <f>FHD_NOTE_P_46</f>
        <v/>
      </c>
      <c r="K84" s="743"/>
      <c r="L84" s="744"/>
      <c r="M84" s="744"/>
      <c r="R84" s="744"/>
      <c r="U84" s="745"/>
      <c r="AA84" s="746"/>
      <c r="AB84" s="746"/>
      <c r="AC84" s="746"/>
      <c r="AD84" s="746"/>
      <c r="AE84" s="746"/>
    </row>
    <row s="4615" customFormat="1" customHeight="1" ht="18.75">
      <c r="A85" s="2337"/>
      <c r="C85" s="744"/>
      <c r="D85" s="742"/>
      <c r="E85" s="554" t="str">
        <f>FHD_NUM_P_47</f>
        <v>10</v>
      </c>
      <c r="F85" s="715" t="str">
        <f>FHD_P_47</f>
        <v>Объём отпущенной потребителям воды, в том числе:</v>
      </c>
      <c r="G85" s="729" t="s">
        <v>2355</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62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2355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62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2355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62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2355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62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2355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624" customFormat="1" customHeight="1" ht="18.75">
      <c r="A90" s="2337"/>
      <c r="B90" s="922"/>
      <c r="C90" s="744"/>
      <c r="D90" s="742"/>
      <c r="E90" s="554" t="str">
        <f>FHD_NUM_P_52</f>
        <v>11</v>
      </c>
      <c r="F90" s="715" t="str">
        <f>FHD_P_52</f>
        <v>Потери воды в сетях</v>
      </c>
      <c r="G90" s="729" t="s">
        <v>1712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615" customFormat="1" customHeight="1" ht="18.75" hidden="1">
      <c r="A91" s="2339" t="s">
        <v>2356</v>
      </c>
      <c r="C91" s="744"/>
      <c r="D91" s="742"/>
      <c r="E91" s="554" t="str">
        <f>FHD_NUM_P_53</f>
        <v/>
      </c>
      <c r="F91" s="715" t="str">
        <f>FHD_P_53</f>
        <v/>
      </c>
      <c r="G91" s="729" t="s">
        <v>2355</v>
      </c>
      <c r="H91" s="990"/>
      <c r="I91" s="585"/>
      <c r="J91" s="277" t="str">
        <f>FHD_NOTE_P_53</f>
        <v/>
      </c>
      <c r="K91" s="743"/>
      <c r="L91" s="744"/>
      <c r="M91" s="744"/>
      <c r="R91" s="744"/>
      <c r="U91" s="745"/>
      <c r="AA91" s="746"/>
      <c r="AB91" s="746"/>
      <c r="AC91" s="746"/>
      <c r="AD91" s="746"/>
      <c r="AE91" s="746"/>
    </row>
    <row s="4615" customFormat="1" customHeight="1" ht="18.75" hidden="1">
      <c r="A92" s="2339"/>
      <c r="C92" s="744"/>
      <c r="D92" s="742"/>
      <c r="E92" s="554" t="str">
        <f>FHD_NUM_P_54</f>
        <v/>
      </c>
      <c r="F92" s="715" t="str">
        <f>FHD_P_54</f>
        <v/>
      </c>
      <c r="G92" s="729" t="s">
        <v>2355</v>
      </c>
      <c r="H92" s="990"/>
      <c r="I92" s="585"/>
      <c r="J92" s="277" t="str">
        <f>FHD_NOTE_P_54</f>
        <v/>
      </c>
      <c r="K92" s="743"/>
      <c r="L92" s="744"/>
      <c r="M92" s="744"/>
      <c r="R92" s="744"/>
      <c r="U92" s="745"/>
      <c r="AA92" s="746"/>
      <c r="AB92" s="746"/>
      <c r="AC92" s="746"/>
      <c r="AD92" s="746"/>
      <c r="AE92" s="746"/>
    </row>
    <row s="461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615" customFormat="1" customHeight="1" ht="18.75" hidden="1">
      <c r="A94" s="2339"/>
      <c r="C94" s="744"/>
      <c r="D94" s="742"/>
      <c r="E94" s="554" t="str">
        <f>FHD_NUM_P_56</f>
        <v/>
      </c>
      <c r="F94" s="715" t="str">
        <f>FHD_P_56</f>
        <v/>
      </c>
      <c r="G94" s="729" t="s">
        <v>945</v>
      </c>
      <c r="H94" s="990"/>
      <c r="I94" s="585"/>
      <c r="J94" s="277" t="str">
        <f>FHD_NOTE_P_56</f>
        <v/>
      </c>
      <c r="K94" s="743"/>
      <c r="L94" s="744"/>
      <c r="M94" s="744"/>
      <c r="R94" s="744"/>
      <c r="U94" s="745"/>
      <c r="AA94" s="746"/>
      <c r="AB94" s="746"/>
      <c r="AC94" s="746"/>
      <c r="AD94" s="746"/>
      <c r="AE94" s="746"/>
    </row>
    <row s="4624" customFormat="1" customHeight="1" ht="18.75" hidden="1">
      <c r="A95" s="2339"/>
      <c r="B95" s="922"/>
      <c r="C95" s="744"/>
      <c r="D95" s="742"/>
      <c r="E95" s="554" t="str">
        <f>FHD_NUM_P_57</f>
        <v/>
      </c>
      <c r="F95" s="715" t="str">
        <f>FHD_P_57</f>
        <v/>
      </c>
      <c r="G95" s="729" t="s">
        <v>1712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2357</v>
      </c>
      <c r="D96" s="1684"/>
      <c r="E96" s="554" t="str">
        <f>FHD_NUM_P_58</f>
        <v/>
      </c>
      <c r="F96" s="715" t="str">
        <f>FHD_P_58</f>
        <v/>
      </c>
      <c r="G96" s="729" t="s">
        <v>2355</v>
      </c>
      <c r="H96" s="990"/>
      <c r="I96" s="585"/>
      <c r="J96" s="277" t="str">
        <f>FHD_NOTE_P_58</f>
        <v/>
      </c>
      <c r="K96" s="551"/>
    </row>
    <row customHeight="1" ht="18.75" hidden="1">
      <c r="A97" s="2337"/>
      <c r="D97" s="1684"/>
      <c r="E97" s="554" t="str">
        <f>FHD_NUM_P_59</f>
        <v/>
      </c>
      <c r="F97" s="715" t="str">
        <f>FHD_P_59</f>
        <v/>
      </c>
      <c r="G97" s="729" t="s">
        <v>2355</v>
      </c>
      <c r="H97" s="990"/>
      <c r="I97" s="585"/>
      <c r="J97" s="277" t="str">
        <f>FHD_NOTE_P_59</f>
        <v/>
      </c>
      <c r="K97" s="551"/>
    </row>
    <row customHeight="1" ht="18.75" hidden="1">
      <c r="A98" s="2337"/>
      <c r="D98" s="1684"/>
      <c r="E98" s="554" t="str">
        <f>FHD_NUM_P_60</f>
        <v/>
      </c>
      <c r="F98" s="715" t="str">
        <f>FHD_P_60</f>
        <v/>
      </c>
      <c r="G98" s="729" t="s">
        <v>2355</v>
      </c>
      <c r="H98" s="990"/>
      <c r="I98" s="585"/>
      <c r="J98" s="277" t="str">
        <f>FHD_NOTE_P_60</f>
        <v/>
      </c>
      <c r="K98" s="551"/>
    </row>
    <row s="2650" customFormat="1" customHeight="1" ht="18.75" hidden="1">
      <c r="A99" s="2337" t="s">
        <v>2358</v>
      </c>
      <c r="C99" s="1682"/>
      <c r="D99" s="1684"/>
      <c r="E99" s="554" t="str">
        <f>FHD_NUM_P_61</f>
        <v/>
      </c>
      <c r="F99" s="715" t="str">
        <f>FHD_P_61</f>
        <v/>
      </c>
      <c r="G99" s="1692" t="s">
        <v>729</v>
      </c>
      <c r="H99" s="992"/>
      <c r="I99" s="751"/>
      <c r="J99" s="277" t="str">
        <f>FHD_NOTE_P_61</f>
        <v/>
      </c>
      <c r="K99" s="551"/>
      <c r="L99" s="1682"/>
      <c r="M99" s="1682"/>
      <c r="R99" s="1682"/>
      <c r="U99" s="552"/>
      <c r="AA99" s="1678"/>
      <c r="AB99" s="1678"/>
      <c r="AC99" s="1678"/>
      <c r="AD99" s="1678"/>
      <c r="AE99" s="1678"/>
    </row>
    <row s="2654" customFormat="1" customHeight="1" ht="0.75" hidden="1">
      <c r="A100" s="2337"/>
      <c r="D100" s="556"/>
      <c r="E100" s="812" t="str">
        <f>E99&amp;".0"</f>
        <v>.0</v>
      </c>
      <c r="F100" s="1007"/>
      <c r="G100" s="1008"/>
      <c r="H100" s="1005"/>
      <c r="I100" s="1005"/>
      <c r="J100" s="1009"/>
    </row>
    <row customHeight="1" ht="15" hidden="1">
      <c r="A101" s="2337"/>
      <c r="D101" s="1679"/>
      <c r="E101" s="984"/>
      <c r="F101" s="985" t="s">
        <v>1651</v>
      </c>
      <c r="G101" s="580"/>
      <c r="H101" s="581"/>
      <c r="I101" s="581"/>
      <c r="J101" s="1017" t="s">
        <v>2359</v>
      </c>
      <c r="K101" s="551"/>
    </row>
    <row s="2650" customFormat="1" customHeight="1" ht="18.75" hidden="1">
      <c r="A102" s="2337"/>
      <c r="C102" s="1682"/>
      <c r="D102" s="1684"/>
      <c r="E102" s="554" t="str">
        <f>FHD_NUM_P_62</f>
        <v/>
      </c>
      <c r="F102" s="715" t="str">
        <f>FHD_P_62</f>
        <v/>
      </c>
      <c r="G102" s="1689" t="s">
        <v>729</v>
      </c>
      <c r="H102" s="565"/>
      <c r="I102" s="565"/>
      <c r="J102" s="277" t="str">
        <f>FHD_NOTE_P_62</f>
        <v/>
      </c>
      <c r="K102" s="551"/>
      <c r="L102" s="1682"/>
      <c r="M102" s="1682"/>
      <c r="R102" s="1682"/>
      <c r="U102" s="552"/>
      <c r="AA102" s="1678"/>
      <c r="AB102" s="1678"/>
      <c r="AC102" s="1678"/>
      <c r="AD102" s="1678"/>
      <c r="AE102" s="1678"/>
    </row>
    <row s="2650" customFormat="1" customHeight="1" ht="18.75" hidden="1">
      <c r="A103" s="2337"/>
      <c r="C103" s="1682"/>
      <c r="D103" s="1684"/>
      <c r="E103" s="554" t="str">
        <f>FHD_NUM_P_63</f>
        <v/>
      </c>
      <c r="F103" s="715" t="str">
        <f>FHD_P_63</f>
        <v/>
      </c>
      <c r="G103" s="1689" t="s">
        <v>945</v>
      </c>
      <c r="H103" s="585"/>
      <c r="I103" s="585"/>
      <c r="J103" s="277" t="str">
        <f>FHD_NOTE_P_63</f>
        <v/>
      </c>
      <c r="K103" s="551"/>
      <c r="L103" s="1682"/>
      <c r="M103" s="1682"/>
      <c r="R103" s="1682"/>
      <c r="U103" s="552"/>
      <c r="AA103" s="1678"/>
      <c r="AB103" s="1678"/>
      <c r="AC103" s="1678"/>
      <c r="AD103" s="1678"/>
      <c r="AE103" s="1678"/>
    </row>
    <row s="2650" customFormat="1" customHeight="1" ht="18.75" hidden="1">
      <c r="A104" s="2337"/>
      <c r="C104" s="1682" t="s">
        <v>2360</v>
      </c>
      <c r="D104" s="1684"/>
      <c r="E104" s="554" t="str">
        <f>FHD_NUM_P_64</f>
        <v/>
      </c>
      <c r="F104" s="715" t="str">
        <f>FHD_P_64</f>
        <v/>
      </c>
      <c r="G104" s="1689" t="s">
        <v>945</v>
      </c>
      <c r="H104" s="553"/>
      <c r="I104" s="553"/>
      <c r="J104" s="277" t="str">
        <f>FHD_NOTE_P_64</f>
        <v/>
      </c>
      <c r="K104" s="551"/>
      <c r="L104" s="1682"/>
      <c r="M104" s="1682"/>
      <c r="R104" s="1682"/>
      <c r="U104" s="552"/>
      <c r="AA104" s="1678"/>
      <c r="AB104" s="1678"/>
      <c r="AC104" s="1678"/>
      <c r="AD104" s="1678"/>
      <c r="AE104" s="1678"/>
    </row>
    <row s="2650" customFormat="1" customHeight="1" ht="18.75" hidden="1">
      <c r="A105" s="2337"/>
      <c r="C105" s="1682"/>
      <c r="D105" s="1684"/>
      <c r="E105" s="554" t="str">
        <f>FHD_NUM_P_65</f>
        <v/>
      </c>
      <c r="F105" s="715" t="str">
        <f>FHD_P_65</f>
        <v/>
      </c>
      <c r="G105" s="1689" t="s">
        <v>945</v>
      </c>
      <c r="H105" s="585"/>
      <c r="I105" s="585"/>
      <c r="J105" s="277" t="str">
        <f>FHD_NOTE_P_65</f>
        <v/>
      </c>
      <c r="K105" s="551"/>
      <c r="L105" s="1682"/>
      <c r="M105" s="1682"/>
      <c r="R105" s="1682"/>
      <c r="U105" s="552"/>
      <c r="AA105" s="1678"/>
      <c r="AB105" s="1678"/>
      <c r="AC105" s="1678"/>
      <c r="AD105" s="1678"/>
      <c r="AE105" s="1678"/>
    </row>
    <row s="2650" customFormat="1" customHeight="1" ht="18.75" hidden="1">
      <c r="A106" s="2337"/>
      <c r="C106" s="1682"/>
      <c r="D106" s="1684"/>
      <c r="E106" s="554" t="str">
        <f>FHD_NUM_P_66</f>
        <v/>
      </c>
      <c r="F106" s="967" t="str">
        <f>FHD_P_66</f>
        <v/>
      </c>
      <c r="G106" s="1689" t="s">
        <v>945</v>
      </c>
      <c r="H106" s="585"/>
      <c r="I106" s="585"/>
      <c r="J106" s="277" t="str">
        <f>FHD_NOTE_P_66</f>
        <v/>
      </c>
      <c r="K106" s="551"/>
      <c r="L106" s="1682"/>
      <c r="M106" s="1682"/>
      <c r="R106" s="1682"/>
      <c r="U106" s="552"/>
      <c r="AA106" s="1678"/>
      <c r="AB106" s="1678"/>
      <c r="AC106" s="1678"/>
      <c r="AD106" s="1678"/>
      <c r="AE106" s="1678"/>
    </row>
    <row s="2650" customFormat="1" customHeight="1" ht="18.75" hidden="1">
      <c r="A107" s="2337"/>
      <c r="C107" s="1682"/>
      <c r="D107" s="1684"/>
      <c r="E107" s="554" t="str">
        <f>FHD_NUM_P_67</f>
        <v/>
      </c>
      <c r="F107" s="1696" t="str">
        <f>FHD_P_67</f>
        <v/>
      </c>
      <c r="G107" s="1689" t="s">
        <v>945</v>
      </c>
      <c r="H107" s="585"/>
      <c r="I107" s="585"/>
      <c r="J107" s="277" t="str">
        <f>FHD_NOTE_P_67</f>
        <v/>
      </c>
      <c r="K107" s="551"/>
      <c r="L107" s="1682"/>
      <c r="M107" s="1682"/>
      <c r="R107" s="1682"/>
      <c r="U107" s="552"/>
      <c r="AA107" s="1678"/>
      <c r="AB107" s="1678"/>
      <c r="AC107" s="1678"/>
      <c r="AD107" s="1678"/>
      <c r="AE107" s="1678"/>
    </row>
    <row s="2650" customFormat="1" customHeight="1" ht="18.75" hidden="1">
      <c r="A108" s="2337"/>
      <c r="C108" s="1682"/>
      <c r="D108" s="1684"/>
      <c r="E108" s="554" t="str">
        <f>FHD_NUM_P_68</f>
        <v/>
      </c>
      <c r="F108" s="967" t="str">
        <f>FHD_P_68</f>
        <v/>
      </c>
      <c r="G108" s="1689" t="s">
        <v>945</v>
      </c>
      <c r="H108" s="585"/>
      <c r="I108" s="585"/>
      <c r="J108" s="277" t="str">
        <f>FHD_NOTE_P_68</f>
        <v/>
      </c>
      <c r="K108" s="551"/>
      <c r="L108" s="1682"/>
      <c r="M108" s="1682"/>
      <c r="R108" s="1682"/>
      <c r="U108" s="552"/>
      <c r="AA108" s="1678"/>
      <c r="AB108" s="1678"/>
      <c r="AC108" s="1678"/>
      <c r="AD108" s="1678"/>
      <c r="AE108" s="1678"/>
    </row>
    <row s="2650" customFormat="1" customHeight="1" ht="18.75" hidden="1">
      <c r="A109" s="2337"/>
      <c r="C109" s="1682"/>
      <c r="D109" s="1684"/>
      <c r="E109" s="554" t="str">
        <f>FHD_NUM_P_69</f>
        <v/>
      </c>
      <c r="F109" s="967" t="str">
        <f>FHD_P_69</f>
        <v/>
      </c>
      <c r="G109" s="1689" t="s">
        <v>945</v>
      </c>
      <c r="H109" s="585"/>
      <c r="I109" s="585"/>
      <c r="J109" s="277" t="str">
        <f>FHD_NOTE_P_69</f>
        <v/>
      </c>
      <c r="K109" s="551"/>
      <c r="L109" s="1682"/>
      <c r="M109" s="1682"/>
      <c r="R109" s="1682"/>
      <c r="U109" s="552"/>
      <c r="AA109" s="1678"/>
      <c r="AB109" s="1678"/>
      <c r="AC109" s="1678"/>
      <c r="AD109" s="1678"/>
      <c r="AE109" s="1678"/>
    </row>
    <row s="2650" customFormat="1" customHeight="1" ht="22.5" hidden="1">
      <c r="A110" s="2337"/>
      <c r="C110" s="1682"/>
      <c r="D110" s="1684"/>
      <c r="E110" s="554" t="str">
        <f>FHD_NUM_P_70</f>
        <v/>
      </c>
      <c r="F110" s="715" t="str">
        <f>FHD_P_70</f>
        <v/>
      </c>
      <c r="G110" s="1689" t="s">
        <v>2361</v>
      </c>
      <c r="H110" s="565"/>
      <c r="I110" s="565"/>
      <c r="J110" s="277" t="str">
        <f>FHD_NOTE_P_70</f>
        <v/>
      </c>
      <c r="K110" s="551"/>
      <c r="L110" s="1682"/>
      <c r="M110" s="1682"/>
      <c r="R110" s="1682"/>
      <c r="U110" s="552"/>
      <c r="AA110" s="1678"/>
      <c r="AB110" s="1678"/>
      <c r="AC110" s="1678"/>
      <c r="AD110" s="1678"/>
      <c r="AE110" s="1678"/>
    </row>
    <row s="2650" customFormat="1" customHeight="1" ht="22.5" hidden="1">
      <c r="A111" s="2337"/>
      <c r="C111" s="1682"/>
      <c r="D111" s="1684"/>
      <c r="E111" s="554" t="str">
        <f>FHD_NUM_P_71</f>
        <v/>
      </c>
      <c r="F111" s="715" t="str">
        <f>FHD_P_71</f>
        <v/>
      </c>
      <c r="G111" s="1689" t="s">
        <v>2361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2362</v>
      </c>
      <c r="H112" s="585"/>
      <c r="I112" s="585"/>
      <c r="J112" s="277" t="str">
        <f>FHD_NOTE_P_72</f>
        <v/>
      </c>
      <c r="K112" s="551"/>
    </row>
    <row customHeight="1" ht="18.75" hidden="1">
      <c r="A113" s="1002" t="s">
        <v>2363</v>
      </c>
      <c r="D113" s="1684"/>
      <c r="E113" s="554" t="str">
        <f>FHD_NUM_P_73</f>
        <v/>
      </c>
      <c r="F113" s="715" t="str">
        <f>FHD_P_73</f>
        <v/>
      </c>
      <c r="G113" s="983" t="s">
        <v>2362</v>
      </c>
      <c r="H113" s="981"/>
      <c r="I113" s="981"/>
      <c r="J113" s="277" t="str">
        <f>FHD_NOTE_P_73</f>
        <v/>
      </c>
      <c r="K113" s="551"/>
    </row>
    <row customHeight="1" ht="33.75">
      <c r="A114" s="1002" t="s">
        <v>2364</v>
      </c>
      <c r="D114" s="1684"/>
      <c r="E114" s="554" t="str">
        <f>FHD_NUM_P_74</f>
        <v>13</v>
      </c>
      <c r="F114" s="715" t="str">
        <f>FHD_P_74</f>
        <v>Удельный расход электрической энергии на подачу воды в сеть</v>
      </c>
      <c r="G114" s="982" t="s">
        <v>2365</v>
      </c>
      <c r="H114" s="585"/>
      <c r="I114" s="585"/>
      <c r="J114" s="277" t="str">
        <f>FHD_NOTE_P_74</f>
        <v/>
      </c>
      <c r="K114" s="551"/>
    </row>
    <row s="4624" customFormat="1" customHeight="1" ht="18.75">
      <c r="A115" s="2339" t="s">
        <v>2366</v>
      </c>
      <c r="B115" s="922"/>
      <c r="C115" s="744"/>
      <c r="D115" s="742"/>
      <c r="E115" s="554" t="str">
        <f>FHD_NUM_P_75</f>
        <v>14</v>
      </c>
      <c r="F115" s="715" t="str">
        <f>FHD_P_75</f>
        <v>Расход воды на собственные нужды, в том числе:</v>
      </c>
      <c r="G115" s="982" t="s">
        <v>1712</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624" customFormat="1" customHeight="1" ht="18.75">
      <c r="A116" s="2339"/>
      <c r="B116" s="922"/>
      <c r="C116" s="744"/>
      <c r="D116" s="742"/>
      <c r="E116" s="554" t="str">
        <f>FHD_NUM_P_76</f>
        <v>14.1</v>
      </c>
      <c r="F116" s="715" t="str">
        <f>FHD_P_76</f>
        <v>Расход воды на хозяйственно-бытовые нужды</v>
      </c>
      <c r="G116" s="982" t="s">
        <v>1712</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62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1712</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4" customFormat="1" customHeight="1" ht="0.75">
      <c r="A118" s="2339"/>
      <c r="D118" s="556"/>
      <c r="E118" s="812" t="str">
        <f>E117&amp;".0"</f>
        <v>15.0</v>
      </c>
      <c r="F118" s="1010"/>
      <c r="G118" s="1697"/>
      <c r="H118" s="1005"/>
      <c r="I118" s="1005"/>
      <c r="J118" s="1009"/>
    </row>
    <row s="4624" customFormat="1" customHeight="1" ht="15">
      <c r="A119" s="2339"/>
      <c r="B119" s="922"/>
      <c r="C119" s="744"/>
      <c r="D119" s="755"/>
      <c r="E119" s="986"/>
      <c r="F119" s="987" t="s">
        <v>2367</v>
      </c>
      <c r="G119" s="756"/>
      <c r="H119" s="757"/>
      <c r="I119" s="757"/>
      <c r="J119" s="1016" t="s">
        <v>2368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2369</v>
      </c>
      <c r="D120" s="1684"/>
      <c r="E120" s="554" t="str">
        <f>FHD_NUM_P_78</f>
        <v/>
      </c>
      <c r="F120" s="715" t="str">
        <f>FHD_P_78</f>
        <v/>
      </c>
      <c r="G120" s="1689" t="s">
        <v>2339</v>
      </c>
      <c r="H120" s="585"/>
      <c r="I120" s="585"/>
      <c r="J120" s="277" t="str">
        <f>FHD_NOTE_P_78</f>
        <v/>
      </c>
      <c r="K120" s="551"/>
    </row>
    <row s="2654" customFormat="1" customHeight="1" ht="0.75" hidden="1">
      <c r="A121" s="2337"/>
      <c r="D121" s="556"/>
      <c r="E121" s="812" t="str">
        <f>E120&amp;".0"</f>
        <v>.0</v>
      </c>
      <c r="F121" s="1010"/>
      <c r="G121" s="1697"/>
      <c r="H121" s="1005"/>
      <c r="I121" s="1005"/>
      <c r="J121" s="1009"/>
    </row>
    <row customHeight="1" ht="15" hidden="1">
      <c r="A122" s="2337"/>
      <c r="D122" s="1679"/>
      <c r="E122" s="578"/>
      <c r="F122" s="588" t="s">
        <v>1651</v>
      </c>
      <c r="G122" s="580"/>
      <c r="H122" s="581"/>
      <c r="I122" s="581"/>
      <c r="J122" s="1017" t="s">
        <v>2370</v>
      </c>
      <c r="K122" s="551"/>
    </row>
    <row customHeight="1" ht="22.5" hidden="1">
      <c r="A123" s="2337"/>
      <c r="D123" s="1684"/>
      <c r="E123" s="554" t="str">
        <f>FHD_NUM_P_79</f>
        <v/>
      </c>
      <c r="F123" s="715" t="str">
        <f>FHD_P_79</f>
        <v/>
      </c>
      <c r="G123" s="1692" t="s">
        <v>2341</v>
      </c>
      <c r="H123" s="585"/>
      <c r="I123" s="585"/>
      <c r="J123" s="277" t="str">
        <f>FHD_NOTE_P_79</f>
        <v/>
      </c>
      <c r="K123" s="551"/>
    </row>
    <row s="2654" customFormat="1" customHeight="1" ht="0.75" hidden="1">
      <c r="A124" s="2337"/>
      <c r="D124" s="556"/>
      <c r="E124" s="812" t="str">
        <f>E123&amp;".0"</f>
        <v>.0</v>
      </c>
      <c r="F124" s="1011"/>
      <c r="G124" s="1697"/>
      <c r="H124" s="1005"/>
      <c r="I124" s="1005"/>
      <c r="J124" s="1009"/>
    </row>
    <row customHeight="1" ht="15" hidden="1">
      <c r="A125" s="2337"/>
      <c r="D125" s="1679"/>
      <c r="E125" s="578"/>
      <c r="F125" s="588" t="s">
        <v>1651</v>
      </c>
      <c r="G125" s="580"/>
      <c r="H125" s="581"/>
      <c r="I125" s="581"/>
      <c r="J125" s="1017" t="s">
        <v>2371</v>
      </c>
      <c r="K125" s="551"/>
    </row>
    <row customHeight="1" ht="22.5" hidden="1">
      <c r="A126" s="2337"/>
      <c r="D126" s="1684"/>
      <c r="E126" s="554" t="str">
        <f>FHD_NUM_P_80</f>
        <v/>
      </c>
      <c r="F126" s="715" t="str">
        <f>FHD_P_80</f>
        <v/>
      </c>
      <c r="G126" s="1692" t="s">
        <v>2372</v>
      </c>
      <c r="H126" s="565"/>
      <c r="I126" s="565"/>
      <c r="J126" s="277" t="str">
        <f>FHD_NOTE_P_80</f>
        <v/>
      </c>
      <c r="K126" s="551"/>
    </row>
    <row customHeight="1" ht="18.75" hidden="1">
      <c r="A127" s="2337"/>
      <c r="D127" s="1684"/>
      <c r="E127" s="554" t="str">
        <f>FHD_NUM_P_81</f>
        <v/>
      </c>
      <c r="F127" s="715" t="str">
        <f>FHD_P_81</f>
        <v/>
      </c>
      <c r="G127" s="1692" t="s">
        <v>2373</v>
      </c>
      <c r="H127" s="565"/>
      <c r="I127" s="565"/>
      <c r="J127" s="277" t="str">
        <f>FHD_NOTE_P_81</f>
        <v/>
      </c>
      <c r="K127" s="551"/>
    </row>
    <row customHeight="1" ht="18.75" hidden="1">
      <c r="A128" s="2337"/>
      <c r="C128" s="1682" t="s">
        <v>2360</v>
      </c>
      <c r="D128" s="1684"/>
      <c r="E128" s="554" t="str">
        <f>FHD_NUM_P_82</f>
        <v/>
      </c>
      <c r="F128" s="715" t="str">
        <f>FHD_P_82</f>
        <v/>
      </c>
      <c r="G128" s="1692" t="s">
        <v>395</v>
      </c>
      <c r="H128" s="408"/>
      <c r="I128" s="408"/>
      <c r="J128" s="277" t="str">
        <f>FHD_NOTE_P_82</f>
        <v/>
      </c>
      <c r="K128" s="551"/>
    </row>
    <row customHeight="1" ht="18.75" hidden="1">
      <c r="A129" s="2337"/>
      <c r="C129" s="1682" t="s">
        <v>2360</v>
      </c>
      <c r="D129" s="1684"/>
      <c r="E129" s="554" t="str">
        <f>FHD_NUM_P_83</f>
        <v/>
      </c>
      <c r="F129" s="967" t="str">
        <f>FHD_P_83</f>
        <v/>
      </c>
      <c r="G129" s="1692" t="s">
        <v>395</v>
      </c>
      <c r="H129" s="408"/>
      <c r="I129" s="408"/>
      <c r="J129" s="277" t="str">
        <f>FHD_NOTE_P_83</f>
        <v/>
      </c>
      <c r="K129" s="551"/>
    </row>
    <row customHeight="1" ht="18.75" hidden="1">
      <c r="A130" s="2337"/>
      <c r="C130" s="1682" t="s">
        <v>2360</v>
      </c>
      <c r="D130" s="1684"/>
      <c r="E130" s="554" t="str">
        <f>FHD_NUM_P_84</f>
        <v/>
      </c>
      <c r="F130" s="967" t="str">
        <f>FHD_P_84</f>
        <v/>
      </c>
      <c r="G130" s="1692" t="s">
        <v>395</v>
      </c>
      <c r="H130" s="408"/>
      <c r="I130" s="408"/>
      <c r="J130" s="277" t="str">
        <f>FHD_NOTE_P_84</f>
        <v/>
      </c>
      <c r="K130" s="551"/>
    </row>
    <row customHeight="1" ht="11.25">
      <c r="D131" s="1684"/>
    </row>
    <row customHeight="1" ht="12.75">
      <c r="D132" s="1684"/>
      <c r="E132" s="332"/>
      <c r="F132" s="369"/>
      <c r="G132" s="369"/>
      <c r="H132" s="369"/>
      <c r="I132" s="1693"/>
      <c r="J132" s="589"/>
    </row>
    <row s="458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8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8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8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8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8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8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8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8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8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8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8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8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8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8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8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8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8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8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8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8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8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8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8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8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8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8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8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8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8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8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8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8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8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8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8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8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8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8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8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8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8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8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8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8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8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8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8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8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8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8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8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8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8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8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8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8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8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8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8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8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8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8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58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58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58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58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58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58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58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58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58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58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58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58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58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58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58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58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58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58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58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58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58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58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58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58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58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58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58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58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58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58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58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58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58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58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58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58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58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58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58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58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58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58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58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58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58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58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58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58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58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58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58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58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58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58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58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58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58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58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58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58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58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58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58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58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58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58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58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58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58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58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58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58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58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58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58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58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58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58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58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58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58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58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58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58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58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58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58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58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58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58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58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58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58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F794F-6356-5766-954C-150577DFF99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655" width="14.7109375" hidden="1" customWidth="1"/>
    <col min="2" max="2" style="3078" width="17.00390625" hidden="1" customWidth="1"/>
    <col min="3" max="3" style="3080" width="3.7109375" customWidth="1"/>
    <col min="4" max="4" style="3080" width="1.8515625" hidden="1" customWidth="1"/>
    <col min="5" max="6" style="3080" width="7.7109375" customWidth="1"/>
    <col min="7" max="7" style="3080" width="29.7109375" customWidth="1"/>
    <col min="8" max="8" style="3080" width="3.7109375" customWidth="1"/>
    <col min="9" max="9" style="3080" width="5.421875" customWidth="1"/>
    <col min="10" max="10" style="3080" width="24.57421875" customWidth="1"/>
    <col min="11" max="11" style="3080" width="24.421875" customWidth="1"/>
    <col min="12" max="12" style="3080" width="3.7109375" customWidth="1"/>
    <col min="13" max="13" style="3080" width="6.28125" customWidth="1"/>
    <col min="14" max="14" style="3080" width="25.8515625" customWidth="1"/>
    <col min="15" max="18" style="3080" width="18.7109375" customWidth="1"/>
    <col min="19" max="19" style="3080" width="93.421875" customWidth="1"/>
    <col min="20" max="20" style="3080" width="10.57421875" customWidth="1"/>
    <col min="21" max="21" style="4657" width="10.57421875" customWidth="1"/>
    <col min="22" max="22" style="4657" width="11.7109375" customWidth="1"/>
    <col min="23" max="23" style="4658" width="10.57421875" customWidth="1"/>
    <col min="24" max="27" style="3078" width="10.57421875" customWidth="1"/>
    <col min="28" max="83" style="308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ГУП СК "Ставрополькрайводоканал"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389</v>
      </c>
      <c r="F9" s="1941"/>
      <c r="G9" s="1941"/>
      <c r="H9" s="1941"/>
      <c r="I9" s="1941"/>
      <c r="J9" s="1941"/>
      <c r="K9" s="1941"/>
      <c r="L9" s="1941"/>
      <c r="M9" s="1941"/>
      <c r="N9" s="1941"/>
      <c r="O9" s="1941"/>
      <c r="P9" s="1941"/>
      <c r="Q9" s="1941"/>
      <c r="R9" s="1942"/>
      <c r="S9" s="1966" t="s">
        <v>390</v>
      </c>
      <c r="T9" s="330"/>
    </row>
    <row customHeight="1" ht="33.75">
      <c r="D10" s="559" t="s">
        <v>88</v>
      </c>
      <c r="E10" s="1966" t="s">
        <v>88</v>
      </c>
      <c r="F10" s="1966"/>
      <c r="G10" s="529" t="s">
        <v>391</v>
      </c>
      <c r="H10" s="1966" t="s">
        <v>88</v>
      </c>
      <c r="I10" s="1966"/>
      <c r="J10" s="529" t="s">
        <v>2374</v>
      </c>
      <c r="K10" s="529" t="s">
        <v>2375</v>
      </c>
      <c r="L10" s="1966" t="s">
        <v>88</v>
      </c>
      <c r="M10" s="1966"/>
      <c r="N10" s="529" t="s">
        <v>2376</v>
      </c>
      <c r="O10" s="529" t="s">
        <v>2377</v>
      </c>
      <c r="P10" s="529" t="s">
        <v>2378</v>
      </c>
      <c r="Q10" s="529" t="s">
        <v>2379</v>
      </c>
      <c r="R10" s="529" t="s">
        <v>2380</v>
      </c>
      <c r="S10" s="1966"/>
      <c r="T10" s="330"/>
    </row>
    <row s="2586" customFormat="1" customHeight="1" ht="15" hidden="1">
      <c r="A11" s="1065"/>
      <c r="D11" s="1038" t="s">
        <v>159</v>
      </c>
      <c r="E11" s="1038"/>
      <c r="F11" s="1038" t="s">
        <v>102</v>
      </c>
      <c r="G11" s="1038" t="s">
        <v>90</v>
      </c>
      <c r="H11" s="1038"/>
      <c r="I11" s="1038" t="s">
        <v>91</v>
      </c>
      <c r="J11" s="1038" t="s">
        <v>113</v>
      </c>
      <c r="K11" s="1038" t="s">
        <v>92</v>
      </c>
      <c r="L11" s="1038"/>
      <c r="M11" s="1038" t="s">
        <v>93</v>
      </c>
      <c r="N11" s="1038" t="s">
        <v>123</v>
      </c>
      <c r="O11" s="1038" t="s">
        <v>127</v>
      </c>
      <c r="P11" s="1038" t="s">
        <v>131</v>
      </c>
      <c r="Q11" s="1038" t="s">
        <v>135</v>
      </c>
      <c r="R11" s="1038" t="s">
        <v>139</v>
      </c>
      <c r="S11" s="1038" t="s">
        <v>142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467</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7" customFormat="1" customHeight="1" ht="15" hidden="1">
      <c r="A14" s="631" t="s">
        <v>225</v>
      </c>
      <c r="B14" s="632"/>
      <c r="C14" s="632"/>
      <c r="D14" s="2340" t="s">
        <v>159</v>
      </c>
      <c r="E14" s="2142" t="s">
        <v>217</v>
      </c>
      <c r="F14" s="2143"/>
      <c r="G14" s="2144"/>
      <c r="H14" s="2145" t="str">
        <f>IF(A14="","",INDEX(DIFFERENTIATION_UNMERGE_VD,MATCH(A14,DIFFERENTIATION_ID_DIFF,0)))</f>
        <v>Подключение (технологическое присоединение) к централизованной системе водоснабжения</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513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7" customFormat="1" customHeight="1" ht="15" hidden="1">
      <c r="A15" s="631"/>
      <c r="B15" s="632"/>
      <c r="C15" s="632"/>
      <c r="D15" s="2341"/>
      <c r="E15" s="2142" t="s">
        <v>514</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7" customFormat="1" customHeight="1" ht="15" hidden="1">
      <c r="A16" s="631"/>
      <c r="B16" s="632"/>
      <c r="C16" s="632"/>
      <c r="D16" s="2341"/>
      <c r="E16" s="2142" t="s">
        <v>515</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7" customFormat="1" customHeight="1" ht="22.5" hidden="1">
      <c r="A17" s="641"/>
      <c r="B17" s="424"/>
      <c r="C17" s="419"/>
      <c r="D17" s="2341"/>
      <c r="E17" s="2155" t="s">
        <v>516</v>
      </c>
      <c r="F17" s="2155"/>
      <c r="G17" s="2155"/>
      <c r="H17" s="2155"/>
      <c r="I17" s="2155"/>
      <c r="J17" s="2155"/>
      <c r="K17" s="2155"/>
      <c r="L17" s="2155"/>
      <c r="M17" s="2155"/>
      <c r="N17" s="2155"/>
      <c r="O17" s="2155"/>
      <c r="P17" s="2155"/>
      <c r="Q17" s="566">
        <f>SUMIF(T18:T19,"i",Q18:Q19)</f>
        <v>0</v>
      </c>
      <c r="R17" s="1030"/>
      <c r="S17" s="909" t="s">
        <v>517</v>
      </c>
      <c r="T17" s="725" t="s">
        <v>518</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7"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7"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7" customFormat="1" customHeight="1" ht="22.5" hidden="1">
      <c r="A20" s="641"/>
      <c r="B20" s="424"/>
      <c r="C20" s="419"/>
      <c r="D20" s="2341"/>
      <c r="E20" s="2155" t="s">
        <v>521</v>
      </c>
      <c r="F20" s="2155"/>
      <c r="G20" s="2155"/>
      <c r="H20" s="2155"/>
      <c r="I20" s="2155"/>
      <c r="J20" s="2155"/>
      <c r="K20" s="2155"/>
      <c r="L20" s="2155"/>
      <c r="M20" s="2155"/>
      <c r="N20" s="2155"/>
      <c r="O20" s="2155"/>
      <c r="P20" s="2155"/>
      <c r="Q20" s="566">
        <f>SUMIF(T21:T22,"i",Q21:Q22)</f>
        <v>0</v>
      </c>
      <c r="R20" s="1030"/>
      <c r="S20" s="717" t="s">
        <v>522</v>
      </c>
      <c r="T20" s="725" t="s">
        <v>518</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7"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7"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3EB2F-DEB6-2F86-7BEC-94A2AC85253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565" width="10.7109375" hidden="1" customWidth="1"/>
    <col min="2" max="2" style="2650" width="16.8515625" hidden="1" customWidth="1"/>
    <col min="3" max="3" style="2654" width="5.57421875" hidden="1" customWidth="1"/>
    <col min="4" max="4" style="4652" width="3.7109375" customWidth="1"/>
    <col min="5" max="5" style="2876" width="7.7109375" customWidth="1"/>
    <col min="6" max="6" style="2876" width="56.140625" customWidth="1"/>
    <col min="7" max="7" style="2876" width="10.421875" customWidth="1"/>
    <col min="8" max="8" style="2876" width="40.7109375" hidden="1" customWidth="1"/>
    <col min="9" max="9" style="2876" width="40.7109375" customWidth="1"/>
    <col min="10" max="10" style="2876" width="102.8515625" customWidth="1"/>
    <col min="11" max="11" style="2650" width="9.7109375" customWidth="1"/>
    <col min="12" max="12" style="2654" width="5.28125" customWidth="1"/>
    <col min="13" max="13" style="2654" width="3.7109375" customWidth="1"/>
    <col min="14" max="17" style="2650" width="3.7109375" customWidth="1"/>
    <col min="18" max="18" style="2654" width="10.57421875" customWidth="1"/>
    <col min="19" max="19" style="2650" width="34.7109375" customWidth="1"/>
    <col min="20" max="20" style="2650" width="9.421875" customWidth="1"/>
    <col min="21" max="21" style="4569" width="9.140625"/>
    <col min="22" max="26" style="2650" width="9.140625"/>
    <col min="27" max="31" style="2875" width="9.140625"/>
  </cols>
  <sheetData>
    <row s="2650" customFormat="1" customHeight="1" ht="11.25" hidden="1">
      <c r="A1" s="1000"/>
      <c r="C1" s="1682"/>
      <c r="D1" s="545"/>
      <c r="H1" s="1174">
        <v>4</v>
      </c>
      <c r="I1" s="1174">
        <v>4</v>
      </c>
      <c r="L1" s="1682"/>
      <c r="M1" s="1682"/>
      <c r="R1" s="1682"/>
    </row>
    <row s="2650" customFormat="1" customHeight="1" ht="22.5" hidden="1">
      <c r="A2" s="1000"/>
      <c r="C2" s="1682"/>
      <c r="D2" s="546"/>
      <c r="E2" s="1683"/>
      <c r="F2" s="548"/>
      <c r="G2" s="1685" t="s">
        <v>2333</v>
      </c>
      <c r="H2" s="549"/>
      <c r="I2" s="549"/>
      <c r="J2" s="550" t="s">
        <v>2381</v>
      </c>
      <c r="K2" s="551"/>
      <c r="L2" s="1682"/>
      <c r="M2" s="1682"/>
      <c r="R2" s="1682"/>
      <c r="U2" s="552"/>
      <c r="AA2" s="1678"/>
      <c r="AB2" s="1678"/>
      <c r="AC2" s="1678"/>
      <c r="AD2" s="1678"/>
      <c r="AE2" s="1678"/>
    </row>
    <row customHeight="1" ht="11.25" hidden="1"/>
    <row s="287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2382</v>
      </c>
      <c r="F6" s="2169"/>
      <c r="G6" s="2169"/>
      <c r="H6" s="2169"/>
      <c r="I6" s="2170"/>
      <c r="J6" s="564"/>
    </row>
    <row customHeight="1" ht="24">
      <c r="E7" s="2171" t="str">
        <f>IF(org=0,"Не определено",org)</f>
        <v>ГУП СК "Ставрополькрайводоканал"</v>
      </c>
      <c r="F7" s="2172"/>
      <c r="G7" s="2172"/>
      <c r="H7" s="2172"/>
      <c r="I7" s="2173"/>
    </row>
    <row customHeight="1" ht="11.25">
      <c r="E8" s="1149"/>
      <c r="F8" s="1149"/>
      <c r="G8" s="1149"/>
      <c r="H8" s="1149"/>
      <c r="I8" s="1149"/>
    </row>
    <row s="2654" customFormat="1" customHeight="1" ht="0.75">
      <c r="A9" s="1181"/>
      <c r="D9" s="1688"/>
      <c r="H9" s="900"/>
      <c r="I9" s="900" t="s">
        <v>225</v>
      </c>
    </row>
    <row customHeight="1" ht="11.25">
      <c r="E10" s="719"/>
      <c r="F10" s="2308" t="s">
        <v>217</v>
      </c>
      <c r="G10" s="2309"/>
      <c r="H10" s="1598" t="str">
        <f>IF(H9="","",INDEX(DIFFERENTIATION_UNMERGE_VD,MATCH(H9,DIFFERENTIATION_ID_DIFF,0)))</f>
        <v/>
      </c>
      <c r="I10" s="1598" t="str">
        <f>IF(I9="","",INDEX(DIFFERENTIATION_UNMERGE_VD,MATCH(I9,DIFFERENTIATION_ID_DIFF,0)))</f>
        <v>Подключение (технологическое присоединение) к централизованной системе водоснабжения</v>
      </c>
      <c r="J10" s="1966"/>
    </row>
    <row customHeight="1" ht="11.25">
      <c r="E11" s="719"/>
      <c r="F11" s="2308" t="s">
        <v>514</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515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389</v>
      </c>
      <c r="F13" s="2311"/>
      <c r="G13" s="2311"/>
      <c r="H13" s="1597"/>
      <c r="I13" s="1597"/>
      <c r="J13" s="1966"/>
    </row>
    <row customHeight="1" ht="22.5">
      <c r="E14" s="1685" t="s">
        <v>88</v>
      </c>
      <c r="F14" s="1680" t="s">
        <v>391</v>
      </c>
      <c r="G14" s="1680" t="s">
        <v>1694</v>
      </c>
      <c r="H14" s="1680" t="s">
        <v>392</v>
      </c>
      <c r="I14" s="1680" t="s">
        <v>392</v>
      </c>
      <c r="J14" s="1966"/>
    </row>
    <row customHeight="1" ht="18.75">
      <c r="D15" s="1684"/>
      <c r="E15" s="1676" t="s">
        <v>159</v>
      </c>
      <c r="F15" s="715" t="s">
        <v>2383</v>
      </c>
      <c r="G15" s="1692" t="s">
        <v>2333</v>
      </c>
      <c r="H15" s="565"/>
      <c r="I15" s="565"/>
      <c r="J15" s="277" t="s">
        <v>2384</v>
      </c>
      <c r="K15" s="551" t="s">
        <v>2385</v>
      </c>
    </row>
    <row customHeight="1" ht="33.75">
      <c r="D16" s="1684"/>
      <c r="E16" s="1676" t="s">
        <v>102</v>
      </c>
      <c r="F16" s="715" t="s">
        <v>2386</v>
      </c>
      <c r="G16" s="1692" t="s">
        <v>2333</v>
      </c>
      <c r="H16" s="566">
        <f>SUM(H17,H20:H32)</f>
        <v>0</v>
      </c>
      <c r="I16" s="566">
        <f>SUM(I17,I20:I32)</f>
        <v>0</v>
      </c>
      <c r="J16" s="277" t="s">
        <v>2387</v>
      </c>
      <c r="K16" s="551" t="s">
        <v>2385</v>
      </c>
    </row>
    <row customHeight="1" ht="18.75">
      <c r="D17" s="1684"/>
      <c r="E17" s="1710" t="s">
        <v>552</v>
      </c>
      <c r="F17" s="967" t="s">
        <v>2388</v>
      </c>
      <c r="G17" s="1689" t="s">
        <v>2333</v>
      </c>
      <c r="H17" s="565"/>
      <c r="I17" s="565"/>
      <c r="J17" s="277" t="s">
        <v>2389</v>
      </c>
      <c r="K17" s="551"/>
    </row>
    <row customHeight="1" ht="22.5">
      <c r="D18" s="1684"/>
      <c r="E18" s="1710" t="s">
        <v>554</v>
      </c>
      <c r="F18" s="1696" t="s">
        <v>2390</v>
      </c>
      <c r="G18" s="1689" t="s">
        <v>2333</v>
      </c>
      <c r="H18" s="565"/>
      <c r="I18" s="565"/>
      <c r="J18" s="277" t="s">
        <v>2391</v>
      </c>
      <c r="K18" s="551"/>
    </row>
    <row customHeight="1" ht="33.75">
      <c r="D19" s="1684"/>
      <c r="E19" s="1710" t="s">
        <v>2392</v>
      </c>
      <c r="F19" s="1696" t="s">
        <v>2393</v>
      </c>
      <c r="G19" s="1689" t="s">
        <v>2333</v>
      </c>
      <c r="H19" s="565"/>
      <c r="I19" s="565"/>
      <c r="J19" s="277"/>
      <c r="K19" s="551"/>
    </row>
    <row customHeight="1" ht="18.75">
      <c r="D20" s="1684"/>
      <c r="E20" s="1710" t="s">
        <v>396</v>
      </c>
      <c r="F20" s="967" t="s">
        <v>2394</v>
      </c>
      <c r="G20" s="1689" t="s">
        <v>2333</v>
      </c>
      <c r="H20" s="565"/>
      <c r="I20" s="565"/>
      <c r="J20" s="277" t="s">
        <v>2395</v>
      </c>
      <c r="K20" s="551"/>
    </row>
    <row customHeight="1" ht="18.75">
      <c r="D21" s="1684"/>
      <c r="E21" s="1710" t="s">
        <v>1451</v>
      </c>
      <c r="F21" s="1696" t="s">
        <v>2396</v>
      </c>
      <c r="G21" s="1689" t="s">
        <v>2333</v>
      </c>
      <c r="H21" s="565"/>
      <c r="I21" s="565"/>
      <c r="J21" s="277"/>
      <c r="K21" s="551"/>
    </row>
    <row customHeight="1" ht="18.75">
      <c r="D22" s="1684"/>
      <c r="E22" s="1710" t="s">
        <v>1456</v>
      </c>
      <c r="F22" s="1696" t="s">
        <v>2397</v>
      </c>
      <c r="G22" s="1689" t="s">
        <v>2333</v>
      </c>
      <c r="H22" s="565"/>
      <c r="I22" s="565"/>
      <c r="J22" s="277"/>
      <c r="K22" s="551"/>
    </row>
    <row customHeight="1" ht="22.5">
      <c r="D23" s="1684"/>
      <c r="E23" s="1710" t="s">
        <v>399</v>
      </c>
      <c r="F23" s="967" t="s">
        <v>2398</v>
      </c>
      <c r="G23" s="1689" t="s">
        <v>2333</v>
      </c>
      <c r="H23" s="565"/>
      <c r="I23" s="565"/>
      <c r="J23" s="277" t="s">
        <v>2399</v>
      </c>
      <c r="K23" s="551"/>
    </row>
    <row customHeight="1" ht="18.75">
      <c r="D24" s="1684"/>
      <c r="E24" s="1710" t="s">
        <v>1450</v>
      </c>
      <c r="F24" s="1696" t="s">
        <v>2400</v>
      </c>
      <c r="G24" s="1689" t="s">
        <v>2333</v>
      </c>
      <c r="H24" s="565"/>
      <c r="I24" s="565"/>
      <c r="J24" s="277"/>
      <c r="K24" s="551"/>
    </row>
    <row customHeight="1" ht="33.75">
      <c r="D25" s="1684"/>
      <c r="E25" s="1710" t="s">
        <v>1455</v>
      </c>
      <c r="F25" s="1696" t="s">
        <v>2401</v>
      </c>
      <c r="G25" s="1689" t="s">
        <v>2333</v>
      </c>
      <c r="H25" s="565"/>
      <c r="I25" s="565"/>
      <c r="J25" s="277"/>
      <c r="K25" s="551"/>
    </row>
    <row customHeight="1" ht="22.5">
      <c r="D26" s="1684"/>
      <c r="E26" s="1710" t="s">
        <v>1445</v>
      </c>
      <c r="F26" s="967" t="s">
        <v>2402</v>
      </c>
      <c r="G26" s="1689" t="s">
        <v>2333</v>
      </c>
      <c r="H26" s="565"/>
      <c r="I26" s="565"/>
      <c r="J26" s="277" t="s">
        <v>2403</v>
      </c>
      <c r="K26" s="551"/>
    </row>
    <row customHeight="1" ht="18.75">
      <c r="D27" s="1684"/>
      <c r="E27" s="1721" t="s">
        <v>1466</v>
      </c>
      <c r="F27" s="1696" t="s">
        <v>2404</v>
      </c>
      <c r="G27" s="1700" t="s">
        <v>2333</v>
      </c>
      <c r="H27" s="1722"/>
      <c r="I27" s="1722"/>
      <c r="J27" s="277"/>
      <c r="K27" s="551"/>
    </row>
    <row customHeight="1" ht="18.75">
      <c r="D28" s="1684"/>
      <c r="E28" s="1721" t="s">
        <v>1470</v>
      </c>
      <c r="F28" s="1696" t="s">
        <v>2405</v>
      </c>
      <c r="G28" s="1700" t="s">
        <v>2333</v>
      </c>
      <c r="H28" s="1722"/>
      <c r="I28" s="1722"/>
      <c r="J28" s="277"/>
      <c r="K28" s="551"/>
    </row>
    <row customHeight="1" ht="18.75">
      <c r="D29" s="1684"/>
      <c r="E29" s="1721" t="s">
        <v>1447</v>
      </c>
      <c r="F29" s="967" t="s">
        <v>2406</v>
      </c>
      <c r="G29" s="1700" t="s">
        <v>2333</v>
      </c>
      <c r="H29" s="1722"/>
      <c r="I29" s="1722"/>
      <c r="J29" s="277"/>
      <c r="K29" s="551"/>
    </row>
    <row customHeight="1" ht="18.75">
      <c r="D30" s="1684"/>
      <c r="E30" s="1721" t="s">
        <v>1461</v>
      </c>
      <c r="F30" s="967" t="s">
        <v>2407</v>
      </c>
      <c r="G30" s="1700" t="s">
        <v>2333</v>
      </c>
      <c r="H30" s="1722"/>
      <c r="I30" s="1722"/>
      <c r="J30" s="277"/>
      <c r="K30" s="551"/>
    </row>
    <row customHeight="1" ht="18.75">
      <c r="D31" s="1684"/>
      <c r="E31" s="1721" t="s">
        <v>1472</v>
      </c>
      <c r="F31" s="967" t="s">
        <v>2408</v>
      </c>
      <c r="G31" s="1700" t="s">
        <v>2333</v>
      </c>
      <c r="H31" s="1722"/>
      <c r="I31" s="1722"/>
      <c r="J31" s="277"/>
      <c r="K31" s="551"/>
    </row>
    <row s="2650" customFormat="1" customHeight="1" ht="22.5">
      <c r="A32" s="1000"/>
      <c r="C32" s="1682"/>
      <c r="D32" s="1684"/>
      <c r="E32" s="1721" t="s">
        <v>1483</v>
      </c>
      <c r="F32" s="967" t="s">
        <v>2409</v>
      </c>
      <c r="G32" s="1690" t="s">
        <v>2333</v>
      </c>
      <c r="H32" s="587">
        <f>SUM(H33:H34)</f>
        <v>0</v>
      </c>
      <c r="I32" s="587">
        <f>SUM(I33:I34)</f>
        <v>0</v>
      </c>
      <c r="J32" s="277" t="s">
        <v>2410</v>
      </c>
      <c r="K32" s="551"/>
      <c r="L32" s="1682"/>
      <c r="M32" s="1682"/>
      <c r="R32" s="1682"/>
      <c r="U32" s="552"/>
      <c r="AA32" s="1678"/>
      <c r="AB32" s="1678"/>
      <c r="AC32" s="1678"/>
      <c r="AD32" s="1678"/>
      <c r="AE32" s="1678"/>
    </row>
    <row s="2654" customFormat="1" customHeight="1" ht="0.75">
      <c r="A33" s="1181"/>
      <c r="D33" s="556"/>
      <c r="E33" s="812" t="str">
        <f>E32&amp;".0"</f>
        <v>2.8.0</v>
      </c>
      <c r="F33" s="1004"/>
      <c r="G33" s="559"/>
      <c r="H33" s="1005"/>
      <c r="I33" s="1005"/>
      <c r="J33" s="1006"/>
    </row>
    <row s="2650" customFormat="1" customHeight="1" ht="18.75">
      <c r="A34" s="1000"/>
      <c r="C34" s="1682"/>
      <c r="D34" s="1679"/>
      <c r="E34" s="578"/>
      <c r="F34" s="1712" t="s">
        <v>2351</v>
      </c>
      <c r="G34" s="580"/>
      <c r="H34" s="581"/>
      <c r="I34" s="581"/>
      <c r="J34" s="289" t="s">
        <v>2411</v>
      </c>
      <c r="K34" s="551"/>
      <c r="L34" s="1682"/>
      <c r="M34" s="1682"/>
      <c r="R34" s="1682"/>
      <c r="U34" s="552"/>
      <c r="AA34" s="1678"/>
      <c r="AB34" s="1678"/>
      <c r="AC34" s="1678"/>
      <c r="AD34" s="1678"/>
      <c r="AE34" s="1678"/>
    </row>
    <row customHeight="1" ht="56.25">
      <c r="D35" s="1684"/>
      <c r="E35" s="1721" t="s">
        <v>1491</v>
      </c>
      <c r="F35" s="967" t="s">
        <v>2412</v>
      </c>
      <c r="G35" s="1700" t="s">
        <v>2333</v>
      </c>
      <c r="H35" s="1722"/>
      <c r="I35" s="1722"/>
      <c r="J35" s="277" t="s">
        <v>2413</v>
      </c>
      <c r="K35" s="551"/>
    </row>
    <row s="2650" customFormat="1" customHeight="1" ht="22.5">
      <c r="A36" s="1002" t="s">
        <v>2352</v>
      </c>
      <c r="C36" s="1682"/>
      <c r="D36" s="1684"/>
      <c r="E36" s="1710" t="s">
        <v>90</v>
      </c>
      <c r="F36" s="715" t="s">
        <v>2414</v>
      </c>
      <c r="G36" s="1689" t="s">
        <v>2333</v>
      </c>
      <c r="H36" s="565"/>
      <c r="I36" s="565"/>
      <c r="J36" s="277" t="s">
        <v>1543</v>
      </c>
      <c r="K36" s="551"/>
      <c r="L36" s="1682"/>
      <c r="M36" s="1682"/>
      <c r="R36" s="1682"/>
      <c r="U36" s="552"/>
      <c r="AA36" s="1678"/>
      <c r="AB36" s="1678"/>
      <c r="AC36" s="1678"/>
      <c r="AD36" s="1678"/>
      <c r="AE36" s="1678"/>
    </row>
    <row s="2650" customFormat="1" customHeight="1" ht="22.5">
      <c r="A37" s="1002"/>
      <c r="C37" s="1682"/>
      <c r="D37" s="1684"/>
      <c r="E37" s="1710" t="s">
        <v>415</v>
      </c>
      <c r="F37" s="967" t="s">
        <v>2415</v>
      </c>
      <c r="G37" s="1700"/>
      <c r="H37" s="565"/>
      <c r="I37" s="565"/>
      <c r="J37" s="277"/>
      <c r="K37" s="551"/>
      <c r="L37" s="1682"/>
      <c r="M37" s="1682"/>
      <c r="R37" s="1682"/>
      <c r="U37" s="552"/>
      <c r="AA37" s="1678"/>
      <c r="AB37" s="1678"/>
      <c r="AC37" s="1678"/>
      <c r="AD37" s="1678"/>
      <c r="AE37" s="1678"/>
    </row>
    <row s="2650" customFormat="1" customHeight="1" ht="18.75">
      <c r="A38" s="1000"/>
      <c r="C38" s="1682"/>
      <c r="D38" s="583"/>
      <c r="E38" s="1710" t="s">
        <v>91</v>
      </c>
      <c r="F38" s="715" t="s">
        <v>1546</v>
      </c>
      <c r="G38" s="1689" t="s">
        <v>2333</v>
      </c>
      <c r="H38" s="565"/>
      <c r="I38" s="565"/>
      <c r="J38" s="277" t="s">
        <v>1547</v>
      </c>
      <c r="K38" s="551"/>
      <c r="L38" s="1682"/>
      <c r="M38" s="1682"/>
      <c r="R38" s="1682"/>
      <c r="U38" s="552"/>
      <c r="AA38" s="1678"/>
      <c r="AB38" s="1678"/>
      <c r="AC38" s="1678"/>
      <c r="AD38" s="1678"/>
      <c r="AE38" s="1678"/>
    </row>
    <row s="2650" customFormat="1" customHeight="1" ht="22.5">
      <c r="A39" s="1000"/>
      <c r="C39" s="1682"/>
      <c r="D39" s="583"/>
      <c r="E39" s="1710" t="s">
        <v>1544</v>
      </c>
      <c r="F39" s="967" t="s">
        <v>2416</v>
      </c>
      <c r="G39" s="1700" t="s">
        <v>2333</v>
      </c>
      <c r="H39" s="565"/>
      <c r="I39" s="565"/>
      <c r="J39" s="277" t="s">
        <v>2417</v>
      </c>
      <c r="K39" s="551"/>
      <c r="L39" s="1682"/>
      <c r="M39" s="1682"/>
      <c r="R39" s="1682"/>
      <c r="U39" s="552"/>
      <c r="AA39" s="1678"/>
      <c r="AB39" s="1678"/>
      <c r="AC39" s="1678"/>
      <c r="AD39" s="1678"/>
      <c r="AE39" s="1678"/>
    </row>
    <row s="2650" customFormat="1" customHeight="1" ht="22.5">
      <c r="A40" s="1000"/>
      <c r="C40" s="1682"/>
      <c r="D40" s="1684"/>
      <c r="E40" s="1710" t="s">
        <v>1552</v>
      </c>
      <c r="F40" s="1696" t="s">
        <v>2418</v>
      </c>
      <c r="G40" s="1689" t="s">
        <v>2333</v>
      </c>
      <c r="H40" s="565"/>
      <c r="I40" s="565"/>
      <c r="J40" s="277" t="s">
        <v>1555</v>
      </c>
      <c r="K40" s="551"/>
      <c r="L40" s="1682"/>
      <c r="M40" s="1682"/>
      <c r="R40" s="1682"/>
      <c r="U40" s="552"/>
      <c r="AA40" s="1678"/>
      <c r="AB40" s="1678"/>
      <c r="AC40" s="1678"/>
      <c r="AD40" s="1678"/>
      <c r="AE40" s="1678"/>
    </row>
    <row s="2650" customFormat="1" customHeight="1" ht="22.5">
      <c r="A41" s="1000"/>
      <c r="C41" s="1682"/>
      <c r="D41" s="1684"/>
      <c r="E41" s="1710" t="s">
        <v>1557</v>
      </c>
      <c r="F41" s="1696" t="s">
        <v>2419</v>
      </c>
      <c r="G41" s="1689" t="s">
        <v>2333</v>
      </c>
      <c r="H41" s="565"/>
      <c r="I41" s="565"/>
      <c r="J41" s="277" t="s">
        <v>1560</v>
      </c>
      <c r="K41" s="551"/>
      <c r="L41" s="1682"/>
      <c r="M41" s="1682"/>
      <c r="R41" s="1682"/>
      <c r="U41" s="552"/>
      <c r="AA41" s="1678"/>
      <c r="AB41" s="1678"/>
      <c r="AC41" s="1678"/>
      <c r="AD41" s="1678"/>
      <c r="AE41" s="1678"/>
    </row>
    <row s="2650" customFormat="1" customHeight="1" ht="22.5">
      <c r="A42" s="1000"/>
      <c r="C42" s="1682"/>
      <c r="D42" s="1684"/>
      <c r="E42" s="1710" t="s">
        <v>2420</v>
      </c>
      <c r="F42" s="1696" t="s">
        <v>2421</v>
      </c>
      <c r="G42" s="1689" t="s">
        <v>2333</v>
      </c>
      <c r="H42" s="565"/>
      <c r="I42" s="565"/>
      <c r="J42" s="277" t="s">
        <v>2422</v>
      </c>
      <c r="K42" s="551"/>
      <c r="L42" s="1682"/>
      <c r="M42" s="1682"/>
      <c r="R42" s="1682"/>
      <c r="U42" s="552"/>
      <c r="AA42" s="1678"/>
      <c r="AB42" s="1678"/>
      <c r="AC42" s="1678"/>
      <c r="AD42" s="1678"/>
      <c r="AE42" s="1678"/>
    </row>
    <row s="2650" customFormat="1" customHeight="1" ht="33.75">
      <c r="A43" s="1000"/>
      <c r="C43" s="1682" t="s">
        <v>2360</v>
      </c>
      <c r="D43" s="1684"/>
      <c r="E43" s="1710" t="s">
        <v>113</v>
      </c>
      <c r="F43" s="715" t="s">
        <v>1567</v>
      </c>
      <c r="G43" s="1692" t="s">
        <v>2423</v>
      </c>
      <c r="H43" s="408"/>
      <c r="I43" s="408"/>
      <c r="J43" s="277" t="s">
        <v>2424</v>
      </c>
      <c r="K43" s="551"/>
      <c r="L43" s="1682"/>
      <c r="M43" s="1682"/>
      <c r="R43" s="1682"/>
      <c r="U43" s="552"/>
      <c r="AA43" s="1678"/>
      <c r="AB43" s="1678"/>
      <c r="AC43" s="1678"/>
      <c r="AD43" s="1678"/>
      <c r="AE43" s="1678"/>
    </row>
    <row s="2650" customFormat="1" customHeight="1" ht="22.5">
      <c r="A44" s="1000"/>
      <c r="C44" s="1682"/>
      <c r="D44" s="1684"/>
      <c r="E44" s="1710" t="s">
        <v>92</v>
      </c>
      <c r="F44" s="715" t="s">
        <v>2425</v>
      </c>
      <c r="G44" s="1689" t="s">
        <v>2426</v>
      </c>
      <c r="H44" s="553"/>
      <c r="I44" s="553"/>
      <c r="J44" s="277" t="s">
        <v>2427</v>
      </c>
      <c r="K44" s="551"/>
      <c r="L44" s="1682"/>
      <c r="M44" s="1682"/>
      <c r="R44" s="1682"/>
      <c r="U44" s="552"/>
      <c r="AA44" s="1678"/>
      <c r="AB44" s="1678"/>
      <c r="AC44" s="1678"/>
      <c r="AD44" s="1678"/>
      <c r="AE44" s="1678"/>
    </row>
    <row s="2650" customFormat="1" customHeight="1" ht="22.5">
      <c r="A45" s="1000"/>
      <c r="C45" s="1682"/>
      <c r="D45" s="1684"/>
      <c r="E45" s="1710" t="s">
        <v>93</v>
      </c>
      <c r="F45" s="715" t="s">
        <v>2428</v>
      </c>
      <c r="G45" s="1700" t="s">
        <v>2429</v>
      </c>
      <c r="H45" s="553"/>
      <c r="I45" s="553"/>
      <c r="J45" s="277" t="s">
        <v>2430</v>
      </c>
      <c r="K45" s="551"/>
      <c r="L45" s="1682"/>
      <c r="M45" s="1682"/>
      <c r="R45" s="1682"/>
      <c r="U45" s="552"/>
      <c r="AA45" s="1678"/>
      <c r="AB45" s="1678"/>
      <c r="AC45" s="1678"/>
      <c r="AD45" s="1678"/>
      <c r="AE45" s="1678"/>
    </row>
    <row s="2650" customFormat="1" customHeight="1" ht="18.75">
      <c r="A46" s="1000"/>
      <c r="C46" s="1682"/>
      <c r="D46" s="1684"/>
      <c r="E46" s="1710" t="s">
        <v>123</v>
      </c>
      <c r="F46" s="715" t="s">
        <v>2431</v>
      </c>
      <c r="G46" s="1689" t="s">
        <v>2362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58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58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58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58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58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58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58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58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58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58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58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58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58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58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58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58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58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58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58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58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58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58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58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58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58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58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58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58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58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58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58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58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58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58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58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58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58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58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58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58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58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58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58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58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58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58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58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58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58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58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58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58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58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58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58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58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58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58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58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58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58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58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58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58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58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58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58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58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58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58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58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58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58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58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58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58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58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58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58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58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58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58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58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58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58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8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8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8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8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8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8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8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8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8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8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8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8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8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8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8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8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8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8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8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8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8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8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8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8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8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8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8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8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8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8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8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8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8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8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8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8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8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8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8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8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8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8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8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8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8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8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8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8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8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8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8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8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8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8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8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8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8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8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8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8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8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8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58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58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58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58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58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58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58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58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58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630E7-F189-37C5-36B3-AA6F856FBA9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565" width="10.7109375" hidden="1" customWidth="1"/>
    <col min="2" max="2" style="2650" width="16.8515625" hidden="1" customWidth="1"/>
    <col min="3" max="3" style="2654" width="5.57421875" hidden="1" customWidth="1"/>
    <col min="4" max="4" style="4652" width="3.7109375" customWidth="1"/>
    <col min="5" max="5" style="2876" width="7.7109375" customWidth="1"/>
    <col min="6" max="6" style="2876" width="54.57421875" customWidth="1"/>
    <col min="7" max="7" style="2876" width="10.421875" customWidth="1"/>
    <col min="8" max="8" style="2876" width="40.7109375" hidden="1" customWidth="1"/>
    <col min="9" max="9" style="2876" width="40.7109375" customWidth="1"/>
    <col min="10" max="10" style="2876" width="102.8515625" customWidth="1"/>
    <col min="11" max="11" style="2650" width="9.7109375" customWidth="1"/>
    <col min="12" max="12" style="2654" width="5.28125" customWidth="1"/>
    <col min="13" max="13" style="2654" width="3.7109375" customWidth="1"/>
    <col min="14" max="17" style="2650" width="3.7109375" customWidth="1"/>
    <col min="18" max="18" style="2654" width="10.57421875" customWidth="1"/>
    <col min="19" max="19" style="2650" width="34.7109375" customWidth="1"/>
    <col min="20" max="20" style="2650" width="9.421875" customWidth="1"/>
    <col min="21" max="21" style="4569" width="9.140625"/>
    <col min="22" max="26" style="2650" width="9.140625"/>
    <col min="27" max="31" style="2875" width="9.140625"/>
  </cols>
  <sheetData>
    <row s="2650" customFormat="1" customHeight="1" ht="11.25" hidden="1">
      <c r="A1" s="1000"/>
      <c r="C1" s="1682"/>
      <c r="D1" s="545"/>
      <c r="H1" s="1174">
        <v>4</v>
      </c>
      <c r="I1" s="1174">
        <v>4</v>
      </c>
      <c r="L1" s="1682"/>
      <c r="M1" s="1682"/>
      <c r="R1" s="1682"/>
    </row>
    <row s="2650" customFormat="1" customHeight="1" ht="22.5" hidden="1">
      <c r="A2" s="1000"/>
      <c r="C2" s="1682"/>
      <c r="D2" s="546"/>
      <c r="E2" s="1704"/>
      <c r="F2" s="548"/>
      <c r="G2" s="1703" t="s">
        <v>2333</v>
      </c>
      <c r="H2" s="549"/>
      <c r="I2" s="549"/>
      <c r="J2" s="550" t="s">
        <v>2336</v>
      </c>
      <c r="K2" s="551"/>
      <c r="L2" s="1682"/>
      <c r="M2" s="1682"/>
      <c r="R2" s="1682"/>
      <c r="U2" s="552"/>
      <c r="AA2" s="1678"/>
      <c r="AB2" s="1678"/>
      <c r="AC2" s="1678"/>
      <c r="AD2" s="1678"/>
      <c r="AE2" s="1678"/>
    </row>
    <row customHeight="1" ht="11.25" hidden="1"/>
    <row s="287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2432</v>
      </c>
      <c r="F6" s="2169"/>
      <c r="G6" s="2169"/>
      <c r="H6" s="2169"/>
      <c r="I6" s="2170"/>
      <c r="J6" s="564"/>
    </row>
    <row customHeight="1" ht="24">
      <c r="E7" s="2171" t="str">
        <f>IF(org=0,"Не определено",org)</f>
        <v>ГУП СК "Ставрополькрайводоканал"</v>
      </c>
      <c r="F7" s="2172"/>
      <c r="G7" s="2172"/>
      <c r="H7" s="2172"/>
      <c r="I7" s="2173"/>
    </row>
    <row customHeight="1" ht="11.25">
      <c r="E8" s="1149"/>
      <c r="F8" s="1149"/>
      <c r="G8" s="1149"/>
      <c r="H8" s="1149"/>
      <c r="I8" s="1149"/>
    </row>
    <row s="2654" customFormat="1" customHeight="1" ht="0.75">
      <c r="A9" s="1181"/>
      <c r="D9" s="1688"/>
      <c r="H9" s="900"/>
      <c r="I9" s="900" t="s">
        <v>225</v>
      </c>
    </row>
    <row customHeight="1" ht="11.25">
      <c r="E10" s="719"/>
      <c r="F10" s="2308" t="s">
        <v>217</v>
      </c>
      <c r="G10" s="2309"/>
      <c r="H10" s="1705" t="str">
        <f>IF(H9="","",INDEX(DIFFERENTIATION_UNMERGE_VD,MATCH(H9,DIFFERENTIATION_ID_DIFF,0)))</f>
        <v/>
      </c>
      <c r="I10" s="1705" t="str">
        <f>IF(I9="","",INDEX(DIFFERENTIATION_UNMERGE_VD,MATCH(I9,DIFFERENTIATION_ID_DIFF,0)))</f>
        <v>Подключение (технологическое присоединение) к централизованной системе водоснабжения</v>
      </c>
      <c r="J10" s="1966"/>
    </row>
    <row customHeight="1" ht="11.25">
      <c r="E11" s="719"/>
      <c r="F11" s="2308" t="s">
        <v>514</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515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389</v>
      </c>
      <c r="F13" s="2311"/>
      <c r="G13" s="2311"/>
      <c r="H13" s="1702"/>
      <c r="I13" s="1702"/>
      <c r="J13" s="1966"/>
    </row>
    <row customHeight="1" ht="22.5">
      <c r="E14" s="1703" t="s">
        <v>88</v>
      </c>
      <c r="F14" s="1706" t="s">
        <v>391</v>
      </c>
      <c r="G14" s="1706" t="s">
        <v>1694</v>
      </c>
      <c r="H14" s="1706" t="s">
        <v>392</v>
      </c>
      <c r="I14" s="1706" t="s">
        <v>392</v>
      </c>
      <c r="J14" s="1966"/>
    </row>
    <row customHeight="1" ht="18.75">
      <c r="D15" s="1684"/>
      <c r="E15" s="1676" t="s">
        <v>159</v>
      </c>
      <c r="F15" s="715" t="s">
        <v>2433</v>
      </c>
      <c r="G15" s="1703" t="s">
        <v>2333</v>
      </c>
      <c r="H15" s="565"/>
      <c r="I15" s="565"/>
      <c r="J15" s="277" t="s">
        <v>2434</v>
      </c>
      <c r="K15" s="551" t="s">
        <v>2385</v>
      </c>
    </row>
    <row customHeight="1" ht="22.5">
      <c r="D16" s="1684"/>
      <c r="E16" s="1676" t="s">
        <v>102</v>
      </c>
      <c r="F16" s="1711" t="s">
        <v>2435</v>
      </c>
      <c r="G16" s="1703" t="s">
        <v>2333</v>
      </c>
      <c r="H16" s="566">
        <f>SUM(H17,H20:H27)</f>
        <v>0</v>
      </c>
      <c r="I16" s="566">
        <f>SUM(I17,I20:I27)</f>
        <v>0</v>
      </c>
      <c r="J16" s="277" t="s">
        <v>2436</v>
      </c>
      <c r="K16" s="551" t="s">
        <v>2385</v>
      </c>
    </row>
    <row customHeight="1" ht="33.75">
      <c r="D17" s="1684"/>
      <c r="E17" s="1710" t="s">
        <v>552</v>
      </c>
      <c r="F17" s="1713" t="s">
        <v>2437</v>
      </c>
      <c r="G17" s="1700" t="s">
        <v>2333</v>
      </c>
      <c r="H17" s="565"/>
      <c r="I17" s="565"/>
      <c r="J17" s="277" t="s">
        <v>2438</v>
      </c>
      <c r="K17" s="551"/>
    </row>
    <row customHeight="1" ht="18.75">
      <c r="D18" s="1684"/>
      <c r="E18" s="1710" t="s">
        <v>554</v>
      </c>
      <c r="F18" s="1714" t="s">
        <v>2439</v>
      </c>
      <c r="G18" s="1700" t="s">
        <v>2333</v>
      </c>
      <c r="H18" s="565"/>
      <c r="I18" s="565"/>
      <c r="J18" s="277"/>
      <c r="K18" s="551"/>
    </row>
    <row customHeight="1" ht="22.5">
      <c r="D19" s="1684"/>
      <c r="E19" s="1710" t="s">
        <v>2392</v>
      </c>
      <c r="F19" s="1714" t="s">
        <v>2440</v>
      </c>
      <c r="G19" s="1700" t="s">
        <v>2333</v>
      </c>
      <c r="H19" s="565"/>
      <c r="I19" s="565"/>
      <c r="J19" s="277"/>
      <c r="K19" s="551"/>
    </row>
    <row customHeight="1" ht="33.75">
      <c r="D20" s="1684"/>
      <c r="E20" s="1710" t="s">
        <v>396</v>
      </c>
      <c r="F20" s="1713" t="s">
        <v>2441</v>
      </c>
      <c r="G20" s="1700" t="s">
        <v>2333</v>
      </c>
      <c r="H20" s="565"/>
      <c r="I20" s="565"/>
      <c r="J20" s="277"/>
      <c r="K20" s="551"/>
    </row>
    <row customHeight="1" ht="33.75">
      <c r="D21" s="1684"/>
      <c r="E21" s="1710" t="s">
        <v>399</v>
      </c>
      <c r="F21" s="1713" t="s">
        <v>2442</v>
      </c>
      <c r="G21" s="1700" t="s">
        <v>2333</v>
      </c>
      <c r="H21" s="565"/>
      <c r="I21" s="565"/>
      <c r="J21" s="277"/>
      <c r="K21" s="551"/>
    </row>
    <row customHeight="1" ht="56.25">
      <c r="D22" s="1684"/>
      <c r="E22" s="1710" t="s">
        <v>1445</v>
      </c>
      <c r="F22" s="1713" t="s">
        <v>2443</v>
      </c>
      <c r="G22" s="1700" t="s">
        <v>2333</v>
      </c>
      <c r="H22" s="565"/>
      <c r="I22" s="565"/>
      <c r="J22" s="277"/>
      <c r="K22" s="551"/>
    </row>
    <row customHeight="1" ht="33.75">
      <c r="D23" s="1684"/>
      <c r="E23" s="1710" t="s">
        <v>1447</v>
      </c>
      <c r="F23" s="1713" t="s">
        <v>2444</v>
      </c>
      <c r="G23" s="1700" t="s">
        <v>2333</v>
      </c>
      <c r="H23" s="565"/>
      <c r="I23" s="565"/>
      <c r="J23" s="277"/>
      <c r="K23" s="551"/>
    </row>
    <row customHeight="1" ht="33.75">
      <c r="D24" s="1684"/>
      <c r="E24" s="1710" t="s">
        <v>1461</v>
      </c>
      <c r="F24" s="1713" t="s">
        <v>2445</v>
      </c>
      <c r="G24" s="1700" t="s">
        <v>2333</v>
      </c>
      <c r="H24" s="565"/>
      <c r="I24" s="565"/>
      <c r="J24" s="277"/>
      <c r="K24" s="551"/>
    </row>
    <row customHeight="1" ht="22.5">
      <c r="D25" s="1684"/>
      <c r="E25" s="1710" t="s">
        <v>1472</v>
      </c>
      <c r="F25" s="1713" t="s">
        <v>2446</v>
      </c>
      <c r="G25" s="1700" t="s">
        <v>2333</v>
      </c>
      <c r="H25" s="565"/>
      <c r="I25" s="565"/>
      <c r="J25" s="277"/>
      <c r="K25" s="551"/>
    </row>
    <row customHeight="1" ht="67.5">
      <c r="D26" s="1684"/>
      <c r="E26" s="1710" t="s">
        <v>1483</v>
      </c>
      <c r="F26" s="1713" t="s">
        <v>2447</v>
      </c>
      <c r="G26" s="1700" t="s">
        <v>2333</v>
      </c>
      <c r="H26" s="565"/>
      <c r="I26" s="565"/>
      <c r="J26" s="277"/>
      <c r="K26" s="551"/>
    </row>
    <row s="2650" customFormat="1" customHeight="1" ht="22.5">
      <c r="A27" s="1000"/>
      <c r="C27" s="1682"/>
      <c r="D27" s="1684"/>
      <c r="E27" s="1675" t="s">
        <v>1491</v>
      </c>
      <c r="F27" s="1674" t="s">
        <v>2448</v>
      </c>
      <c r="G27" s="1701" t="s">
        <v>2333</v>
      </c>
      <c r="H27" s="587">
        <f>SUM(H28:H29)</f>
        <v>0</v>
      </c>
      <c r="I27" s="587">
        <f>SUM(I28:I29)</f>
        <v>0</v>
      </c>
      <c r="J27" s="277" t="s">
        <v>2410</v>
      </c>
      <c r="K27" s="551"/>
      <c r="L27" s="1682"/>
      <c r="M27" s="1682"/>
      <c r="R27" s="1682"/>
      <c r="U27" s="552"/>
      <c r="AA27" s="1678"/>
      <c r="AB27" s="1678"/>
      <c r="AC27" s="1678"/>
      <c r="AD27" s="1678"/>
      <c r="AE27" s="1678"/>
    </row>
    <row s="2654" customFormat="1" customHeight="1" ht="0.75">
      <c r="A28" s="1181"/>
      <c r="D28" s="556"/>
      <c r="E28" s="812" t="str">
        <f>E27&amp;".0"</f>
        <v>2.9.0</v>
      </c>
      <c r="F28" s="1004"/>
      <c r="G28" s="559"/>
      <c r="H28" s="1005"/>
      <c r="I28" s="1005"/>
      <c r="J28" s="1006"/>
    </row>
    <row s="2650" customFormat="1" customHeight="1" ht="18.75">
      <c r="A29" s="1000"/>
      <c r="C29" s="1682"/>
      <c r="D29" s="1679"/>
      <c r="E29" s="578"/>
      <c r="F29" s="1712" t="s">
        <v>2351</v>
      </c>
      <c r="G29" s="580"/>
      <c r="H29" s="581"/>
      <c r="I29" s="581"/>
      <c r="J29" s="289" t="s">
        <v>2411</v>
      </c>
      <c r="K29" s="551"/>
      <c r="L29" s="1682"/>
      <c r="M29" s="1682"/>
      <c r="R29" s="1682"/>
      <c r="U29" s="552"/>
      <c r="AA29" s="1678"/>
      <c r="AB29" s="1678"/>
      <c r="AC29" s="1678"/>
      <c r="AD29" s="1678"/>
      <c r="AE29" s="1678"/>
    </row>
    <row s="2650" customFormat="1" customHeight="1" ht="22.5">
      <c r="A30" s="1000"/>
      <c r="C30" s="1682"/>
      <c r="D30" s="1684"/>
      <c r="E30" s="1710" t="s">
        <v>90</v>
      </c>
      <c r="F30" s="1707" t="s">
        <v>2449</v>
      </c>
      <c r="G30" s="1700" t="s">
        <v>2333</v>
      </c>
      <c r="H30" s="565"/>
      <c r="I30" s="565"/>
      <c r="J30" s="277"/>
      <c r="K30" s="551"/>
      <c r="L30" s="1682"/>
      <c r="M30" s="1682"/>
      <c r="R30" s="1682"/>
      <c r="U30" s="552"/>
      <c r="AA30" s="1678"/>
      <c r="AB30" s="1678"/>
      <c r="AC30" s="1678"/>
      <c r="AD30" s="1678"/>
      <c r="AE30" s="1678"/>
    </row>
    <row s="2650" customFormat="1" customHeight="1" ht="33.75">
      <c r="A31" s="1000"/>
      <c r="C31" s="1682"/>
      <c r="D31" s="583"/>
      <c r="E31" s="1710" t="s">
        <v>91</v>
      </c>
      <c r="F31" s="1707" t="s">
        <v>2450</v>
      </c>
      <c r="G31" s="1700" t="s">
        <v>2333</v>
      </c>
      <c r="H31" s="565"/>
      <c r="I31" s="565"/>
      <c r="J31" s="277" t="s">
        <v>2451</v>
      </c>
      <c r="K31" s="551"/>
      <c r="L31" s="1682"/>
      <c r="M31" s="1682"/>
      <c r="R31" s="1682"/>
      <c r="U31" s="552"/>
      <c r="AA31" s="1678"/>
      <c r="AB31" s="1678"/>
      <c r="AC31" s="1678"/>
      <c r="AD31" s="1678"/>
      <c r="AE31" s="1678"/>
    </row>
    <row s="2650" customFormat="1" customHeight="1" ht="22.5">
      <c r="A32" s="1000"/>
      <c r="C32" s="1682"/>
      <c r="D32" s="1684"/>
      <c r="E32" s="1710" t="s">
        <v>1544</v>
      </c>
      <c r="F32" s="698" t="s">
        <v>2418</v>
      </c>
      <c r="G32" s="1700" t="s">
        <v>2333</v>
      </c>
      <c r="H32" s="565"/>
      <c r="I32" s="565"/>
      <c r="J32" s="277" t="s">
        <v>2452</v>
      </c>
      <c r="K32" s="551"/>
      <c r="L32" s="1682"/>
      <c r="M32" s="1682"/>
      <c r="R32" s="1682"/>
      <c r="U32" s="552"/>
      <c r="AA32" s="1678"/>
      <c r="AB32" s="1678"/>
      <c r="AC32" s="1678"/>
      <c r="AD32" s="1678"/>
      <c r="AE32" s="1678"/>
    </row>
    <row s="2650" customFormat="1" customHeight="1" ht="22.5">
      <c r="A33" s="1000"/>
      <c r="C33" s="1682"/>
      <c r="D33" s="1684"/>
      <c r="E33" s="1710" t="s">
        <v>1561</v>
      </c>
      <c r="F33" s="698" t="s">
        <v>2453</v>
      </c>
      <c r="G33" s="1700" t="s">
        <v>2333</v>
      </c>
      <c r="H33" s="565"/>
      <c r="I33" s="565"/>
      <c r="J33" s="277" t="s">
        <v>2454</v>
      </c>
      <c r="K33" s="551"/>
      <c r="L33" s="1682"/>
      <c r="M33" s="1682"/>
      <c r="R33" s="1682"/>
      <c r="U33" s="552"/>
      <c r="AA33" s="1678"/>
      <c r="AB33" s="1678"/>
      <c r="AC33" s="1678"/>
      <c r="AD33" s="1678"/>
      <c r="AE33" s="1678"/>
    </row>
    <row s="2650" customFormat="1" customHeight="1" ht="22.5">
      <c r="A34" s="1000"/>
      <c r="C34" s="1682"/>
      <c r="D34" s="1684"/>
      <c r="E34" s="1710" t="s">
        <v>1709</v>
      </c>
      <c r="F34" s="698" t="s">
        <v>2421</v>
      </c>
      <c r="G34" s="1700" t="s">
        <v>2333</v>
      </c>
      <c r="H34" s="565"/>
      <c r="I34" s="565"/>
      <c r="J34" s="277" t="s">
        <v>2455</v>
      </c>
      <c r="K34" s="551"/>
      <c r="L34" s="1682"/>
      <c r="M34" s="1682"/>
      <c r="R34" s="1682"/>
      <c r="U34" s="552"/>
      <c r="AA34" s="1678"/>
      <c r="AB34" s="1678"/>
      <c r="AC34" s="1678"/>
      <c r="AD34" s="1678"/>
      <c r="AE34" s="1678"/>
    </row>
    <row s="2650" customFormat="1" customHeight="1" ht="33.75">
      <c r="A35" s="1000"/>
      <c r="C35" s="1682" t="s">
        <v>2360</v>
      </c>
      <c r="D35" s="1684"/>
      <c r="E35" s="1710" t="s">
        <v>113</v>
      </c>
      <c r="F35" s="1707" t="s">
        <v>1567</v>
      </c>
      <c r="G35" s="1703" t="s">
        <v>395</v>
      </c>
      <c r="H35" s="408"/>
      <c r="I35" s="408"/>
      <c r="J35" s="277" t="s">
        <v>2456</v>
      </c>
      <c r="K35" s="551"/>
      <c r="L35" s="1682"/>
      <c r="M35" s="1682"/>
      <c r="R35" s="1682"/>
      <c r="U35" s="552"/>
      <c r="AA35" s="1678"/>
      <c r="AB35" s="1678"/>
      <c r="AC35" s="1678"/>
      <c r="AD35" s="1678"/>
      <c r="AE35" s="1678"/>
    </row>
    <row s="2650" customFormat="1" customHeight="1" ht="22.5">
      <c r="A36" s="1000"/>
      <c r="C36" s="1682"/>
      <c r="D36" s="1684"/>
      <c r="E36" s="1710" t="s">
        <v>92</v>
      </c>
      <c r="F36" s="1707" t="s">
        <v>2457</v>
      </c>
      <c r="G36" s="1700" t="s">
        <v>2426</v>
      </c>
      <c r="H36" s="553"/>
      <c r="I36" s="553"/>
      <c r="J36" s="277" t="s">
        <v>2427</v>
      </c>
      <c r="K36" s="551"/>
      <c r="L36" s="1682"/>
      <c r="M36" s="1682"/>
      <c r="R36" s="1682"/>
      <c r="U36" s="552"/>
      <c r="AA36" s="1678"/>
      <c r="AB36" s="1678"/>
      <c r="AC36" s="1678"/>
      <c r="AD36" s="1678"/>
      <c r="AE36" s="1678"/>
    </row>
    <row s="2650" customFormat="1" customHeight="1" ht="22.5">
      <c r="A37" s="1000"/>
      <c r="C37" s="1682"/>
      <c r="D37" s="1684"/>
      <c r="E37" s="1710" t="s">
        <v>93</v>
      </c>
      <c r="F37" s="1707" t="s">
        <v>2458</v>
      </c>
      <c r="G37" s="1700" t="s">
        <v>2429</v>
      </c>
      <c r="H37" s="553"/>
      <c r="I37" s="553"/>
      <c r="J37" s="277" t="s">
        <v>2430</v>
      </c>
      <c r="K37" s="551"/>
      <c r="L37" s="1682"/>
      <c r="M37" s="1682"/>
      <c r="R37" s="1682"/>
      <c r="U37" s="552"/>
      <c r="AA37" s="1678"/>
      <c r="AB37" s="1678"/>
      <c r="AC37" s="1678"/>
      <c r="AD37" s="1678"/>
      <c r="AE37" s="1678"/>
    </row>
    <row customHeight="1" ht="11.25">
      <c r="D38" s="1684"/>
    </row>
    <row customHeight="1" ht="26.25">
      <c r="D39" s="1684"/>
      <c r="E39" s="1279" t="s">
        <v>606</v>
      </c>
      <c r="F39" s="2218" t="s">
        <v>2459</v>
      </c>
      <c r="G39" s="2218"/>
      <c r="H39" s="2218"/>
      <c r="I39" s="2218"/>
      <c r="J39" s="2218"/>
    </row>
    <row s="4584" customFormat="1" customHeight="1" ht="37.5">
      <c r="A40" s="1000"/>
      <c r="B40" s="1682"/>
      <c r="C40" s="1682"/>
      <c r="D40" s="347"/>
      <c r="F40" s="2218" t="s">
        <v>2460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58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58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58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58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58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58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58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58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58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58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58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58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58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58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58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58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58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58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58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58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58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58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58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58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58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58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58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58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58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58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58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58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58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58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58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58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58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58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58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58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58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58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58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58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58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58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58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58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58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58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58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58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58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58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58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58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58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58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58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58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58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58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58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58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58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58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58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58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58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58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58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58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58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58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58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58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58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58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58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58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58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58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58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58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58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58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58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58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58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58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58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58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58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8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8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8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8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8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8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8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8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8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8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8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8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8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8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8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8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8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8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8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8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8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8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8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8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8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8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8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8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8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8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8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8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8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8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8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8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8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8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8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8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8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8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8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8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8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8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8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8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8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8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8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8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8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8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8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8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8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8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8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8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8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8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E6F2B-0B92-A4A1-6FCF-FBED59D038B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715" width="9.140625" hidden="1" customWidth="1"/>
    <col min="2" max="2" style="2586" width="3.57421875" hidden="1" customWidth="1"/>
    <col min="3" max="3" style="3080" width="3.7109375" customWidth="1"/>
    <col min="4" max="4" style="3080" width="7.7109375" customWidth="1"/>
    <col min="5" max="5" style="3080" width="69.8515625" customWidth="1"/>
    <col min="6" max="6" style="3080" width="11.140625" customWidth="1"/>
    <col min="7" max="8" style="3080" width="44.00390625" hidden="1" customWidth="1"/>
    <col min="9" max="10" style="2598" width="44.00390625" customWidth="1"/>
    <col min="11" max="11" style="3080" width="74.00390625" customWidth="1"/>
    <col min="12" max="12" style="3080" width="3.7109375" customWidth="1"/>
    <col min="13" max="23" style="3080" width="10.57421875"/>
  </cols>
  <sheetData>
    <row s="2599"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8" customFormat="1" customHeight="1" ht="20.25">
      <c r="A4" s="964"/>
      <c r="B4" s="519"/>
      <c r="D4" s="2053" t="str">
        <f>IF(org=0,"Не определено",org)</f>
        <v>ГУП СК "Ставрополькрайводоканал"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225</v>
      </c>
      <c r="J6" s="1035"/>
    </row>
    <row customHeight="1" ht="11.25">
      <c r="D7" s="719"/>
      <c r="E7" s="2308" t="s">
        <v>217</v>
      </c>
      <c r="F7" s="2309"/>
      <c r="G7" s="2347" t="str">
        <f>IF(G6="","",INDEX(DIFFERENTIATION_UNMERGE_VD,MATCH(G6,DIFFERENTIATION_ID_DIFF,0)))</f>
        <v/>
      </c>
      <c r="H7" s="2348"/>
      <c r="I7" s="2347" t="str">
        <f>IF(I6="","",INDEX(DIFFERENTIATION_UNMERGE_VD,MATCH(I6,DIFFERENTIATION_ID_DIFF,0)))</f>
        <v>Подключение (технологическое присоединение) к централизованной системе водоснабжения</v>
      </c>
      <c r="J7" s="2348"/>
      <c r="K7" s="2012"/>
      <c r="L7" s="517"/>
    </row>
    <row customHeight="1" ht="11.25">
      <c r="A8" s="712"/>
      <c r="D8" s="719"/>
      <c r="E8" s="2308" t="s">
        <v>514</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515</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389</v>
      </c>
      <c r="E10" s="1941"/>
      <c r="F10" s="1941"/>
      <c r="G10" s="1941"/>
      <c r="H10" s="1941"/>
      <c r="I10" s="1941"/>
      <c r="J10" s="1942"/>
      <c r="K10" s="2036"/>
      <c r="L10" s="517"/>
    </row>
    <row s="2602" customFormat="1" customHeight="1" ht="22.5">
      <c r="A11" s="2305"/>
      <c r="B11" s="2305"/>
      <c r="C11" s="665"/>
      <c r="D11" s="711" t="s">
        <v>88</v>
      </c>
      <c r="E11" s="713" t="s">
        <v>2461</v>
      </c>
      <c r="F11" s="713" t="s">
        <v>1694</v>
      </c>
      <c r="G11" s="473" t="s">
        <v>392</v>
      </c>
      <c r="H11" s="473" t="s">
        <v>481</v>
      </c>
      <c r="I11" s="817" t="s">
        <v>392</v>
      </c>
      <c r="J11" s="818" t="s">
        <v>481</v>
      </c>
      <c r="K11" s="2071"/>
      <c r="L11" s="666"/>
    </row>
    <row s="2586" customFormat="1" customHeight="1" ht="10.5">
      <c r="A12" s="965"/>
      <c r="D12" s="1038" t="s">
        <v>159</v>
      </c>
      <c r="E12" s="1038" t="s">
        <v>102</v>
      </c>
      <c r="F12" s="1038" t="s">
        <v>90</v>
      </c>
      <c r="G12" s="1039" t="str">
        <f>G1&amp;".1"</f>
        <v>4.1</v>
      </c>
      <c r="H12" s="1039" t="str">
        <f>G1&amp;".2"</f>
        <v>4.2</v>
      </c>
      <c r="I12" s="1039" t="str">
        <f>I1&amp;".1"</f>
        <v>4.1</v>
      </c>
      <c r="J12" s="1039" t="str">
        <f>I1&amp;".2"</f>
        <v>4.2</v>
      </c>
      <c r="K12" s="1039"/>
    </row>
    <row customHeight="1" ht="22.5" hidden="1">
      <c r="A13" s="2346" t="s">
        <v>693</v>
      </c>
      <c r="D13" s="966" t="s">
        <v>159</v>
      </c>
      <c r="E13" s="267" t="s">
        <v>1695</v>
      </c>
      <c r="F13" s="668" t="s">
        <v>1696</v>
      </c>
      <c r="G13" s="565"/>
      <c r="H13" s="669"/>
      <c r="I13" s="565"/>
      <c r="J13" s="669"/>
      <c r="K13" s="277" t="s">
        <v>1697</v>
      </c>
      <c r="L13" s="728"/>
    </row>
    <row customHeight="1" ht="22.5" hidden="1">
      <c r="A14" s="2346"/>
      <c r="D14" s="547" t="s">
        <v>102</v>
      </c>
      <c r="E14" s="267" t="s">
        <v>1698</v>
      </c>
      <c r="F14" s="668" t="s">
        <v>1699</v>
      </c>
      <c r="G14" s="565"/>
      <c r="H14" s="670"/>
      <c r="I14" s="565"/>
      <c r="J14" s="670"/>
      <c r="K14" s="277" t="s">
        <v>1700</v>
      </c>
      <c r="L14" s="728"/>
    </row>
    <row s="2598" customFormat="1" customHeight="1" ht="78.75" hidden="1">
      <c r="A15" s="2346"/>
      <c r="B15" s="519"/>
      <c r="D15" s="966" t="s">
        <v>90</v>
      </c>
      <c r="E15" s="715" t="s">
        <v>1703</v>
      </c>
      <c r="F15" s="963" t="s">
        <v>395</v>
      </c>
      <c r="G15" s="963" t="s">
        <v>395</v>
      </c>
      <c r="H15" s="92"/>
      <c r="I15" s="963" t="s">
        <v>395</v>
      </c>
      <c r="J15" s="92"/>
      <c r="K15" s="277" t="s">
        <v>2462</v>
      </c>
      <c r="L15" s="728"/>
    </row>
    <row s="2598" customFormat="1" customHeight="1" ht="22.5" hidden="1">
      <c r="A16" s="2346"/>
      <c r="B16" s="519"/>
      <c r="D16" s="966" t="s">
        <v>415</v>
      </c>
      <c r="E16" s="967" t="s">
        <v>1705</v>
      </c>
      <c r="F16" s="963" t="s">
        <v>1706</v>
      </c>
      <c r="G16" s="827"/>
      <c r="H16" s="92"/>
      <c r="I16" s="827"/>
      <c r="J16" s="92"/>
      <c r="K16" s="277"/>
      <c r="L16" s="728"/>
    </row>
    <row s="2598" customFormat="1" customHeight="1" ht="22.5" hidden="1">
      <c r="A17" s="2346"/>
      <c r="B17" s="519"/>
      <c r="D17" s="966" t="s">
        <v>423</v>
      </c>
      <c r="E17" s="967" t="s">
        <v>1707</v>
      </c>
      <c r="F17" s="963" t="s">
        <v>1708</v>
      </c>
      <c r="G17" s="827"/>
      <c r="H17" s="92"/>
      <c r="I17" s="827"/>
      <c r="J17" s="92"/>
      <c r="K17" s="277"/>
      <c r="L17" s="728"/>
    </row>
    <row s="2598" customFormat="1" customHeight="1" ht="33.75" hidden="1">
      <c r="A18" s="2346"/>
      <c r="B18" s="519"/>
      <c r="D18" s="966" t="s">
        <v>425</v>
      </c>
      <c r="E18" s="967" t="s">
        <v>1710</v>
      </c>
      <c r="F18" s="963" t="s">
        <v>1323</v>
      </c>
      <c r="G18" s="688"/>
      <c r="H18" s="92"/>
      <c r="I18" s="688"/>
      <c r="J18" s="92"/>
      <c r="K18" s="277"/>
      <c r="L18" s="728"/>
    </row>
    <row customHeight="1" ht="101.25" hidden="1">
      <c r="A19" s="2346"/>
      <c r="D19" s="966" t="s">
        <v>91</v>
      </c>
      <c r="E19" s="267" t="s">
        <v>2463</v>
      </c>
      <c r="F19" s="668" t="s">
        <v>526</v>
      </c>
      <c r="G19" s="671"/>
      <c r="H19" s="670"/>
      <c r="I19" s="968"/>
      <c r="J19" s="670"/>
      <c r="K19" s="277" t="s">
        <v>2464</v>
      </c>
      <c r="L19" s="728"/>
    </row>
    <row s="2598" customFormat="1" customHeight="1" ht="18.75" hidden="1">
      <c r="A20" s="2346"/>
      <c r="C20" s="969"/>
      <c r="D20" s="966" t="s">
        <v>1544</v>
      </c>
      <c r="E20" s="967" t="s">
        <v>2465</v>
      </c>
      <c r="F20" s="963" t="s">
        <v>395</v>
      </c>
      <c r="G20" s="963" t="s">
        <v>395</v>
      </c>
      <c r="H20" s="962" t="s">
        <v>395</v>
      </c>
      <c r="I20" s="963" t="s">
        <v>395</v>
      </c>
      <c r="J20" s="962" t="s">
        <v>395</v>
      </c>
      <c r="K20" s="961"/>
      <c r="L20" s="728"/>
      <c r="W20" s="683"/>
    </row>
    <row s="2598" customFormat="1" customHeight="1" ht="33.75" hidden="1">
      <c r="A21" s="2346"/>
      <c r="C21" s="969"/>
      <c r="D21" s="966" t="s">
        <v>1552</v>
      </c>
      <c r="E21" s="584" t="s">
        <v>2466</v>
      </c>
      <c r="F21" s="963" t="s">
        <v>2467</v>
      </c>
      <c r="G21" s="955"/>
      <c r="H21" s="92"/>
      <c r="I21" s="955"/>
      <c r="J21" s="92"/>
      <c r="K21" s="961"/>
      <c r="L21" s="728"/>
      <c r="W21" s="683"/>
    </row>
    <row s="2598" customFormat="1" customHeight="1" ht="33.75" hidden="1">
      <c r="A22" s="2346"/>
      <c r="C22" s="969"/>
      <c r="D22" s="966" t="s">
        <v>1557</v>
      </c>
      <c r="E22" s="584" t="s">
        <v>2468</v>
      </c>
      <c r="F22" s="963" t="s">
        <v>2469</v>
      </c>
      <c r="G22" s="955"/>
      <c r="H22" s="92"/>
      <c r="I22" s="955"/>
      <c r="J22" s="92"/>
      <c r="K22" s="961"/>
      <c r="L22" s="728"/>
      <c r="W22" s="683"/>
    </row>
    <row s="2598" customFormat="1" customHeight="1" ht="22.5" hidden="1">
      <c r="A23" s="2346"/>
      <c r="C23" s="969"/>
      <c r="D23" s="966" t="s">
        <v>1561</v>
      </c>
      <c r="E23" s="967" t="s">
        <v>2470</v>
      </c>
      <c r="F23" s="963" t="s">
        <v>395</v>
      </c>
      <c r="G23" s="963" t="s">
        <v>395</v>
      </c>
      <c r="H23" s="962" t="s">
        <v>395</v>
      </c>
      <c r="I23" s="963" t="s">
        <v>395</v>
      </c>
      <c r="J23" s="962" t="s">
        <v>395</v>
      </c>
      <c r="K23" s="961"/>
      <c r="L23" s="728"/>
      <c r="W23" s="683"/>
    </row>
    <row s="2598" customFormat="1" customHeight="1" ht="22.5" hidden="1">
      <c r="A24" s="2346"/>
      <c r="C24" s="969"/>
      <c r="D24" s="966" t="s">
        <v>2471</v>
      </c>
      <c r="E24" s="584" t="s">
        <v>2472</v>
      </c>
      <c r="F24" s="963" t="s">
        <v>2473</v>
      </c>
      <c r="G24" s="955"/>
      <c r="H24" s="694"/>
      <c r="I24" s="955"/>
      <c r="J24" s="694"/>
      <c r="K24" s="961"/>
      <c r="L24" s="728"/>
      <c r="W24" s="683"/>
    </row>
    <row s="2598" customFormat="1" customHeight="1" ht="22.5" hidden="1">
      <c r="A25" s="2346"/>
      <c r="C25" s="969"/>
      <c r="D25" s="966" t="s">
        <v>2474</v>
      </c>
      <c r="E25" s="584" t="s">
        <v>2475</v>
      </c>
      <c r="F25" s="963" t="s">
        <v>395</v>
      </c>
      <c r="G25" s="963" t="s">
        <v>395</v>
      </c>
      <c r="H25" s="962" t="s">
        <v>395</v>
      </c>
      <c r="I25" s="963" t="s">
        <v>395</v>
      </c>
      <c r="J25" s="962" t="s">
        <v>395</v>
      </c>
      <c r="K25" s="961"/>
      <c r="L25" s="728"/>
      <c r="W25" s="683"/>
    </row>
    <row s="2598" customFormat="1" customHeight="1" ht="18.75" hidden="1">
      <c r="A26" s="2346"/>
      <c r="C26" s="969"/>
      <c r="D26" s="966" t="s">
        <v>2476</v>
      </c>
      <c r="E26" s="561" t="s">
        <v>2477</v>
      </c>
      <c r="F26" s="963" t="s">
        <v>2478</v>
      </c>
      <c r="G26" s="688"/>
      <c r="H26" s="694"/>
      <c r="I26" s="688"/>
      <c r="J26" s="694"/>
      <c r="K26" s="961"/>
      <c r="L26" s="728"/>
      <c r="W26" s="683"/>
    </row>
    <row s="2598" customFormat="1" customHeight="1" ht="18.75" hidden="1">
      <c r="A27" s="2346"/>
      <c r="C27" s="969"/>
      <c r="D27" s="966" t="s">
        <v>2479</v>
      </c>
      <c r="E27" s="561" t="s">
        <v>2480</v>
      </c>
      <c r="F27" s="963" t="s">
        <v>2481</v>
      </c>
      <c r="G27" s="688"/>
      <c r="H27" s="694"/>
      <c r="I27" s="688"/>
      <c r="J27" s="694"/>
      <c r="K27" s="961"/>
      <c r="L27" s="728"/>
      <c r="W27" s="683"/>
    </row>
    <row s="2598" customFormat="1" customHeight="1" ht="18.75" hidden="1">
      <c r="A28" s="2346"/>
      <c r="C28" s="969"/>
      <c r="D28" s="966" t="s">
        <v>2482</v>
      </c>
      <c r="E28" s="584" t="s">
        <v>2483</v>
      </c>
      <c r="F28" s="963" t="s">
        <v>395</v>
      </c>
      <c r="G28" s="963" t="s">
        <v>395</v>
      </c>
      <c r="H28" s="962" t="s">
        <v>395</v>
      </c>
      <c r="I28" s="963" t="s">
        <v>395</v>
      </c>
      <c r="J28" s="962" t="s">
        <v>395</v>
      </c>
      <c r="K28" s="961"/>
      <c r="L28" s="728"/>
      <c r="W28" s="683"/>
    </row>
    <row s="2598" customFormat="1" customHeight="1" ht="18.75" hidden="1">
      <c r="A29" s="2346"/>
      <c r="C29" s="969"/>
      <c r="D29" s="966" t="s">
        <v>2484</v>
      </c>
      <c r="E29" s="561" t="s">
        <v>2477</v>
      </c>
      <c r="F29" s="963" t="s">
        <v>2485</v>
      </c>
      <c r="G29" s="688"/>
      <c r="H29" s="694"/>
      <c r="I29" s="688"/>
      <c r="J29" s="694"/>
      <c r="K29" s="961"/>
      <c r="L29" s="728"/>
      <c r="W29" s="683"/>
    </row>
    <row s="2598" customFormat="1" customHeight="1" ht="18.75" hidden="1">
      <c r="A30" s="2346"/>
      <c r="C30" s="969"/>
      <c r="D30" s="966" t="s">
        <v>2486</v>
      </c>
      <c r="E30" s="561" t="s">
        <v>2487</v>
      </c>
      <c r="F30" s="963" t="s">
        <v>2488</v>
      </c>
      <c r="G30" s="688"/>
      <c r="H30" s="694"/>
      <c r="I30" s="688"/>
      <c r="J30" s="694"/>
      <c r="K30" s="961"/>
      <c r="L30" s="728"/>
      <c r="W30" s="683"/>
    </row>
    <row customHeight="1" ht="126.75" hidden="1">
      <c r="A31" s="2346"/>
      <c r="D31" s="966" t="s">
        <v>113</v>
      </c>
      <c r="E31" s="267" t="s">
        <v>2489</v>
      </c>
      <c r="F31" s="668" t="s">
        <v>1712</v>
      </c>
      <c r="G31" s="565"/>
      <c r="H31" s="670"/>
      <c r="I31" s="565"/>
      <c r="J31" s="670"/>
      <c r="K31" s="277" t="s">
        <v>2490</v>
      </c>
      <c r="L31" s="728"/>
    </row>
    <row customHeight="1" ht="56.25" hidden="1">
      <c r="A32" s="2346"/>
      <c r="D32" s="966" t="s">
        <v>92</v>
      </c>
      <c r="E32" s="267" t="s">
        <v>2491</v>
      </c>
      <c r="F32" s="547" t="s">
        <v>1708</v>
      </c>
      <c r="G32" s="565"/>
      <c r="H32" s="670"/>
      <c r="I32" s="565"/>
      <c r="J32" s="670"/>
      <c r="K32" s="277" t="s">
        <v>2492</v>
      </c>
      <c r="L32" s="728"/>
    </row>
    <row customHeight="1" ht="11.25" hidden="1">
      <c r="A33" s="2346"/>
      <c r="E33" s="672"/>
      <c r="F33" s="167"/>
      <c r="G33" s="167"/>
      <c r="H33" s="167"/>
      <c r="I33" s="167"/>
      <c r="J33" s="167"/>
      <c r="K33" s="167"/>
    </row>
    <row customHeight="1" ht="12.75" hidden="1">
      <c r="A34" s="2346"/>
      <c r="D34" s="49">
        <v>1</v>
      </c>
      <c r="E34" s="331" t="s">
        <v>2493</v>
      </c>
    </row>
    <row customHeight="1" ht="11.25" hidden="1">
      <c r="A35" s="2346"/>
      <c r="D35" s="369"/>
      <c r="E35" s="331" t="s">
        <v>2494</v>
      </c>
    </row>
    <row s="2602" customFormat="1" customHeight="1" ht="11.25">
      <c r="A36" s="1046"/>
      <c r="B36" s="526"/>
      <c r="D36" s="1047"/>
      <c r="E36" s="1048"/>
    </row>
    <row s="2598" customFormat="1" customHeight="1" ht="22.5">
      <c r="A37" s="2346" t="s">
        <v>1067</v>
      </c>
      <c r="B37" s="519"/>
      <c r="D37" s="966">
        <v>1</v>
      </c>
      <c r="E37" s="715" t="s">
        <v>2495</v>
      </c>
      <c r="F37" s="668" t="s">
        <v>1696</v>
      </c>
      <c r="G37" s="565"/>
      <c r="H37" s="527"/>
      <c r="I37" s="565"/>
      <c r="J37" s="527"/>
      <c r="K37" s="277" t="s">
        <v>2496</v>
      </c>
    </row>
    <row s="2598" customFormat="1" customHeight="1" ht="22.5">
      <c r="A38" s="2346"/>
      <c r="B38" s="519"/>
      <c r="D38" s="677" t="s">
        <v>102</v>
      </c>
      <c r="E38" s="1045" t="s">
        <v>2497</v>
      </c>
      <c r="F38" s="1049" t="s">
        <v>526</v>
      </c>
      <c r="G38" s="1049" t="s">
        <v>526</v>
      </c>
      <c r="H38" s="1043"/>
      <c r="I38" s="1049" t="s">
        <v>526</v>
      </c>
      <c r="J38" s="1043"/>
      <c r="K38" s="1044"/>
    </row>
    <row s="2598" customFormat="1" customHeight="1" ht="33.75">
      <c r="A39" s="2346"/>
      <c r="B39" s="519"/>
      <c r="D39" s="673" t="s">
        <v>554</v>
      </c>
      <c r="E39" s="732" t="s">
        <v>2498</v>
      </c>
      <c r="F39" s="668" t="s">
        <v>2499</v>
      </c>
      <c r="G39" s="676"/>
      <c r="H39" s="1036"/>
      <c r="I39" s="676"/>
      <c r="J39" s="1036"/>
      <c r="K39" s="277" t="s">
        <v>2500</v>
      </c>
    </row>
    <row s="2598" customFormat="1" customHeight="1" ht="33.75">
      <c r="A40" s="2346"/>
      <c r="B40" s="519"/>
      <c r="D40" s="673" t="s">
        <v>2392</v>
      </c>
      <c r="E40" s="732" t="s">
        <v>2501</v>
      </c>
      <c r="F40" s="1040" t="s">
        <v>2502</v>
      </c>
      <c r="G40" s="750"/>
      <c r="H40" s="1036"/>
      <c r="I40" s="750"/>
      <c r="J40" s="1036"/>
      <c r="K40" s="277" t="s">
        <v>2503</v>
      </c>
    </row>
    <row s="2598" customFormat="1" customHeight="1" ht="22.5">
      <c r="A41" s="2346"/>
      <c r="B41" s="519"/>
      <c r="D41" s="673" t="s">
        <v>90</v>
      </c>
      <c r="E41" s="731" t="s">
        <v>2504</v>
      </c>
      <c r="F41" s="668" t="s">
        <v>526</v>
      </c>
      <c r="G41" s="668" t="s">
        <v>526</v>
      </c>
      <c r="H41" s="1037"/>
      <c r="I41" s="668" t="s">
        <v>526</v>
      </c>
      <c r="J41" s="1037"/>
      <c r="K41" s="290"/>
    </row>
    <row s="2598" customFormat="1" customHeight="1" ht="45">
      <c r="A42" s="2346"/>
      <c r="B42" s="519"/>
      <c r="D42" s="673" t="s">
        <v>415</v>
      </c>
      <c r="E42" s="732" t="s">
        <v>2505</v>
      </c>
      <c r="F42" s="668" t="s">
        <v>1712</v>
      </c>
      <c r="G42" s="565"/>
      <c r="H42" s="1037"/>
      <c r="I42" s="565"/>
      <c r="J42" s="1037"/>
      <c r="K42" s="290" t="s">
        <v>2506</v>
      </c>
    </row>
    <row s="2598" customFormat="1" customHeight="1" ht="45">
      <c r="A43" s="2346"/>
      <c r="B43" s="519"/>
      <c r="D43" s="673" t="s">
        <v>423</v>
      </c>
      <c r="E43" s="675" t="s">
        <v>2507</v>
      </c>
      <c r="F43" s="1041" t="s">
        <v>1712</v>
      </c>
      <c r="G43" s="751"/>
      <c r="H43" s="1036"/>
      <c r="I43" s="751"/>
      <c r="J43" s="1036"/>
      <c r="K43" s="290" t="s">
        <v>2508</v>
      </c>
    </row>
    <row s="2598" customFormat="1" customHeight="1" ht="11.25">
      <c r="A44" s="2346"/>
      <c r="B44" s="519"/>
      <c r="D44" s="673" t="s">
        <v>91</v>
      </c>
      <c r="E44" s="674" t="s">
        <v>2509</v>
      </c>
      <c r="F44" s="668" t="s">
        <v>2499</v>
      </c>
      <c r="G44" s="676"/>
      <c r="H44" s="1036"/>
      <c r="I44" s="676"/>
      <c r="J44" s="1036"/>
      <c r="K44" s="277"/>
    </row>
    <row s="2598" customFormat="1" customHeight="1" ht="11.25">
      <c r="A45" s="2346"/>
      <c r="B45" s="519"/>
      <c r="D45" s="673" t="s">
        <v>1544</v>
      </c>
      <c r="E45" s="675" t="s">
        <v>2510</v>
      </c>
      <c r="F45" s="668" t="s">
        <v>2499</v>
      </c>
      <c r="G45" s="676"/>
      <c r="H45" s="1036"/>
      <c r="I45" s="676"/>
      <c r="J45" s="1036"/>
      <c r="K45" s="277"/>
    </row>
    <row s="2598" customFormat="1" customHeight="1" ht="11.25">
      <c r="A46" s="2346"/>
      <c r="B46" s="519"/>
      <c r="D46" s="673" t="s">
        <v>1561</v>
      </c>
      <c r="E46" s="675" t="s">
        <v>2511</v>
      </c>
      <c r="F46" s="668" t="s">
        <v>2499</v>
      </c>
      <c r="G46" s="676"/>
      <c r="H46" s="1036"/>
      <c r="I46" s="676"/>
      <c r="J46" s="1036"/>
      <c r="K46" s="277"/>
    </row>
    <row s="2598" customFormat="1" customHeight="1" ht="11.25">
      <c r="A47" s="2346"/>
      <c r="B47" s="519"/>
      <c r="D47" s="673" t="s">
        <v>1709</v>
      </c>
      <c r="E47" s="675" t="s">
        <v>2512</v>
      </c>
      <c r="F47" s="668" t="s">
        <v>2499</v>
      </c>
      <c r="G47" s="676"/>
      <c r="H47" s="1036"/>
      <c r="I47" s="676"/>
      <c r="J47" s="1036"/>
      <c r="K47" s="277"/>
    </row>
    <row s="2598" customFormat="1" customHeight="1" ht="11.25">
      <c r="A48" s="2346"/>
      <c r="B48" s="519"/>
      <c r="D48" s="673" t="s">
        <v>2513</v>
      </c>
      <c r="E48" s="679" t="s">
        <v>2514</v>
      </c>
      <c r="F48" s="668" t="s">
        <v>2499</v>
      </c>
      <c r="G48" s="676"/>
      <c r="H48" s="1036"/>
      <c r="I48" s="676"/>
      <c r="J48" s="1036"/>
      <c r="K48" s="277"/>
    </row>
    <row s="2598" customFormat="1" customHeight="1" ht="11.25">
      <c r="A49" s="2346"/>
      <c r="B49" s="519"/>
      <c r="D49" s="673" t="s">
        <v>2515</v>
      </c>
      <c r="E49" s="679" t="s">
        <v>2516</v>
      </c>
      <c r="F49" s="668" t="s">
        <v>2499</v>
      </c>
      <c r="G49" s="676"/>
      <c r="H49" s="1036"/>
      <c r="I49" s="676"/>
      <c r="J49" s="1036"/>
      <c r="K49" s="277"/>
    </row>
    <row s="2598" customFormat="1" customHeight="1" ht="11.25">
      <c r="A50" s="2346"/>
      <c r="B50" s="519"/>
      <c r="D50" s="673" t="s">
        <v>2517</v>
      </c>
      <c r="E50" s="675" t="s">
        <v>2518</v>
      </c>
      <c r="F50" s="668" t="s">
        <v>2499</v>
      </c>
      <c r="G50" s="676"/>
      <c r="H50" s="1036"/>
      <c r="I50" s="676"/>
      <c r="J50" s="1036"/>
      <c r="K50" s="277"/>
    </row>
    <row s="2598" customFormat="1" customHeight="1" ht="11.25">
      <c r="A51" s="2346"/>
      <c r="B51" s="519"/>
      <c r="D51" s="673" t="s">
        <v>2519</v>
      </c>
      <c r="E51" s="675" t="s">
        <v>2520</v>
      </c>
      <c r="F51" s="668" t="s">
        <v>2499</v>
      </c>
      <c r="G51" s="676"/>
      <c r="H51" s="1036"/>
      <c r="I51" s="676"/>
      <c r="J51" s="1036"/>
      <c r="K51" s="277"/>
    </row>
    <row s="2598" customFormat="1" customHeight="1" ht="45">
      <c r="A52" s="2346"/>
      <c r="B52" s="519"/>
      <c r="D52" s="673" t="s">
        <v>113</v>
      </c>
      <c r="E52" s="674" t="s">
        <v>2521</v>
      </c>
      <c r="F52" s="668" t="s">
        <v>2499</v>
      </c>
      <c r="G52" s="676"/>
      <c r="H52" s="1036"/>
      <c r="I52" s="676"/>
      <c r="J52" s="1036"/>
      <c r="K52" s="277"/>
    </row>
    <row s="2598" customFormat="1" customHeight="1" ht="11.25">
      <c r="A53" s="2346"/>
      <c r="B53" s="519"/>
      <c r="D53" s="673" t="s">
        <v>404</v>
      </c>
      <c r="E53" s="675" t="s">
        <v>2510</v>
      </c>
      <c r="F53" s="668" t="s">
        <v>2499</v>
      </c>
      <c r="G53" s="676"/>
      <c r="H53" s="1036"/>
      <c r="I53" s="676"/>
      <c r="J53" s="1036"/>
      <c r="K53" s="277"/>
    </row>
    <row s="2598" customFormat="1" customHeight="1" ht="11.25">
      <c r="A54" s="2346"/>
      <c r="B54" s="519"/>
      <c r="D54" s="673" t="s">
        <v>406</v>
      </c>
      <c r="E54" s="675" t="s">
        <v>2511</v>
      </c>
      <c r="F54" s="668" t="s">
        <v>2499</v>
      </c>
      <c r="G54" s="676"/>
      <c r="H54" s="1036"/>
      <c r="I54" s="676"/>
      <c r="J54" s="1036"/>
      <c r="K54" s="277"/>
    </row>
    <row s="2598" customFormat="1" customHeight="1" ht="11.25">
      <c r="A55" s="2346"/>
      <c r="B55" s="519"/>
      <c r="D55" s="673" t="s">
        <v>409</v>
      </c>
      <c r="E55" s="675" t="s">
        <v>2512</v>
      </c>
      <c r="F55" s="668" t="s">
        <v>2499</v>
      </c>
      <c r="G55" s="676"/>
      <c r="H55" s="1036"/>
      <c r="I55" s="676"/>
      <c r="J55" s="1036"/>
      <c r="K55" s="277"/>
    </row>
    <row s="2598" customFormat="1" customHeight="1" ht="11.25">
      <c r="A56" s="2346"/>
      <c r="B56" s="519"/>
      <c r="D56" s="673" t="s">
        <v>1689</v>
      </c>
      <c r="E56" s="679" t="s">
        <v>2514</v>
      </c>
      <c r="F56" s="668" t="s">
        <v>2499</v>
      </c>
      <c r="G56" s="676"/>
      <c r="H56" s="1036"/>
      <c r="I56" s="676"/>
      <c r="J56" s="1036"/>
      <c r="K56" s="277"/>
    </row>
    <row s="2598" customFormat="1" customHeight="1" ht="11.25">
      <c r="A57" s="2346"/>
      <c r="B57" s="519"/>
      <c r="D57" s="673" t="s">
        <v>2522</v>
      </c>
      <c r="E57" s="679" t="s">
        <v>2516</v>
      </c>
      <c r="F57" s="668" t="s">
        <v>2499</v>
      </c>
      <c r="G57" s="676"/>
      <c r="H57" s="1036"/>
      <c r="I57" s="676"/>
      <c r="J57" s="1036"/>
      <c r="K57" s="277"/>
    </row>
    <row s="2598" customFormat="1" customHeight="1" ht="11.25">
      <c r="A58" s="2346"/>
      <c r="B58" s="519"/>
      <c r="D58" s="673" t="s">
        <v>411</v>
      </c>
      <c r="E58" s="675" t="s">
        <v>2518</v>
      </c>
      <c r="F58" s="668" t="s">
        <v>2499</v>
      </c>
      <c r="G58" s="676"/>
      <c r="H58" s="1036"/>
      <c r="I58" s="676"/>
      <c r="J58" s="1036"/>
      <c r="K58" s="277"/>
    </row>
    <row s="2598" customFormat="1" customHeight="1" ht="11.25">
      <c r="A59" s="2346"/>
      <c r="B59" s="519"/>
      <c r="D59" s="673" t="s">
        <v>1724</v>
      </c>
      <c r="E59" s="675" t="s">
        <v>2520</v>
      </c>
      <c r="F59" s="668" t="s">
        <v>2499</v>
      </c>
      <c r="G59" s="676"/>
      <c r="H59" s="1036"/>
      <c r="I59" s="676"/>
      <c r="J59" s="1036"/>
      <c r="K59" s="277"/>
    </row>
    <row s="2598" customFormat="1" customHeight="1" ht="33.75">
      <c r="A60" s="2346"/>
      <c r="B60" s="519"/>
      <c r="D60" s="673" t="s">
        <v>92</v>
      </c>
      <c r="E60" s="674" t="s">
        <v>2523</v>
      </c>
      <c r="F60" s="730" t="s">
        <v>1712</v>
      </c>
      <c r="G60" s="751"/>
      <c r="H60" s="1036"/>
      <c r="I60" s="751"/>
      <c r="J60" s="1036"/>
      <c r="K60" s="290" t="s">
        <v>2524</v>
      </c>
    </row>
    <row s="2598" customFormat="1" customHeight="1" ht="33.75">
      <c r="A61" s="2346"/>
      <c r="B61" s="519"/>
      <c r="D61" s="673" t="s">
        <v>93</v>
      </c>
      <c r="E61" s="674" t="s">
        <v>2525</v>
      </c>
      <c r="F61" s="735" t="s">
        <v>1708</v>
      </c>
      <c r="G61" s="676"/>
      <c r="H61" s="1036"/>
      <c r="I61" s="676"/>
      <c r="J61" s="1036"/>
      <c r="K61" s="277"/>
    </row>
    <row s="2598" customFormat="1" customHeight="1" ht="22.5">
      <c r="A62" s="2346"/>
      <c r="B62" s="519" t="s">
        <v>2360</v>
      </c>
      <c r="D62" s="673" t="s">
        <v>123</v>
      </c>
      <c r="E62" s="674" t="s">
        <v>2526</v>
      </c>
      <c r="F62" s="735" t="s">
        <v>395</v>
      </c>
      <c r="G62" s="388"/>
      <c r="H62" s="1036"/>
      <c r="I62" s="388"/>
      <c r="J62" s="1036"/>
      <c r="K62" s="277" t="s">
        <v>1639</v>
      </c>
    </row>
    <row s="2598" customFormat="1" customHeight="1" ht="45">
      <c r="A63" s="2346"/>
      <c r="B63" s="519" t="s">
        <v>2360</v>
      </c>
      <c r="D63" s="673" t="s">
        <v>2527</v>
      </c>
      <c r="E63" s="675" t="s">
        <v>2528</v>
      </c>
      <c r="F63" s="730" t="s">
        <v>395</v>
      </c>
      <c r="G63" s="388"/>
      <c r="H63" s="1036"/>
      <c r="I63" s="388"/>
      <c r="J63" s="1036"/>
      <c r="K63" s="277" t="s">
        <v>1639</v>
      </c>
    </row>
    <row s="2602" customFormat="1" customHeight="1" ht="11.25">
      <c r="A64" s="1046"/>
      <c r="B64" s="526"/>
      <c r="D64" s="1047"/>
      <c r="E64" s="1048"/>
    </row>
    <row s="2598" customFormat="1" customHeight="1" ht="22.5" hidden="1">
      <c r="A65" s="2346" t="s">
        <v>1089</v>
      </c>
      <c r="B65" s="519"/>
      <c r="D65" s="673">
        <v>1</v>
      </c>
      <c r="E65" s="753" t="s">
        <v>2529</v>
      </c>
      <c r="F65" s="749" t="s">
        <v>1696</v>
      </c>
      <c r="G65" s="750"/>
      <c r="H65" s="1042"/>
      <c r="I65" s="750"/>
      <c r="J65" s="1042"/>
      <c r="K65" s="289" t="s">
        <v>2530</v>
      </c>
    </row>
    <row s="2598" customFormat="1" customHeight="1" ht="56.25" hidden="1">
      <c r="A66" s="2346"/>
      <c r="B66" s="519"/>
      <c r="D66" s="752" t="s">
        <v>102</v>
      </c>
      <c r="E66" s="715" t="s">
        <v>2531</v>
      </c>
      <c r="F66" s="668" t="s">
        <v>526</v>
      </c>
      <c r="G66" s="668" t="s">
        <v>526</v>
      </c>
      <c r="H66" s="527"/>
      <c r="I66" s="668" t="s">
        <v>526</v>
      </c>
      <c r="J66" s="527"/>
      <c r="K66" s="277"/>
    </row>
    <row s="2598" customFormat="1" customHeight="1" ht="33.75" hidden="1">
      <c r="A67" s="2346"/>
      <c r="B67" s="519"/>
      <c r="D67" s="752" t="s">
        <v>552</v>
      </c>
      <c r="E67" s="967" t="s">
        <v>2532</v>
      </c>
      <c r="F67" s="668" t="s">
        <v>2502</v>
      </c>
      <c r="G67" s="736"/>
      <c r="H67" s="527"/>
      <c r="I67" s="736"/>
      <c r="J67" s="527"/>
      <c r="K67" s="277"/>
    </row>
    <row s="2598" customFormat="1" customHeight="1" ht="22.5" hidden="1">
      <c r="A68" s="2346"/>
      <c r="B68" s="519"/>
      <c r="D68" s="752" t="s">
        <v>396</v>
      </c>
      <c r="E68" s="967" t="s">
        <v>2533</v>
      </c>
      <c r="F68" s="668" t="s">
        <v>2502</v>
      </c>
      <c r="G68" s="736"/>
      <c r="H68" s="527"/>
      <c r="I68" s="736"/>
      <c r="J68" s="527"/>
      <c r="K68" s="277"/>
    </row>
    <row s="2598" customFormat="1" customHeight="1" ht="22.5" hidden="1">
      <c r="A69" s="2346"/>
      <c r="B69" s="519"/>
      <c r="D69" s="752" t="s">
        <v>399</v>
      </c>
      <c r="E69" s="967" t="s">
        <v>2534</v>
      </c>
      <c r="F69" s="730" t="s">
        <v>1712</v>
      </c>
      <c r="G69" s="751"/>
      <c r="H69" s="527"/>
      <c r="I69" s="751"/>
      <c r="J69" s="527"/>
      <c r="K69" s="277"/>
    </row>
    <row s="2598" customFormat="1" customHeight="1" ht="22.5" hidden="1">
      <c r="A70" s="2346"/>
      <c r="B70" s="519"/>
      <c r="D70" s="752" t="s">
        <v>1445</v>
      </c>
      <c r="E70" s="967" t="s">
        <v>2535</v>
      </c>
      <c r="F70" s="730" t="s">
        <v>1712</v>
      </c>
      <c r="G70" s="751"/>
      <c r="H70" s="527"/>
      <c r="I70" s="751"/>
      <c r="J70" s="527"/>
      <c r="K70" s="277"/>
    </row>
    <row s="2598" customFormat="1" customHeight="1" ht="22.5" hidden="1">
      <c r="A71" s="2346"/>
      <c r="B71" s="519"/>
      <c r="D71" s="673" t="s">
        <v>90</v>
      </c>
      <c r="E71" s="674" t="s">
        <v>2536</v>
      </c>
      <c r="F71" s="668" t="s">
        <v>2502</v>
      </c>
      <c r="G71" s="565"/>
      <c r="H71" s="1043"/>
      <c r="I71" s="565"/>
      <c r="J71" s="1043"/>
      <c r="K71" s="290"/>
    </row>
    <row s="2598" customFormat="1" customHeight="1" ht="56.25" hidden="1">
      <c r="A72" s="2346"/>
      <c r="B72" s="519"/>
      <c r="D72" s="673" t="s">
        <v>91</v>
      </c>
      <c r="E72" s="674" t="s">
        <v>2537</v>
      </c>
      <c r="F72" s="730" t="s">
        <v>1712</v>
      </c>
      <c r="G72" s="751"/>
      <c r="H72" s="1036"/>
      <c r="I72" s="751"/>
      <c r="J72" s="1036"/>
      <c r="K72" s="290"/>
    </row>
    <row s="2598" customFormat="1" customHeight="1" ht="33.75" hidden="1">
      <c r="A73" s="2346"/>
      <c r="B73" s="519"/>
      <c r="D73" s="673" t="s">
        <v>113</v>
      </c>
      <c r="E73" s="674" t="s">
        <v>2538</v>
      </c>
      <c r="F73" s="735" t="s">
        <v>1708</v>
      </c>
      <c r="G73" s="676"/>
      <c r="H73" s="1036"/>
      <c r="I73" s="676"/>
      <c r="J73" s="1036"/>
      <c r="K73" s="277"/>
    </row>
    <row s="2598" customFormat="1" customHeight="1" ht="22.5" hidden="1">
      <c r="A74" s="2346"/>
      <c r="B74" s="519" t="s">
        <v>2360</v>
      </c>
      <c r="D74" s="673" t="s">
        <v>92</v>
      </c>
      <c r="E74" s="674" t="s">
        <v>2539</v>
      </c>
      <c r="F74" s="735" t="s">
        <v>395</v>
      </c>
      <c r="G74" s="388"/>
      <c r="H74" s="1036"/>
      <c r="I74" s="388"/>
      <c r="J74" s="1036"/>
      <c r="K74" s="277" t="s">
        <v>1639</v>
      </c>
    </row>
    <row s="2598" customFormat="1" customHeight="1" ht="45" hidden="1">
      <c r="A75" s="2346"/>
      <c r="B75" s="519" t="s">
        <v>2360</v>
      </c>
      <c r="D75" s="673" t="s">
        <v>1449</v>
      </c>
      <c r="E75" s="675" t="s">
        <v>2540</v>
      </c>
      <c r="F75" s="730" t="s">
        <v>395</v>
      </c>
      <c r="G75" s="388"/>
      <c r="H75" s="1036"/>
      <c r="I75" s="388"/>
      <c r="J75" s="1036"/>
      <c r="K75" s="277" t="s">
        <v>1639</v>
      </c>
    </row>
    <row s="2602" customFormat="1" customHeight="1" ht="11.25">
      <c r="A76" s="1046"/>
      <c r="B76" s="526"/>
      <c r="D76" s="1047"/>
      <c r="E76" s="1048"/>
    </row>
    <row s="2598" customFormat="1" customHeight="1" ht="11.25" hidden="1">
      <c r="A77" s="2346" t="s">
        <v>695</v>
      </c>
      <c r="B77" s="519"/>
      <c r="D77" s="673">
        <v>1</v>
      </c>
      <c r="E77" s="674" t="s">
        <v>2541</v>
      </c>
      <c r="F77" s="730" t="s">
        <v>1696</v>
      </c>
      <c r="G77" s="733"/>
      <c r="H77" s="1036"/>
      <c r="I77" s="733"/>
      <c r="J77" s="1036"/>
      <c r="K77" s="277" t="s">
        <v>2542</v>
      </c>
    </row>
    <row s="2598" customFormat="1" customHeight="1" ht="11.25" hidden="1">
      <c r="A78" s="2346"/>
      <c r="B78" s="519"/>
      <c r="D78" s="673" t="s">
        <v>102</v>
      </c>
      <c r="E78" s="674" t="s">
        <v>2543</v>
      </c>
      <c r="F78" s="730" t="s">
        <v>1696</v>
      </c>
      <c r="G78" s="733"/>
      <c r="H78" s="1036"/>
      <c r="I78" s="733"/>
      <c r="J78" s="1036"/>
      <c r="K78" s="277" t="s">
        <v>2544</v>
      </c>
    </row>
    <row s="2598" customFormat="1" customHeight="1" ht="22.5" hidden="1">
      <c r="A79" s="2346"/>
      <c r="B79" s="519"/>
      <c r="D79" s="673" t="s">
        <v>90</v>
      </c>
      <c r="E79" s="731" t="s">
        <v>2545</v>
      </c>
      <c r="F79" s="668" t="s">
        <v>2499</v>
      </c>
      <c r="G79" s="733"/>
      <c r="H79" s="1036"/>
      <c r="I79" s="733"/>
      <c r="J79" s="1036"/>
      <c r="K79" s="277" t="s">
        <v>2546</v>
      </c>
    </row>
    <row s="2598" customFormat="1" customHeight="1" ht="11.25" hidden="1">
      <c r="A80" s="2346"/>
      <c r="B80" s="519"/>
      <c r="D80" s="673" t="s">
        <v>415</v>
      </c>
      <c r="E80" s="732" t="s">
        <v>2547</v>
      </c>
      <c r="F80" s="668" t="s">
        <v>2499</v>
      </c>
      <c r="G80" s="733"/>
      <c r="H80" s="1036"/>
      <c r="I80" s="733"/>
      <c r="J80" s="1036"/>
      <c r="K80" s="277"/>
    </row>
    <row s="2598" customFormat="1" customHeight="1" ht="11.25" hidden="1">
      <c r="A81" s="2346"/>
      <c r="B81" s="519"/>
      <c r="D81" s="673" t="s">
        <v>423</v>
      </c>
      <c r="E81" s="732" t="s">
        <v>2548</v>
      </c>
      <c r="F81" s="668" t="s">
        <v>2499</v>
      </c>
      <c r="G81" s="733"/>
      <c r="H81" s="1036"/>
      <c r="I81" s="733"/>
      <c r="J81" s="1036"/>
      <c r="K81" s="277"/>
    </row>
    <row s="2598" customFormat="1" customHeight="1" ht="11.25" hidden="1">
      <c r="A82" s="2346"/>
      <c r="B82" s="519"/>
      <c r="D82" s="673" t="s">
        <v>425</v>
      </c>
      <c r="E82" s="732" t="s">
        <v>2549</v>
      </c>
      <c r="F82" s="668" t="s">
        <v>2499</v>
      </c>
      <c r="G82" s="733"/>
      <c r="H82" s="1036"/>
      <c r="I82" s="733"/>
      <c r="J82" s="1036"/>
      <c r="K82" s="277"/>
    </row>
    <row s="2598" customFormat="1" customHeight="1" ht="11.25" hidden="1">
      <c r="A83" s="2346"/>
      <c r="B83" s="519"/>
      <c r="D83" s="673" t="s">
        <v>427</v>
      </c>
      <c r="E83" s="732" t="s">
        <v>2550</v>
      </c>
      <c r="F83" s="668" t="s">
        <v>2499</v>
      </c>
      <c r="G83" s="733"/>
      <c r="H83" s="1036"/>
      <c r="I83" s="733"/>
      <c r="J83" s="1036"/>
      <c r="K83" s="277"/>
    </row>
    <row s="2598" customFormat="1" customHeight="1" ht="11.25" hidden="1">
      <c r="A84" s="2346"/>
      <c r="B84" s="519"/>
      <c r="D84" s="673" t="s">
        <v>2551</v>
      </c>
      <c r="E84" s="732" t="s">
        <v>2552</v>
      </c>
      <c r="F84" s="668" t="s">
        <v>2499</v>
      </c>
      <c r="G84" s="733"/>
      <c r="H84" s="1036"/>
      <c r="I84" s="733"/>
      <c r="J84" s="1036"/>
      <c r="K84" s="277"/>
    </row>
    <row s="2598" customFormat="1" customHeight="1" ht="11.25" hidden="1">
      <c r="A85" s="2346"/>
      <c r="B85" s="519"/>
      <c r="D85" s="673" t="s">
        <v>2553</v>
      </c>
      <c r="E85" s="732" t="s">
        <v>2554</v>
      </c>
      <c r="F85" s="668" t="s">
        <v>2499</v>
      </c>
      <c r="G85" s="733"/>
      <c r="H85" s="1036"/>
      <c r="I85" s="733"/>
      <c r="J85" s="1036"/>
      <c r="K85" s="277"/>
    </row>
    <row s="2598" customFormat="1" customHeight="1" ht="11.25" hidden="1">
      <c r="A86" s="2346"/>
      <c r="B86" s="519"/>
      <c r="D86" s="673" t="s">
        <v>2555</v>
      </c>
      <c r="E86" s="732" t="s">
        <v>2556</v>
      </c>
      <c r="F86" s="668" t="s">
        <v>2499</v>
      </c>
      <c r="G86" s="733"/>
      <c r="H86" s="1036"/>
      <c r="I86" s="733"/>
      <c r="J86" s="1036"/>
      <c r="K86" s="277"/>
    </row>
    <row s="2598" customFormat="1" customHeight="1" ht="45" hidden="1">
      <c r="A87" s="2346"/>
      <c r="B87" s="519"/>
      <c r="D87" s="673" t="s">
        <v>91</v>
      </c>
      <c r="E87" s="674" t="s">
        <v>2557</v>
      </c>
      <c r="F87" s="668" t="s">
        <v>2499</v>
      </c>
      <c r="G87" s="733"/>
      <c r="H87" s="1036"/>
      <c r="I87" s="733"/>
      <c r="J87" s="1036"/>
      <c r="K87" s="277" t="s">
        <v>2558</v>
      </c>
    </row>
    <row s="2598" customFormat="1" customHeight="1" ht="11.25" hidden="1">
      <c r="A88" s="2346"/>
      <c r="B88" s="519"/>
      <c r="D88" s="673" t="s">
        <v>1544</v>
      </c>
      <c r="E88" s="732" t="s">
        <v>2547</v>
      </c>
      <c r="F88" s="668" t="s">
        <v>2499</v>
      </c>
      <c r="G88" s="733"/>
      <c r="H88" s="1036"/>
      <c r="I88" s="733"/>
      <c r="J88" s="1036"/>
      <c r="K88" s="277"/>
    </row>
    <row s="2598" customFormat="1" customHeight="1" ht="11.25" hidden="1">
      <c r="A89" s="2346"/>
      <c r="B89" s="519"/>
      <c r="D89" s="673" t="s">
        <v>1561</v>
      </c>
      <c r="E89" s="732" t="s">
        <v>2548</v>
      </c>
      <c r="F89" s="668" t="s">
        <v>2499</v>
      </c>
      <c r="G89" s="733"/>
      <c r="H89" s="1036"/>
      <c r="I89" s="733"/>
      <c r="J89" s="1036"/>
      <c r="K89" s="277"/>
    </row>
    <row s="2598" customFormat="1" customHeight="1" ht="11.25" hidden="1">
      <c r="A90" s="2346"/>
      <c r="B90" s="519"/>
      <c r="D90" s="673" t="s">
        <v>1709</v>
      </c>
      <c r="E90" s="732" t="s">
        <v>2549</v>
      </c>
      <c r="F90" s="668" t="s">
        <v>2499</v>
      </c>
      <c r="G90" s="733"/>
      <c r="H90" s="1036"/>
      <c r="I90" s="733"/>
      <c r="J90" s="1036"/>
      <c r="K90" s="277"/>
    </row>
    <row s="2598" customFormat="1" customHeight="1" ht="11.25" hidden="1">
      <c r="A91" s="2346"/>
      <c r="B91" s="519"/>
      <c r="D91" s="673" t="s">
        <v>2517</v>
      </c>
      <c r="E91" s="732" t="s">
        <v>2550</v>
      </c>
      <c r="F91" s="668" t="s">
        <v>2499</v>
      </c>
      <c r="G91" s="733"/>
      <c r="H91" s="1036"/>
      <c r="I91" s="733"/>
      <c r="J91" s="1036"/>
      <c r="K91" s="277"/>
    </row>
    <row s="2598" customFormat="1" customHeight="1" ht="11.25" hidden="1">
      <c r="A92" s="2346"/>
      <c r="B92" s="519"/>
      <c r="D92" s="673" t="s">
        <v>2519</v>
      </c>
      <c r="E92" s="732" t="s">
        <v>2552</v>
      </c>
      <c r="F92" s="668" t="s">
        <v>2499</v>
      </c>
      <c r="G92" s="733"/>
      <c r="H92" s="1036"/>
      <c r="I92" s="733"/>
      <c r="J92" s="1036"/>
      <c r="K92" s="277"/>
    </row>
    <row s="2598" customFormat="1" customHeight="1" ht="11.25" hidden="1">
      <c r="A93" s="2346"/>
      <c r="B93" s="519"/>
      <c r="D93" s="673" t="s">
        <v>2559</v>
      </c>
      <c r="E93" s="732" t="s">
        <v>2554</v>
      </c>
      <c r="F93" s="668" t="s">
        <v>2499</v>
      </c>
      <c r="G93" s="733"/>
      <c r="H93" s="1036"/>
      <c r="I93" s="733"/>
      <c r="J93" s="1036"/>
      <c r="K93" s="277"/>
    </row>
    <row s="2598" customFormat="1" customHeight="1" ht="11.25" hidden="1">
      <c r="A94" s="2346"/>
      <c r="B94" s="519"/>
      <c r="D94" s="673" t="s">
        <v>2560</v>
      </c>
      <c r="E94" s="732" t="s">
        <v>2556</v>
      </c>
      <c r="F94" s="668" t="s">
        <v>2499</v>
      </c>
      <c r="G94" s="733"/>
      <c r="H94" s="1036"/>
      <c r="I94" s="733"/>
      <c r="J94" s="1036"/>
      <c r="K94" s="277"/>
    </row>
    <row s="2598" customFormat="1" customHeight="1" ht="24.75" hidden="1">
      <c r="A95" s="2346"/>
      <c r="B95" s="519"/>
      <c r="D95" s="673" t="s">
        <v>113</v>
      </c>
      <c r="E95" s="674" t="s">
        <v>2561</v>
      </c>
      <c r="F95" s="734" t="s">
        <v>1712</v>
      </c>
      <c r="G95" s="736"/>
      <c r="H95" s="1036"/>
      <c r="I95" s="736"/>
      <c r="J95" s="1036"/>
      <c r="K95" s="277" t="s">
        <v>2562</v>
      </c>
    </row>
    <row s="2598" customFormat="1" customHeight="1" ht="33.75" hidden="1">
      <c r="A96" s="2346"/>
      <c r="B96" s="519"/>
      <c r="D96" s="673" t="s">
        <v>92</v>
      </c>
      <c r="E96" s="674" t="s">
        <v>2563</v>
      </c>
      <c r="F96" s="735" t="s">
        <v>1708</v>
      </c>
      <c r="G96" s="737"/>
      <c r="H96" s="1036"/>
      <c r="I96" s="737"/>
      <c r="J96" s="1036"/>
      <c r="K96" s="277"/>
    </row>
    <row s="2598" customFormat="1" customHeight="1" ht="22.5" hidden="1">
      <c r="A97" s="2346"/>
      <c r="B97" s="519" t="s">
        <v>2360</v>
      </c>
      <c r="D97" s="673" t="s">
        <v>93</v>
      </c>
      <c r="E97" s="674" t="s">
        <v>2564</v>
      </c>
      <c r="F97" s="735" t="s">
        <v>395</v>
      </c>
      <c r="G97" s="391"/>
      <c r="H97" s="1036"/>
      <c r="I97" s="391"/>
      <c r="J97" s="1036"/>
      <c r="K97" s="277" t="s">
        <v>1639</v>
      </c>
    </row>
    <row s="2598" customFormat="1" customHeight="1" ht="45" hidden="1">
      <c r="A98" s="2346"/>
      <c r="B98" s="519" t="s">
        <v>2360</v>
      </c>
      <c r="D98" s="673" t="s">
        <v>2565</v>
      </c>
      <c r="E98" s="675" t="s">
        <v>2566</v>
      </c>
      <c r="F98" s="730" t="s">
        <v>395</v>
      </c>
      <c r="G98" s="391"/>
      <c r="H98" s="1036"/>
      <c r="I98" s="391"/>
      <c r="J98" s="1036"/>
      <c r="K98" s="277" t="s">
        <v>1639</v>
      </c>
    </row>
    <row s="2598" customFormat="1" customHeight="1" ht="95.25" hidden="1">
      <c r="A99" s="2346"/>
      <c r="B99" s="519" t="s">
        <v>2360</v>
      </c>
      <c r="D99" s="673" t="s">
        <v>123</v>
      </c>
      <c r="E99" s="674" t="s">
        <v>2567</v>
      </c>
      <c r="F99" s="730" t="s">
        <v>395</v>
      </c>
      <c r="G99" s="391"/>
      <c r="H99" s="1036"/>
      <c r="I99" s="391"/>
      <c r="J99" s="1036"/>
      <c r="K99" s="277" t="s">
        <v>1639</v>
      </c>
    </row>
    <row s="2598" customFormat="1" customHeight="1" ht="22.5" hidden="1">
      <c r="A100" s="2346"/>
      <c r="B100" s="519" t="s">
        <v>2360</v>
      </c>
      <c r="D100" s="673" t="s">
        <v>127</v>
      </c>
      <c r="E100" s="674" t="s">
        <v>2568</v>
      </c>
      <c r="F100" s="730" t="s">
        <v>395</v>
      </c>
      <c r="G100" s="391"/>
      <c r="H100" s="1036"/>
      <c r="I100" s="391"/>
      <c r="J100" s="1036"/>
      <c r="K100" s="277" t="s">
        <v>1639</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54B5-E7E8-FBED-C956-04166BC09FA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71" width="6.7109375" hidden="1" customWidth="1"/>
    <col min="4" max="4" style="2599" width="6.7109375" hidden="1" customWidth="1"/>
    <col min="5" max="5" style="2602" width="3.7109375" customWidth="1"/>
    <col min="6" max="6" style="2598" width="6.28125" customWidth="1"/>
    <col min="7" max="7" style="2598" width="37.7109375" customWidth="1"/>
    <col min="8" max="8" style="2867"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24" customFormat="1" customHeight="1" ht="10.5" hidden="1">
      <c r="A3" s="907"/>
      <c r="B3" s="907"/>
      <c r="C3" s="907"/>
      <c r="D3" s="424"/>
      <c r="E3" s="360"/>
      <c r="H3" s="1170"/>
    </row>
    <row customHeight="1" ht="3"/>
    <row customHeight="1" ht="30">
      <c r="F5" s="2181" t="s">
        <v>2569</v>
      </c>
      <c r="G5" s="2181"/>
      <c r="H5" s="2181"/>
      <c r="I5" s="2181"/>
      <c r="J5" s="2181"/>
      <c r="K5" s="2181"/>
      <c r="M5" s="590"/>
      <c r="AB5" s="918"/>
    </row>
    <row s="2876" customFormat="1" customHeight="1" ht="15.75">
      <c r="A6" s="1180"/>
      <c r="B6" s="1180"/>
      <c r="C6" s="1180"/>
      <c r="D6" s="1174"/>
      <c r="E6" s="1681"/>
      <c r="F6" s="2182" t="str">
        <f>IF(org=0,"Не определено",org)</f>
        <v>ГУП СК "Ставрополькрайводоканал"</v>
      </c>
      <c r="G6" s="2182"/>
      <c r="H6" s="2182"/>
      <c r="I6" s="2182"/>
      <c r="J6" s="2182"/>
      <c r="K6" s="2182"/>
      <c r="M6" s="590"/>
      <c r="AB6" s="1162"/>
    </row>
    <row r="8" customHeight="1" ht="10.5">
      <c r="A8" s="1064"/>
      <c r="B8" s="1064"/>
      <c r="C8" s="1064"/>
      <c r="F8" s="1940" t="s">
        <v>389</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2570</v>
      </c>
      <c r="H9" s="2012" t="s">
        <v>2571</v>
      </c>
      <c r="I9" s="1966" t="s">
        <v>2572</v>
      </c>
      <c r="J9" s="1966" t="s">
        <v>2573</v>
      </c>
      <c r="K9" s="1966" t="s">
        <v>2574</v>
      </c>
      <c r="L9" s="1966" t="s">
        <v>2575</v>
      </c>
      <c r="M9" s="1966" t="s">
        <v>2576</v>
      </c>
      <c r="N9" s="2047" t="s">
        <v>2577</v>
      </c>
      <c r="O9" s="2047"/>
      <c r="P9" s="2047"/>
      <c r="Q9" s="2349" t="s">
        <v>2578</v>
      </c>
      <c r="R9" s="2350"/>
      <c r="S9" s="2350"/>
      <c r="T9" s="2351"/>
      <c r="U9" s="2349" t="s">
        <v>2579</v>
      </c>
      <c r="V9" s="2350"/>
      <c r="W9" s="2350"/>
      <c r="X9" s="2351"/>
      <c r="Y9" s="1940" t="s">
        <v>2580</v>
      </c>
      <c r="Z9" s="1941"/>
      <c r="AA9" s="1941"/>
      <c r="AB9" s="1942"/>
    </row>
    <row customHeight="1" ht="41.25">
      <c r="A10" s="917"/>
      <c r="B10" s="917"/>
      <c r="C10" s="917"/>
      <c r="F10" s="2012"/>
      <c r="G10" s="2012"/>
      <c r="H10" s="2071"/>
      <c r="I10" s="2012"/>
      <c r="J10" s="2012"/>
      <c r="K10" s="2012"/>
      <c r="L10" s="2012"/>
      <c r="M10" s="2012"/>
      <c r="N10" s="915" t="s">
        <v>2581</v>
      </c>
      <c r="O10" s="915" t="s">
        <v>2582</v>
      </c>
      <c r="P10" s="916" t="s">
        <v>2583</v>
      </c>
      <c r="Q10" s="927" t="s">
        <v>89</v>
      </c>
      <c r="R10" s="927" t="s">
        <v>2584</v>
      </c>
      <c r="S10" s="927" t="s">
        <v>2585</v>
      </c>
      <c r="T10" s="928" t="s">
        <v>2586</v>
      </c>
      <c r="U10" s="927" t="s">
        <v>89</v>
      </c>
      <c r="V10" s="927" t="s">
        <v>2587</v>
      </c>
      <c r="W10" s="927" t="s">
        <v>2585</v>
      </c>
      <c r="X10" s="928" t="s">
        <v>2586</v>
      </c>
      <c r="Y10" s="289" t="s">
        <v>2588</v>
      </c>
      <c r="Z10" s="1940" t="s">
        <v>88</v>
      </c>
      <c r="AA10" s="1942"/>
      <c r="AB10" s="1062" t="s">
        <v>2589</v>
      </c>
    </row>
    <row s="2586" customFormat="1" customHeight="1" ht="5.25" hidden="1">
      <c r="A11" s="1065"/>
      <c r="B11" s="1065"/>
      <c r="C11" s="1065"/>
      <c r="E11" s="1063"/>
      <c r="F11" s="2078" t="s">
        <v>467</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2590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2591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0BCF-161B-F39C-5562-7D00069F38C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71" width="4.140625" hidden="1" customWidth="1"/>
    <col min="4" max="4" style="2599" width="4.140625" hidden="1" customWidth="1"/>
    <col min="5" max="5" style="2602" width="3.7109375" customWidth="1"/>
    <col min="6" max="6" style="2598" width="14.421875" customWidth="1"/>
    <col min="7" max="7" style="2598" width="3.7109375" customWidth="1"/>
    <col min="8" max="8" style="2867" width="7.7109375" customWidth="1"/>
    <col min="9" max="10" style="2598" width="16.7109375" customWidth="1"/>
    <col min="11" max="11" style="2598" width="25.7109375" customWidth="1"/>
    <col min="12" max="12" style="4820" width="8.00390625" customWidth="1"/>
    <col min="13" max="13" style="482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820" width="37.57421875" customWidth="1"/>
    <col min="31" max="31" style="2598" width="15.7109375" customWidth="1"/>
    <col min="32" max="33" style="2598" width="16.7109375" customWidth="1"/>
    <col min="34" max="34" style="4841" width="16.7109375" customWidth="1"/>
    <col min="35" max="35" style="484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24" customFormat="1" customHeight="1" ht="10.5" hidden="1">
      <c r="A3" s="907"/>
      <c r="B3" s="907"/>
      <c r="C3" s="907"/>
      <c r="D3" s="424"/>
      <c r="E3" s="360"/>
      <c r="H3" s="1170"/>
      <c r="L3" s="1140"/>
      <c r="M3" s="1140"/>
      <c r="AD3" s="1140"/>
      <c r="AH3" s="1159"/>
      <c r="AI3" s="1152"/>
    </row>
    <row customHeight="1" ht="3"/>
    <row customHeight="1" ht="30">
      <c r="F5" s="2181" t="s">
        <v>2569</v>
      </c>
      <c r="G5" s="2181"/>
      <c r="H5" s="2181"/>
      <c r="I5" s="2181"/>
      <c r="J5" s="2181"/>
      <c r="K5" s="2181"/>
      <c r="L5" s="1149"/>
      <c r="M5" s="1149"/>
      <c r="AG5" s="918"/>
      <c r="AH5" s="1162"/>
    </row>
    <row customHeight="1" ht="10.5">
      <c r="F6" s="2049" t="str">
        <f>IF(org=0,"Не определено",org)</f>
        <v>ГУП СК "Ставрополькрайводоканал"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389</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2592</v>
      </c>
      <c r="G9" s="2357" t="s">
        <v>2593</v>
      </c>
      <c r="H9" s="2358"/>
      <c r="I9" s="1966" t="s">
        <v>2594</v>
      </c>
      <c r="J9" s="1966"/>
      <c r="K9" s="1966" t="s">
        <v>2595</v>
      </c>
      <c r="L9" s="1966"/>
      <c r="M9" s="1966"/>
      <c r="N9" s="1966"/>
      <c r="O9" s="1966"/>
      <c r="P9" s="1966"/>
      <c r="Q9" s="1966"/>
      <c r="R9" s="1966"/>
      <c r="S9" s="1966"/>
      <c r="T9" s="1966"/>
      <c r="U9" s="1966"/>
      <c r="V9" s="1966"/>
      <c r="W9" s="1966"/>
      <c r="X9" s="1966"/>
      <c r="Y9" s="1966"/>
      <c r="Z9" s="2029" t="s">
        <v>2596</v>
      </c>
      <c r="AA9" s="2030"/>
      <c r="AB9" s="1966" t="s">
        <v>2597</v>
      </c>
      <c r="AC9" s="1966"/>
      <c r="AD9" s="1966"/>
      <c r="AE9" s="1966"/>
      <c r="AF9" s="2012" t="s">
        <v>2598</v>
      </c>
      <c r="AG9" s="1966" t="s">
        <v>2599</v>
      </c>
      <c r="AH9" s="1966"/>
      <c r="AI9" s="2012" t="s">
        <v>2600</v>
      </c>
      <c r="AJ9" s="1966" t="s">
        <v>2601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2602</v>
      </c>
      <c r="L10" s="1940" t="s">
        <v>2603</v>
      </c>
      <c r="M10" s="1942"/>
      <c r="N10" s="1966" t="s">
        <v>2604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820" customFormat="1" customHeight="1" ht="23.25">
      <c r="A11" s="1143"/>
      <c r="B11" s="1143"/>
      <c r="C11" s="1143"/>
      <c r="D11" s="1142"/>
      <c r="E11" s="1144"/>
      <c r="F11" s="2356"/>
      <c r="G11" s="2359"/>
      <c r="H11" s="2360"/>
      <c r="I11" s="1966"/>
      <c r="J11" s="1966"/>
      <c r="K11" s="1966"/>
      <c r="L11" s="2012" t="s">
        <v>2605</v>
      </c>
      <c r="M11" s="2012" t="s">
        <v>2606</v>
      </c>
      <c r="N11" s="1966" t="s">
        <v>2607</v>
      </c>
      <c r="O11" s="1966"/>
      <c r="P11" s="2366" t="s">
        <v>2588</v>
      </c>
      <c r="Q11" s="2366" t="s">
        <v>2608</v>
      </c>
      <c r="R11" s="2366" t="s">
        <v>2609</v>
      </c>
      <c r="S11" s="2366" t="s">
        <v>2610</v>
      </c>
      <c r="T11" s="2366"/>
      <c r="U11" s="2366"/>
      <c r="V11" s="2366"/>
      <c r="W11" s="2366"/>
      <c r="X11" s="2366"/>
      <c r="Y11" s="2366"/>
      <c r="Z11" s="2031"/>
      <c r="AA11" s="2032"/>
      <c r="AB11" s="1966" t="s">
        <v>2611</v>
      </c>
      <c r="AC11" s="1966"/>
      <c r="AD11" s="1940" t="s">
        <v>2612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2613</v>
      </c>
      <c r="K12" s="1966"/>
      <c r="L12" s="2071"/>
      <c r="M12" s="2071"/>
      <c r="N12" s="1966"/>
      <c r="O12" s="1966"/>
      <c r="P12" s="2366"/>
      <c r="Q12" s="2366"/>
      <c r="R12" s="2366"/>
      <c r="S12" s="1148" t="s">
        <v>86</v>
      </c>
      <c r="T12" s="1148" t="s">
        <v>87</v>
      </c>
      <c r="U12" s="1148" t="s">
        <v>85</v>
      </c>
      <c r="V12" s="1148" t="s">
        <v>2614</v>
      </c>
      <c r="W12" s="1148" t="s">
        <v>85</v>
      </c>
      <c r="X12" s="1148" t="s">
        <v>2615</v>
      </c>
      <c r="Y12" s="1148" t="s">
        <v>2616</v>
      </c>
      <c r="Z12" s="2037"/>
      <c r="AA12" s="2038"/>
      <c r="AB12" s="1155" t="s">
        <v>2617</v>
      </c>
      <c r="AC12" s="1155" t="s">
        <v>2618</v>
      </c>
      <c r="AD12" s="1155" t="s">
        <v>2617</v>
      </c>
      <c r="AE12" s="1155" t="s">
        <v>2618</v>
      </c>
      <c r="AF12" s="2071"/>
      <c r="AG12" s="1168" t="s">
        <v>2619</v>
      </c>
      <c r="AH12" s="1168" t="s">
        <v>2620</v>
      </c>
      <c r="AI12" s="2071"/>
      <c r="AJ12" s="1168" t="s">
        <v>2619</v>
      </c>
      <c r="AK12" s="1168" t="s">
        <v>2620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2621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6BC72-BA7C-30C7-2FE8-E6BB6723D4D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7" width="4.140625" hidden="1" customWidth="1"/>
    <col min="4" max="4" style="2650" width="4.140625" hidden="1" customWidth="1"/>
    <col min="5" max="5" style="2602" width="3.7109375" customWidth="1"/>
    <col min="6" max="6" style="2867" width="6.28125" customWidth="1"/>
    <col min="7" max="7" style="2867" width="60.140625" customWidth="1"/>
    <col min="8" max="9" style="2867" width="21.7109375" hidden="1" customWidth="1"/>
    <col min="10" max="10" style="2867" width="0.140625" customWidth="1"/>
    <col min="11" max="11" style="2867" width="1.7109375" customWidth="1"/>
    <col min="12" max="22" style="2867" width="9.140625"/>
  </cols>
  <sheetData>
    <row s="2650" customFormat="1" customHeight="1" ht="10.5" hidden="1">
      <c r="A1" s="1180"/>
      <c r="B1" s="1180"/>
      <c r="C1" s="1180"/>
      <c r="E1" s="545"/>
    </row>
    <row customHeight="1" ht="10.5" hidden="1"/>
    <row s="2866" customFormat="1" customHeight="1" ht="10.5" hidden="1">
      <c r="A3" s="1180"/>
      <c r="B3" s="1180"/>
      <c r="C3" s="1180"/>
      <c r="D3" s="1174"/>
      <c r="E3" s="360"/>
    </row>
    <row customHeight="1" ht="3"/>
    <row customHeight="1" ht="30">
      <c r="F5" s="2181" t="s">
        <v>2622</v>
      </c>
      <c r="G5" s="2181"/>
      <c r="H5" s="2181"/>
      <c r="I5" s="2181"/>
      <c r="J5" s="2181"/>
    </row>
    <row customHeight="1" ht="10.5">
      <c r="F6" s="2049" t="str">
        <f>IF(org=0,"Не определено",org)</f>
        <v>ГУП СК "Ставрополькрайводоканал"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389</v>
      </c>
      <c r="G9" s="2368"/>
      <c r="H9" s="2368"/>
      <c r="I9" s="2368"/>
      <c r="J9" s="2368"/>
      <c r="K9" s="1264"/>
      <c r="L9" s="1171"/>
      <c r="M9" s="1171"/>
      <c r="N9" s="1171"/>
      <c r="O9" s="1171"/>
      <c r="P9" s="1171"/>
      <c r="Q9" s="1171"/>
      <c r="R9" s="1171"/>
      <c r="S9" s="1171"/>
      <c r="T9" s="1171"/>
      <c r="U9" s="1171"/>
      <c r="V9" s="1171"/>
    </row>
    <row customHeight="1" ht="24">
      <c r="E10" s="1171"/>
      <c r="F10" s="2371" t="s">
        <v>88</v>
      </c>
      <c r="G10" s="2376" t="s">
        <v>2623</v>
      </c>
      <c r="H10" s="2374" t="s">
        <v>2624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2625</v>
      </c>
      <c r="I12" s="1256"/>
      <c r="J12" s="1250"/>
      <c r="K12" s="1258"/>
    </row>
    <row customHeight="1" ht="10.5" hidden="1">
      <c r="F13" s="1250">
        <v>1</v>
      </c>
      <c r="G13" s="1250">
        <v>2</v>
      </c>
      <c r="H13" s="1250">
        <v>3</v>
      </c>
      <c r="I13" s="1250">
        <v>4</v>
      </c>
      <c r="J13" s="1250">
        <v>5</v>
      </c>
      <c r="K13" s="1258"/>
    </row>
    <row customHeight="1" ht="11.25">
      <c r="F14" s="1249" t="s">
        <v>1152</v>
      </c>
      <c r="G14" s="2369" t="s">
        <v>2626</v>
      </c>
      <c r="H14" s="2369"/>
      <c r="I14" s="2369"/>
      <c r="J14" s="2369"/>
      <c r="K14" s="1258"/>
    </row>
    <row customHeight="1" ht="11.25">
      <c r="F15" s="1254">
        <v>1</v>
      </c>
      <c r="G15" s="698" t="s">
        <v>2627</v>
      </c>
      <c r="H15" s="1260">
        <f>SUM(I15:J15)</f>
        <v>0</v>
      </c>
      <c r="I15" s="1260">
        <f>SUM(I16:I27)</f>
        <v>0</v>
      </c>
      <c r="J15" s="1249"/>
      <c r="K15" s="1258"/>
    </row>
    <row customHeight="1" ht="22.5">
      <c r="F16" s="1254" t="s">
        <v>527</v>
      </c>
      <c r="G16" s="1261" t="s">
        <v>1101</v>
      </c>
      <c r="H16" s="1260">
        <f>SUM(I16:J16)</f>
        <v>0</v>
      </c>
      <c r="I16" s="1259"/>
      <c r="J16" s="1249"/>
      <c r="K16" s="1258"/>
    </row>
    <row customHeight="1" ht="22.5">
      <c r="F17" s="1254" t="s">
        <v>542</v>
      </c>
      <c r="G17" s="1261" t="s">
        <v>1106</v>
      </c>
      <c r="H17" s="1260">
        <f>SUM(I17:J17)</f>
        <v>0</v>
      </c>
      <c r="I17" s="1259"/>
      <c r="J17" s="1249"/>
      <c r="K17" s="1258"/>
    </row>
    <row customHeight="1" ht="33.75">
      <c r="F18" s="1254" t="s">
        <v>545</v>
      </c>
      <c r="G18" s="1261" t="s">
        <v>1093</v>
      </c>
      <c r="H18" s="1260">
        <f>SUM(I18:J18)</f>
        <v>0</v>
      </c>
      <c r="I18" s="1259"/>
      <c r="J18" s="1249"/>
      <c r="K18" s="1258"/>
    </row>
    <row customHeight="1" ht="33.75">
      <c r="F19" s="1254" t="s">
        <v>2628</v>
      </c>
      <c r="G19" s="1261" t="s">
        <v>1132</v>
      </c>
      <c r="H19" s="1260">
        <f>SUM(I19:J19)</f>
        <v>0</v>
      </c>
      <c r="I19" s="1259"/>
      <c r="J19" s="1249"/>
      <c r="K19" s="1258"/>
    </row>
    <row customHeight="1" ht="45">
      <c r="F20" s="1254" t="s">
        <v>2629</v>
      </c>
      <c r="G20" s="1261" t="s">
        <v>1136</v>
      </c>
      <c r="H20" s="1260">
        <f>SUM(I20:J20)</f>
        <v>0</v>
      </c>
      <c r="I20" s="1259"/>
      <c r="J20" s="1249"/>
      <c r="K20" s="1258"/>
    </row>
    <row customHeight="1" ht="33.75">
      <c r="F21" s="1254" t="s">
        <v>2630</v>
      </c>
      <c r="G21" s="1261" t="s">
        <v>1143</v>
      </c>
      <c r="H21" s="1260">
        <f>SUM(I21:J21)</f>
        <v>0</v>
      </c>
      <c r="I21" s="1259"/>
      <c r="J21" s="1249"/>
      <c r="K21" s="1258"/>
    </row>
    <row customHeight="1" ht="33.75">
      <c r="F22" s="1254" t="s">
        <v>2631</v>
      </c>
      <c r="G22" s="1261" t="s">
        <v>1149</v>
      </c>
      <c r="H22" s="1260">
        <f>SUM(I22:J22)</f>
        <v>0</v>
      </c>
      <c r="I22" s="1259"/>
      <c r="J22" s="1249"/>
      <c r="K22" s="1258"/>
    </row>
    <row customHeight="1" ht="22.5">
      <c r="F23" s="1254" t="s">
        <v>2632</v>
      </c>
      <c r="G23" s="1261" t="s">
        <v>1154</v>
      </c>
      <c r="H23" s="1260">
        <f>SUM(I23:J23)</f>
        <v>0</v>
      </c>
      <c r="I23" s="1259"/>
      <c r="J23" s="1249"/>
      <c r="K23" s="1258"/>
    </row>
    <row customHeight="1" ht="22.5">
      <c r="F24" s="1254" t="s">
        <v>2633</v>
      </c>
      <c r="G24" s="1261" t="s">
        <v>1127</v>
      </c>
      <c r="H24" s="1260">
        <f>SUM(I24:J24)</f>
        <v>0</v>
      </c>
      <c r="I24" s="1259"/>
      <c r="J24" s="1249"/>
      <c r="K24" s="1258"/>
    </row>
    <row customHeight="1" ht="33.75">
      <c r="F25" s="1254" t="s">
        <v>2634</v>
      </c>
      <c r="G25" s="1261" t="s">
        <v>1193</v>
      </c>
      <c r="H25" s="1260">
        <f>SUM(I25:J25)</f>
        <v>0</v>
      </c>
      <c r="I25" s="1259"/>
      <c r="J25" s="1249"/>
      <c r="K25" s="1258"/>
    </row>
    <row customHeight="1" ht="33.75">
      <c r="F26" s="1254" t="s">
        <v>2635</v>
      </c>
      <c r="G26" s="1261" t="s">
        <v>1195</v>
      </c>
      <c r="H26" s="1260">
        <f>SUM(I26:J26)</f>
        <v>0</v>
      </c>
      <c r="I26" s="1259"/>
      <c r="J26" s="1249"/>
      <c r="K26" s="1258"/>
    </row>
    <row customHeight="1" ht="11.25">
      <c r="F27" s="1254" t="s">
        <v>2636</v>
      </c>
      <c r="G27" s="1261" t="s">
        <v>1105</v>
      </c>
      <c r="H27" s="1260">
        <f>SUM(I27:J27)</f>
        <v>0</v>
      </c>
      <c r="I27" s="1259"/>
      <c r="J27" s="1249"/>
      <c r="K27" s="1258"/>
    </row>
    <row customHeight="1" ht="11.25">
      <c r="F28" s="1254">
        <v>2</v>
      </c>
      <c r="G28" s="698" t="s">
        <v>2637</v>
      </c>
      <c r="H28" s="1260">
        <f>SUM(I28:J28)</f>
        <v>0</v>
      </c>
      <c r="I28" s="1260">
        <f>SUM(I29:I31)</f>
        <v>0</v>
      </c>
      <c r="J28" s="1249"/>
      <c r="K28" s="1258"/>
    </row>
    <row customHeight="1" ht="11.25">
      <c r="F29" s="1254" t="s">
        <v>552</v>
      </c>
      <c r="G29" s="1261" t="s">
        <v>2638</v>
      </c>
      <c r="H29" s="1260">
        <f>SUM(I29:J29)</f>
        <v>0</v>
      </c>
      <c r="I29" s="1259"/>
      <c r="J29" s="1249"/>
      <c r="K29" s="1258"/>
    </row>
    <row customHeight="1" ht="11.25">
      <c r="F30" s="1254" t="s">
        <v>396</v>
      </c>
      <c r="G30" s="1261" t="s">
        <v>1102</v>
      </c>
      <c r="H30" s="1260">
        <f>SUM(I30:J30)</f>
        <v>0</v>
      </c>
      <c r="I30" s="1259"/>
      <c r="J30" s="1249"/>
      <c r="K30" s="1258"/>
    </row>
    <row customHeight="1" ht="11.25">
      <c r="F31" s="1254" t="s">
        <v>399</v>
      </c>
      <c r="G31" s="1261" t="s">
        <v>1148</v>
      </c>
      <c r="H31" s="1260">
        <f>SUM(I31:J31)</f>
        <v>0</v>
      </c>
      <c r="I31" s="1259"/>
      <c r="J31" s="1249"/>
      <c r="K31" s="1258"/>
    </row>
    <row customHeight="1" ht="11.25">
      <c r="F32" s="1254">
        <v>3</v>
      </c>
      <c r="G32" s="698" t="s">
        <v>2639</v>
      </c>
      <c r="H32" s="1260">
        <f>SUM(I32:J32)</f>
        <v>0</v>
      </c>
      <c r="I32" s="1260">
        <f>SUM(I33:I34)</f>
        <v>0</v>
      </c>
      <c r="J32" s="1249"/>
      <c r="K32" s="1258"/>
    </row>
    <row customHeight="1" ht="33.75">
      <c r="F33" s="1254" t="s">
        <v>415</v>
      </c>
      <c r="G33" s="1261" t="s">
        <v>2640</v>
      </c>
      <c r="H33" s="1260">
        <f>SUM(I33:J33)</f>
        <v>0</v>
      </c>
      <c r="I33" s="1259"/>
      <c r="J33" s="1249"/>
      <c r="K33" s="1258"/>
    </row>
    <row customHeight="1" ht="11.25">
      <c r="F34" s="1254" t="s">
        <v>423</v>
      </c>
      <c r="G34" s="1261" t="s">
        <v>2641</v>
      </c>
      <c r="H34" s="1260">
        <f>SUM(I34:J34)</f>
        <v>0</v>
      </c>
      <c r="I34" s="1259"/>
      <c r="J34" s="1249"/>
      <c r="K34" s="1258"/>
    </row>
    <row customHeight="1" ht="11.25">
      <c r="F35" s="1254">
        <v>4</v>
      </c>
      <c r="G35" s="698" t="s">
        <v>2642</v>
      </c>
      <c r="H35" s="1260">
        <f>SUM(I35:J35)</f>
        <v>0</v>
      </c>
      <c r="I35" s="1259"/>
      <c r="J35" s="1249"/>
      <c r="K35" s="1258"/>
    </row>
    <row customHeight="1" ht="11.25">
      <c r="F36" s="1254"/>
      <c r="G36" s="701" t="s">
        <v>2643</v>
      </c>
      <c r="H36" s="1260">
        <f>SUM(I36:J36)</f>
        <v>0</v>
      </c>
      <c r="I36" s="1260">
        <f>SUM(I15,I28,I32,I35)</f>
        <v>0</v>
      </c>
      <c r="J36" s="1249"/>
      <c r="K36" s="1258"/>
    </row>
    <row customHeight="1" ht="27.75">
      <c r="F37" s="1255" t="s">
        <v>1283</v>
      </c>
      <c r="G37" s="2370" t="s">
        <v>2644</v>
      </c>
      <c r="H37" s="2370"/>
      <c r="I37" s="2370"/>
      <c r="J37" s="2370"/>
      <c r="K37" s="1258"/>
    </row>
    <row customHeight="1" ht="22.5">
      <c r="F38" s="1254" t="s">
        <v>159</v>
      </c>
      <c r="G38" s="698" t="s">
        <v>2645</v>
      </c>
      <c r="H38" s="1260">
        <f>SUM(I38:J38)</f>
        <v>0</v>
      </c>
      <c r="I38" s="1260">
        <f>SUM(I39,I44,I47)</f>
        <v>0</v>
      </c>
      <c r="J38" s="1249"/>
      <c r="K38" s="1258"/>
    </row>
    <row customHeight="1" ht="11.25">
      <c r="F39" s="1254" t="s">
        <v>527</v>
      </c>
      <c r="G39" s="1261" t="s">
        <v>2627</v>
      </c>
      <c r="H39" s="1260">
        <f>SUM(I39:J39)</f>
        <v>0</v>
      </c>
      <c r="I39" s="1260">
        <f>SUM(I40:I43)</f>
        <v>0</v>
      </c>
      <c r="J39" s="1249"/>
      <c r="K39" s="1258"/>
    </row>
    <row customHeight="1" ht="22.5">
      <c r="F40" s="1254" t="s">
        <v>540</v>
      </c>
      <c r="G40" s="1262" t="s">
        <v>2646</v>
      </c>
      <c r="H40" s="1260">
        <f>SUM(I40:J40)</f>
        <v>0</v>
      </c>
      <c r="I40" s="1259"/>
      <c r="J40" s="1249"/>
      <c r="K40" s="1258"/>
    </row>
    <row customHeight="1" ht="11.25">
      <c r="F41" s="1254" t="s">
        <v>2647</v>
      </c>
      <c r="G41" s="1262" t="s">
        <v>1094</v>
      </c>
      <c r="H41" s="1260">
        <f>SUM(I41:J41)</f>
        <v>0</v>
      </c>
      <c r="I41" s="1259"/>
      <c r="J41" s="1249"/>
      <c r="K41" s="1258"/>
    </row>
    <row customHeight="1" ht="11.25">
      <c r="F42" s="1254" t="s">
        <v>2648</v>
      </c>
      <c r="G42" s="1262" t="s">
        <v>2649</v>
      </c>
      <c r="H42" s="1260">
        <f>SUM(I42:J42)</f>
        <v>0</v>
      </c>
      <c r="I42" s="1259"/>
      <c r="J42" s="1249"/>
      <c r="K42" s="1258"/>
    </row>
    <row customHeight="1" ht="33.75">
      <c r="F43" s="1254" t="s">
        <v>2650</v>
      </c>
      <c r="G43" s="1262" t="s">
        <v>2651</v>
      </c>
      <c r="H43" s="1260">
        <f>SUM(I43:J43)</f>
        <v>0</v>
      </c>
      <c r="I43" s="1259"/>
      <c r="J43" s="1249"/>
      <c r="K43" s="1258"/>
    </row>
    <row customHeight="1" ht="11.25">
      <c r="F44" s="1254" t="s">
        <v>542</v>
      </c>
      <c r="G44" s="1261" t="s">
        <v>2639</v>
      </c>
      <c r="H44" s="1260">
        <f>SUM(I44:J44)</f>
        <v>0</v>
      </c>
      <c r="I44" s="1260">
        <f>SUM(I45:I46)</f>
        <v>0</v>
      </c>
      <c r="J44" s="1249"/>
      <c r="K44" s="1258"/>
    </row>
    <row customHeight="1" ht="45">
      <c r="F45" s="1254" t="s">
        <v>543</v>
      </c>
      <c r="G45" s="1262" t="s">
        <v>2640</v>
      </c>
      <c r="H45" s="1260">
        <f>SUM(I45:J45)</f>
        <v>0</v>
      </c>
      <c r="I45" s="1259"/>
      <c r="J45" s="1249"/>
      <c r="K45" s="1258"/>
    </row>
    <row customHeight="1" ht="11.25">
      <c r="F46" s="1254" t="s">
        <v>2652</v>
      </c>
      <c r="G46" s="1262" t="s">
        <v>2641</v>
      </c>
      <c r="H46" s="1260">
        <f>SUM(I46:J46)</f>
        <v>0</v>
      </c>
      <c r="I46" s="1259"/>
      <c r="J46" s="1249"/>
      <c r="K46" s="1258"/>
    </row>
    <row customHeight="1" ht="11.25">
      <c r="F47" s="1254" t="s">
        <v>545</v>
      </c>
      <c r="G47" s="1261" t="s">
        <v>2653</v>
      </c>
      <c r="H47" s="1260">
        <f>SUM(I47:J47)</f>
        <v>0</v>
      </c>
      <c r="I47" s="1259"/>
      <c r="J47" s="1249"/>
      <c r="K47" s="1258"/>
    </row>
    <row customHeight="1" ht="22.5">
      <c r="F48" s="1254" t="s">
        <v>102</v>
      </c>
      <c r="G48" s="698" t="s">
        <v>2654</v>
      </c>
      <c r="H48" s="1260">
        <f>SUM(I48:J48)</f>
        <v>0</v>
      </c>
      <c r="I48" s="1260">
        <f>SUM(I49,I54,I57)</f>
        <v>0</v>
      </c>
      <c r="J48" s="1249"/>
      <c r="K48" s="1258"/>
    </row>
    <row customHeight="1" ht="11.25">
      <c r="F49" s="1254" t="s">
        <v>552</v>
      </c>
      <c r="G49" s="1261" t="s">
        <v>2627</v>
      </c>
      <c r="H49" s="1260">
        <f>SUM(I49:J49)</f>
        <v>0</v>
      </c>
      <c r="I49" s="1260">
        <f>SUM(I50:I53)</f>
        <v>0</v>
      </c>
      <c r="J49" s="1249"/>
      <c r="K49" s="1258"/>
    </row>
    <row customHeight="1" ht="22.5">
      <c r="F50" s="1254" t="s">
        <v>554</v>
      </c>
      <c r="G50" s="1262" t="s">
        <v>2646</v>
      </c>
      <c r="H50" s="1260">
        <f>SUM(I50:J50)</f>
        <v>0</v>
      </c>
      <c r="I50" s="1259"/>
      <c r="J50" s="1249"/>
      <c r="K50" s="1258"/>
    </row>
    <row customHeight="1" ht="11.25">
      <c r="F51" s="1254" t="s">
        <v>2392</v>
      </c>
      <c r="G51" s="1262" t="s">
        <v>1094</v>
      </c>
      <c r="H51" s="1260">
        <f>SUM(I51:J51)</f>
        <v>0</v>
      </c>
      <c r="I51" s="1259"/>
      <c r="J51" s="1249"/>
      <c r="K51" s="1258"/>
    </row>
    <row customHeight="1" ht="11.25">
      <c r="F52" s="1254" t="s">
        <v>2655</v>
      </c>
      <c r="G52" s="1262" t="s">
        <v>2649</v>
      </c>
      <c r="H52" s="1260">
        <f>SUM(I52:J52)</f>
        <v>0</v>
      </c>
      <c r="I52" s="1259"/>
      <c r="J52" s="1249"/>
      <c r="K52" s="1258"/>
    </row>
    <row customHeight="1" ht="33.75">
      <c r="F53" s="1254" t="s">
        <v>2656</v>
      </c>
      <c r="G53" s="1262" t="s">
        <v>2651</v>
      </c>
      <c r="H53" s="1260">
        <f>SUM(I53:J53)</f>
        <v>0</v>
      </c>
      <c r="I53" s="1259"/>
      <c r="J53" s="1249"/>
      <c r="K53" s="1258"/>
    </row>
    <row customHeight="1" ht="11.25">
      <c r="F54" s="1254" t="s">
        <v>396</v>
      </c>
      <c r="G54" s="1261" t="s">
        <v>2639</v>
      </c>
      <c r="H54" s="1260">
        <f>SUM(I54:J54)</f>
        <v>0</v>
      </c>
      <c r="I54" s="1260">
        <f>SUM(I55:I56)</f>
        <v>0</v>
      </c>
      <c r="J54" s="1249"/>
      <c r="K54" s="1258"/>
    </row>
    <row customHeight="1" ht="45">
      <c r="F55" s="1254" t="s">
        <v>1451</v>
      </c>
      <c r="G55" s="1262" t="s">
        <v>2640</v>
      </c>
      <c r="H55" s="1260">
        <f>SUM(I55:J55)</f>
        <v>0</v>
      </c>
      <c r="I55" s="1259"/>
      <c r="J55" s="1249"/>
      <c r="K55" s="1258"/>
    </row>
    <row customHeight="1" ht="11.25">
      <c r="F56" s="1254" t="s">
        <v>1456</v>
      </c>
      <c r="G56" s="1262" t="s">
        <v>2641</v>
      </c>
      <c r="H56" s="1260">
        <f>SUM(I56:J56)</f>
        <v>0</v>
      </c>
      <c r="I56" s="1259"/>
      <c r="J56" s="1249"/>
      <c r="K56" s="1258"/>
    </row>
    <row customHeight="1" ht="11.25">
      <c r="F57" s="1254" t="s">
        <v>399</v>
      </c>
      <c r="G57" s="1261" t="s">
        <v>2653</v>
      </c>
      <c r="H57" s="1260">
        <f>SUM(I57:J57)</f>
        <v>0</v>
      </c>
      <c r="I57" s="1259"/>
      <c r="J57" s="1249"/>
      <c r="K57" s="1258"/>
    </row>
    <row customHeight="1" ht="11.25">
      <c r="F58" s="1254"/>
      <c r="G58" s="1263" t="s">
        <v>2643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68E0C-38DE-95D3-D441-4FB7C4B41BA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927" width="4.7109375" hidden="1" customWidth="1"/>
    <col min="2" max="2" style="4928" width="4.7109375" hidden="1" customWidth="1"/>
    <col min="3" max="4" style="4927" width="4.7109375" hidden="1" customWidth="1"/>
    <col min="5" max="5" style="4927" width="3.57421875" customWidth="1"/>
    <col min="6" max="6" style="4927" width="6.7109375" customWidth="1"/>
    <col min="7" max="7" style="4927" width="18.7109375" customWidth="1"/>
    <col min="8" max="8" style="4927" width="27.28125" customWidth="1"/>
    <col min="9" max="9" style="4927" width="18.7109375" customWidth="1"/>
    <col min="10" max="14" style="4927" width="0.8515625" hidden="1" customWidth="1"/>
    <col min="15" max="28" style="4927" width="21.7109375" hidden="1" customWidth="1"/>
    <col min="29" max="71" style="4927" width="0.8515625" hidden="1" customWidth="1"/>
    <col min="72" max="79" style="4927" width="21.7109375" customWidth="1"/>
    <col min="80" max="81" style="4927" width="29.140625" customWidth="1"/>
    <col min="82" max="89" style="4927" width="21.7109375" customWidth="1"/>
    <col min="90" max="102" style="4927" width="0.7109375" customWidth="1"/>
    <col min="103" max="114" style="4927" width="21.7109375" hidden="1" customWidth="1"/>
    <col min="115" max="178" style="4927" width="0.7109375" hidden="1" customWidth="1"/>
    <col min="179" max="179" style="4927" width="0.140625" customWidth="1"/>
    <col min="180" max="184" style="4927" width="9.140625"/>
  </cols>
  <sheetData>
    <row s="3288" customFormat="1" customHeight="1" ht="12" hidden="1">
      <c r="B1" s="935"/>
      <c r="C1" s="936"/>
      <c r="D1" s="936"/>
    </row>
    <row s="3288"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8"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87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875" customFormat="1" customHeight="1" ht="18">
      <c r="B6" s="956"/>
      <c r="E6" s="958"/>
      <c r="F6" s="2053" t="str">
        <f>IF(org=0,"Не определено",org)</f>
        <v>ГУП СК "Ставрополькрайводоканал"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87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880" customFormat="1" customHeight="1" ht="11.25" hidden="1">
      <c r="B8" s="946"/>
      <c r="F8" s="1069"/>
      <c r="G8" s="773"/>
      <c r="H8" s="356"/>
      <c r="I8" s="356"/>
      <c r="J8" s="356"/>
      <c r="K8" s="356"/>
      <c r="L8" s="356"/>
      <c r="M8" s="1069"/>
      <c r="N8" s="1069"/>
      <c r="O8" s="2397" t="s">
        <v>2657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2658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88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880" customFormat="1" customHeight="1" ht="11.25">
      <c r="B10" s="946"/>
      <c r="F10" s="2377" t="s">
        <v>389</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2659</v>
      </c>
      <c r="H11" s="2384" t="s">
        <v>2660</v>
      </c>
      <c r="I11" s="2384" t="s">
        <v>2661</v>
      </c>
      <c r="J11" s="2385"/>
      <c r="K11" s="2385"/>
      <c r="L11" s="2385"/>
      <c r="M11" s="2385"/>
      <c r="N11" s="2385"/>
      <c r="O11" s="2047" t="s">
        <v>2662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2662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2662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2663</v>
      </c>
      <c r="P12" s="2047"/>
      <c r="Q12" s="2047"/>
      <c r="R12" s="2047"/>
      <c r="S12" s="2047" t="s">
        <v>2664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2665</v>
      </c>
      <c r="BU12" s="2318"/>
      <c r="BV12" s="2318"/>
      <c r="BW12" s="2319"/>
      <c r="BX12" s="2317" t="s">
        <v>2666</v>
      </c>
      <c r="BY12" s="2318"/>
      <c r="BZ12" s="2318"/>
      <c r="CA12" s="2319"/>
      <c r="CB12" s="2317" t="s">
        <v>2667</v>
      </c>
      <c r="CC12" s="2319"/>
      <c r="CD12" s="2317" t="s">
        <v>2668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2669</v>
      </c>
      <c r="CZ12" s="2318"/>
      <c r="DA12" s="2318"/>
      <c r="DB12" s="2318"/>
      <c r="DC12" s="2318"/>
      <c r="DD12" s="2319"/>
      <c r="DE12" s="2317" t="s">
        <v>2670</v>
      </c>
      <c r="DF12" s="2319"/>
      <c r="DG12" s="2317" t="s">
        <v>2668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2671</v>
      </c>
      <c r="P13" s="2047"/>
      <c r="Q13" s="2047"/>
      <c r="R13" s="2047"/>
      <c r="S13" s="2261" t="s">
        <v>2672</v>
      </c>
      <c r="T13" s="2381"/>
      <c r="U13" s="1966" t="s">
        <v>2673</v>
      </c>
      <c r="V13" s="1966"/>
      <c r="W13" s="1966"/>
      <c r="X13" s="1966"/>
      <c r="Y13" s="1966" t="s">
        <v>2674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2675</v>
      </c>
      <c r="BU13" s="2381"/>
      <c r="BV13" s="2261" t="s">
        <v>2676</v>
      </c>
      <c r="BW13" s="2381"/>
      <c r="BX13" s="2261" t="s">
        <v>2677</v>
      </c>
      <c r="BY13" s="2381"/>
      <c r="BZ13" s="2261" t="s">
        <v>2678</v>
      </c>
      <c r="CA13" s="2381"/>
      <c r="CB13" s="2261" t="s">
        <v>2679</v>
      </c>
      <c r="CC13" s="2381"/>
      <c r="CD13" s="2261" t="s">
        <v>2680</v>
      </c>
      <c r="CE13" s="2381"/>
      <c r="CF13" s="2261" t="s">
        <v>2681</v>
      </c>
      <c r="CG13" s="2381"/>
      <c r="CH13" s="2317" t="s">
        <v>2682</v>
      </c>
      <c r="CI13" s="2318"/>
      <c r="CJ13" s="2318"/>
      <c r="CK13" s="2319"/>
      <c r="CL13" s="2383"/>
      <c r="CM13" s="2380"/>
      <c r="CN13" s="2380"/>
      <c r="CO13" s="2380"/>
      <c r="CP13" s="2380"/>
      <c r="CQ13" s="2380"/>
      <c r="CR13" s="2380"/>
      <c r="CS13" s="2380"/>
      <c r="CT13" s="2380"/>
      <c r="CU13" s="2380"/>
      <c r="CV13" s="2380"/>
      <c r="CW13" s="2380"/>
      <c r="CX13" s="2400"/>
      <c r="CY13" s="2261" t="s">
        <v>2683</v>
      </c>
      <c r="CZ13" s="2381"/>
      <c r="DA13" s="2261" t="s">
        <v>2684</v>
      </c>
      <c r="DB13" s="2381"/>
      <c r="DC13" s="2261" t="s">
        <v>2685</v>
      </c>
      <c r="DD13" s="2381"/>
      <c r="DE13" s="2261" t="s">
        <v>2686</v>
      </c>
      <c r="DF13" s="2381"/>
      <c r="DG13" s="2317" t="s">
        <v>2687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2688</v>
      </c>
      <c r="P14" s="2381"/>
      <c r="Q14" s="2261" t="s">
        <v>2689</v>
      </c>
      <c r="R14" s="2381"/>
      <c r="S14" s="2262"/>
      <c r="T14" s="2048"/>
      <c r="U14" s="2261" t="s">
        <v>2477</v>
      </c>
      <c r="V14" s="2381"/>
      <c r="W14" s="2261" t="s">
        <v>2480</v>
      </c>
      <c r="X14" s="2381"/>
      <c r="Y14" s="2261" t="s">
        <v>2477</v>
      </c>
      <c r="Z14" s="2381"/>
      <c r="AA14" s="2261" t="s">
        <v>2487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2690</v>
      </c>
      <c r="CI14" s="2381"/>
      <c r="CJ14" s="2261" t="s">
        <v>2691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2692</v>
      </c>
      <c r="DH14" s="2381"/>
      <c r="DI14" s="2261" t="s">
        <v>2693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2467</v>
      </c>
      <c r="P16" s="2319"/>
      <c r="Q16" s="2317" t="s">
        <v>2469</v>
      </c>
      <c r="R16" s="2319"/>
      <c r="S16" s="2317" t="s">
        <v>2473</v>
      </c>
      <c r="T16" s="2319"/>
      <c r="U16" s="2317" t="s">
        <v>2478</v>
      </c>
      <c r="V16" s="2319"/>
      <c r="W16" s="2317" t="s">
        <v>2481</v>
      </c>
      <c r="X16" s="2319"/>
      <c r="Y16" s="2317" t="s">
        <v>2485</v>
      </c>
      <c r="Z16" s="2319"/>
      <c r="AA16" s="2317" t="s">
        <v>2488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1712</v>
      </c>
      <c r="BU16" s="2319"/>
      <c r="BV16" s="2317" t="s">
        <v>1712</v>
      </c>
      <c r="BW16" s="2319"/>
      <c r="BX16" s="2317" t="s">
        <v>1712</v>
      </c>
      <c r="BY16" s="2319"/>
      <c r="BZ16" s="2317" t="s">
        <v>1712</v>
      </c>
      <c r="CA16" s="2319"/>
      <c r="CB16" s="2317" t="s">
        <v>2694</v>
      </c>
      <c r="CC16" s="2319"/>
      <c r="CD16" s="2317" t="s">
        <v>1712</v>
      </c>
      <c r="CE16" s="2319"/>
      <c r="CF16" s="2317" t="s">
        <v>2695</v>
      </c>
      <c r="CG16" s="2319"/>
      <c r="CH16" s="2317" t="s">
        <v>2696</v>
      </c>
      <c r="CI16" s="2319"/>
      <c r="CJ16" s="2317" t="s">
        <v>2696</v>
      </c>
      <c r="CK16" s="2319"/>
      <c r="CL16" s="2383"/>
      <c r="CM16" s="2380"/>
      <c r="CN16" s="2380"/>
      <c r="CO16" s="2380"/>
      <c r="CP16" s="2380"/>
      <c r="CQ16" s="2380"/>
      <c r="CR16" s="2380"/>
      <c r="CS16" s="2380"/>
      <c r="CT16" s="2380"/>
      <c r="CU16" s="2380"/>
      <c r="CV16" s="2380"/>
      <c r="CW16" s="2380"/>
      <c r="CX16" s="2400"/>
      <c r="CY16" s="2261" t="s">
        <v>1712</v>
      </c>
      <c r="CZ16" s="2381"/>
      <c r="DA16" s="2261" t="s">
        <v>1712</v>
      </c>
      <c r="DB16" s="2381"/>
      <c r="DC16" s="2261" t="s">
        <v>1712</v>
      </c>
      <c r="DD16" s="2381"/>
      <c r="DE16" s="2317" t="s">
        <v>2694</v>
      </c>
      <c r="DF16" s="2319"/>
      <c r="DG16" s="2317" t="s">
        <v>2697</v>
      </c>
      <c r="DH16" s="2319"/>
      <c r="DI16" s="2317" t="s">
        <v>2697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2698</v>
      </c>
      <c r="P17" s="1207" t="s">
        <v>2699</v>
      </c>
      <c r="Q17" s="1207" t="s">
        <v>2698</v>
      </c>
      <c r="R17" s="1207" t="s">
        <v>2699</v>
      </c>
      <c r="S17" s="1207" t="s">
        <v>2698</v>
      </c>
      <c r="T17" s="1207" t="s">
        <v>2699</v>
      </c>
      <c r="U17" s="1207" t="s">
        <v>2698</v>
      </c>
      <c r="V17" s="1207" t="s">
        <v>2699</v>
      </c>
      <c r="W17" s="1207" t="s">
        <v>2698</v>
      </c>
      <c r="X17" s="1207" t="s">
        <v>2699</v>
      </c>
      <c r="Y17" s="1207" t="s">
        <v>2698</v>
      </c>
      <c r="Z17" s="1207" t="s">
        <v>2699</v>
      </c>
      <c r="AA17" s="1207" t="s">
        <v>2698</v>
      </c>
      <c r="AB17" s="1207" t="s">
        <v>2699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2698</v>
      </c>
      <c r="BU17" s="1207" t="s">
        <v>2699</v>
      </c>
      <c r="BV17" s="1207" t="s">
        <v>2698</v>
      </c>
      <c r="BW17" s="1207" t="s">
        <v>2699</v>
      </c>
      <c r="BX17" s="1207" t="s">
        <v>2698</v>
      </c>
      <c r="BY17" s="1207" t="s">
        <v>2699</v>
      </c>
      <c r="BZ17" s="1207" t="s">
        <v>2698</v>
      </c>
      <c r="CA17" s="1207" t="s">
        <v>2699</v>
      </c>
      <c r="CB17" s="1207" t="s">
        <v>2698</v>
      </c>
      <c r="CC17" s="1207" t="s">
        <v>2699</v>
      </c>
      <c r="CD17" s="1207" t="s">
        <v>2698</v>
      </c>
      <c r="CE17" s="1207" t="s">
        <v>2699</v>
      </c>
      <c r="CF17" s="1207" t="s">
        <v>2698</v>
      </c>
      <c r="CG17" s="1207" t="s">
        <v>2699</v>
      </c>
      <c r="CH17" s="1207" t="s">
        <v>2698</v>
      </c>
      <c r="CI17" s="1207" t="s">
        <v>2699</v>
      </c>
      <c r="CJ17" s="1207" t="s">
        <v>2698</v>
      </c>
      <c r="CK17" s="1207" t="s">
        <v>2699</v>
      </c>
      <c r="CL17" s="2383"/>
      <c r="CM17" s="2380"/>
      <c r="CN17" s="2380"/>
      <c r="CO17" s="2380"/>
      <c r="CP17" s="2380"/>
      <c r="CQ17" s="2380"/>
      <c r="CR17" s="2380"/>
      <c r="CS17" s="2380"/>
      <c r="CT17" s="2380"/>
      <c r="CU17" s="2380"/>
      <c r="CV17" s="2380"/>
      <c r="CW17" s="2380"/>
      <c r="CX17" s="2400"/>
      <c r="CY17" s="1207" t="s">
        <v>2698</v>
      </c>
      <c r="CZ17" s="1207" t="s">
        <v>2699</v>
      </c>
      <c r="DA17" s="1207" t="s">
        <v>2698</v>
      </c>
      <c r="DB17" s="1207" t="s">
        <v>2699</v>
      </c>
      <c r="DC17" s="1207" t="s">
        <v>2698</v>
      </c>
      <c r="DD17" s="1207" t="s">
        <v>2699</v>
      </c>
      <c r="DE17" s="1207" t="s">
        <v>2698</v>
      </c>
      <c r="DF17" s="1207" t="s">
        <v>2699</v>
      </c>
      <c r="DG17" s="1207" t="s">
        <v>2698</v>
      </c>
      <c r="DH17" s="1207" t="s">
        <v>2699</v>
      </c>
      <c r="DI17" s="1207" t="s">
        <v>2698</v>
      </c>
      <c r="DJ17" s="1207" t="s">
        <v>2699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0"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0"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8" customFormat="1" customHeight="1" ht="11.25" hidden="1">
      <c r="B20" s="952"/>
      <c r="D20" s="936"/>
      <c r="E20" s="951"/>
      <c r="F20" s="1213" t="s">
        <v>467</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8"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8" customFormat="1" customHeight="1" ht="12">
      <c r="A22" s="953"/>
      <c r="B22" s="953"/>
      <c r="C22" s="953"/>
      <c r="D22" s="953"/>
      <c r="E22" s="953"/>
      <c r="FX22" s="953"/>
      <c r="FY22" s="953"/>
      <c r="FZ22" s="953"/>
      <c r="GA22" s="953"/>
      <c r="GB22" s="953"/>
    </row>
    <row s="492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91B98-5619-A7A3-AA59-CF2423713B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934" width="19.140625" hidden="1" customWidth="1"/>
    <col min="13" max="14" style="3617" width="12.28125" hidden="1" customWidth="1"/>
    <col min="15" max="15" style="3617" width="23.421875" hidden="1" customWidth="1"/>
    <col min="16" max="16" style="493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2700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2701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529">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519" t="s">
        <v>2702</v>
      </c>
      <c r="W38" s="2195" t="s">
        <v>2703</v>
      </c>
      <c r="X38" s="2196"/>
      <c r="Y38" s="2195" t="s">
        <v>594</v>
      </c>
      <c r="Z38" s="2202"/>
      <c r="AA38" s="2196"/>
      <c r="AB38" s="2211"/>
      <c r="AC38" s="1519" t="s">
        <v>2702</v>
      </c>
      <c r="AD38" s="2195" t="s">
        <v>2703</v>
      </c>
      <c r="AE38" s="2196"/>
      <c r="AF38" s="2195" t="s">
        <v>594</v>
      </c>
      <c r="AG38" s="2202"/>
      <c r="AH38" s="2196"/>
      <c r="AI38" s="2211"/>
      <c r="AJ38" s="2214"/>
      <c r="AK38" s="1966"/>
    </row>
    <row customHeight="1" ht="86.2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519" t="s">
        <v>2704</v>
      </c>
      <c r="W39" s="1243" t="s">
        <v>2705</v>
      </c>
      <c r="X39" s="1243" t="s">
        <v>2706</v>
      </c>
      <c r="Y39" s="1525" t="s">
        <v>604</v>
      </c>
      <c r="Z39" s="2203" t="s">
        <v>605</v>
      </c>
      <c r="AA39" s="2204"/>
      <c r="AB39" s="2212"/>
      <c r="AC39" s="1519" t="s">
        <v>2704</v>
      </c>
      <c r="AD39" s="1243" t="s">
        <v>2705</v>
      </c>
      <c r="AE39" s="1243" t="s">
        <v>2706</v>
      </c>
      <c r="AF39" s="1525" t="s">
        <v>604</v>
      </c>
      <c r="AG39" s="2203" t="s">
        <v>605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340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340</v>
      </c>
      <c r="B42" s="1399" t="s">
        <v>341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340</v>
      </c>
      <c r="B43" s="1399" t="s">
        <v>341</v>
      </c>
      <c r="C43" s="1399" t="s">
        <v>342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2700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2701</v>
      </c>
      <c r="AM43" s="508"/>
      <c r="AN43" s="508" t="str">
        <f>IF(T43="","",T43)</f>
        <v>Наименование централизованной системы горячего водоснабжения</v>
      </c>
      <c r="AO43" s="508"/>
      <c r="AP43" s="508"/>
    </row>
    <row customHeight="1" ht="23.25">
      <c r="A44" s="1399" t="s">
        <v>340</v>
      </c>
      <c r="B44" s="1399" t="s">
        <v>341</v>
      </c>
      <c r="C44" s="1399" t="s">
        <v>342</v>
      </c>
      <c r="D44" s="1399" t="s">
        <v>2707</v>
      </c>
      <c r="E44" s="2192"/>
      <c r="F44" s="2192"/>
      <c r="G44" s="2192"/>
      <c r="H44" s="2192"/>
      <c r="I44" s="2189" t="str">
        <f>S43&amp;".1"</f>
        <v>...1</v>
      </c>
      <c r="J44" s="1399"/>
      <c r="K44" s="1399"/>
      <c r="L44" s="1400"/>
      <c r="P44" s="2190">
        <v>1</v>
      </c>
      <c r="Q44" s="1517"/>
      <c r="R44" s="352"/>
      <c r="S44" s="1529"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340</v>
      </c>
      <c r="B45" s="1399" t="s">
        <v>341</v>
      </c>
      <c r="C45" s="1399" t="s">
        <v>342</v>
      </c>
      <c r="D45" s="1399" t="s">
        <v>2707</v>
      </c>
      <c r="E45" s="2192"/>
      <c r="F45" s="2192"/>
      <c r="G45" s="2192"/>
      <c r="H45" s="2192"/>
      <c r="I45" s="2219"/>
      <c r="J45" s="2189" t="str">
        <f>I44&amp;".1"</f>
        <v>...1.1</v>
      </c>
      <c r="K45" s="1399"/>
      <c r="L45" s="1400" t="s">
        <v>567</v>
      </c>
      <c r="P45" s="2190"/>
      <c r="Q45" s="2190">
        <v>1</v>
      </c>
      <c r="R45" s="353"/>
      <c r="S45" s="1529"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340</v>
      </c>
      <c r="B46" s="1399" t="s">
        <v>341</v>
      </c>
      <c r="C46" s="1399" t="s">
        <v>342</v>
      </c>
      <c r="D46" s="1399" t="s">
        <v>2707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340</v>
      </c>
      <c r="B47" s="1399" t="s">
        <v>341</v>
      </c>
      <c r="C47" s="1399" t="s">
        <v>342</v>
      </c>
      <c r="D47" s="1399" t="s">
        <v>2707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340</v>
      </c>
      <c r="B48" s="1399" t="s">
        <v>341</v>
      </c>
      <c r="C48" s="1399" t="s">
        <v>342</v>
      </c>
      <c r="D48" s="1399" t="s">
        <v>2707</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340</v>
      </c>
      <c r="B49" s="1399" t="s">
        <v>341</v>
      </c>
      <c r="C49" s="1399" t="s">
        <v>342</v>
      </c>
      <c r="D49" s="1399" t="s">
        <v>2707</v>
      </c>
      <c r="E49" s="2192"/>
      <c r="F49" s="2192"/>
      <c r="G49" s="2192"/>
      <c r="H49" s="2192"/>
      <c r="I49" s="2189"/>
      <c r="J49" s="1399"/>
      <c r="K49" s="1399"/>
      <c r="L49" s="1400"/>
      <c r="P49" s="2190"/>
      <c r="Q49" s="1517"/>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340</v>
      </c>
      <c r="B50" s="1399" t="s">
        <v>341</v>
      </c>
      <c r="C50" s="1399" t="s">
        <v>342</v>
      </c>
      <c r="D50" s="1399" t="s">
        <v>2707</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340</v>
      </c>
      <c r="B51" s="1379" t="s">
        <v>341</v>
      </c>
      <c r="C51" s="1350"/>
      <c r="D51" s="1350"/>
      <c r="E51" s="2192"/>
      <c r="F51" s="2191"/>
      <c r="G51" s="1350"/>
      <c r="H51" s="1350"/>
      <c r="I51" s="1350"/>
      <c r="J51" s="1350"/>
      <c r="K51" s="1350"/>
      <c r="L51" s="1530"/>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340</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C1CB1-FD28-BD6E-17D2-5A648E5196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934" width="19.140625" hidden="1" customWidth="1"/>
    <col min="13" max="14" style="3617" width="12.28125" hidden="1" customWidth="1"/>
    <col min="15" max="15" style="3617" width="23.421875" hidden="1" customWidth="1"/>
    <col min="16" max="16" style="493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2700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2701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529">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519" t="s">
        <v>2702</v>
      </c>
      <c r="W38" s="2195" t="s">
        <v>2703</v>
      </c>
      <c r="X38" s="2196"/>
      <c r="Y38" s="2195" t="s">
        <v>594</v>
      </c>
      <c r="Z38" s="2202"/>
      <c r="AA38" s="2196"/>
      <c r="AB38" s="2211"/>
      <c r="AC38" s="1519" t="s">
        <v>2702</v>
      </c>
      <c r="AD38" s="2195" t="s">
        <v>2703</v>
      </c>
      <c r="AE38" s="2196"/>
      <c r="AF38" s="2195" t="s">
        <v>594</v>
      </c>
      <c r="AG38" s="2202"/>
      <c r="AH38" s="2196"/>
      <c r="AI38" s="2211"/>
      <c r="AJ38" s="2214"/>
      <c r="AK38" s="1966"/>
    </row>
    <row customHeight="1" ht="86.2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519" t="s">
        <v>2704</v>
      </c>
      <c r="W39" s="1243" t="s">
        <v>2705</v>
      </c>
      <c r="X39" s="1243" t="s">
        <v>2706</v>
      </c>
      <c r="Y39" s="1525" t="s">
        <v>604</v>
      </c>
      <c r="Z39" s="2203" t="s">
        <v>605</v>
      </c>
      <c r="AA39" s="2204"/>
      <c r="AB39" s="2212"/>
      <c r="AC39" s="1519" t="s">
        <v>2704</v>
      </c>
      <c r="AD39" s="1243" t="s">
        <v>2705</v>
      </c>
      <c r="AE39" s="1243" t="s">
        <v>2706</v>
      </c>
      <c r="AF39" s="1525" t="s">
        <v>604</v>
      </c>
      <c r="AG39" s="2203" t="s">
        <v>605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340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340</v>
      </c>
      <c r="B42" s="1399" t="s">
        <v>341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340</v>
      </c>
      <c r="B43" s="1399" t="s">
        <v>341</v>
      </c>
      <c r="C43" s="1399" t="s">
        <v>342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2700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2701</v>
      </c>
      <c r="AM43" s="508"/>
      <c r="AN43" s="508" t="str">
        <f>IF(T43="","",T43)</f>
        <v>Наименование централизованной системы горячего водоснабжения</v>
      </c>
      <c r="AO43" s="508"/>
      <c r="AP43" s="508"/>
    </row>
    <row customHeight="1" ht="23.25">
      <c r="A44" s="1399" t="s">
        <v>340</v>
      </c>
      <c r="B44" s="1399" t="s">
        <v>341</v>
      </c>
      <c r="C44" s="1399" t="s">
        <v>342</v>
      </c>
      <c r="D44" s="1399" t="s">
        <v>2707</v>
      </c>
      <c r="E44" s="2192"/>
      <c r="F44" s="2192"/>
      <c r="G44" s="2192"/>
      <c r="H44" s="2192"/>
      <c r="I44" s="2189" t="str">
        <f>S43&amp;".1"</f>
        <v>...1</v>
      </c>
      <c r="J44" s="1399"/>
      <c r="K44" s="1399"/>
      <c r="L44" s="1400"/>
      <c r="P44" s="2190">
        <v>1</v>
      </c>
      <c r="Q44" s="1517"/>
      <c r="R44" s="352"/>
      <c r="S44" s="1529"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340</v>
      </c>
      <c r="B45" s="1399" t="s">
        <v>341</v>
      </c>
      <c r="C45" s="1399" t="s">
        <v>342</v>
      </c>
      <c r="D45" s="1399" t="s">
        <v>2707</v>
      </c>
      <c r="E45" s="2192"/>
      <c r="F45" s="2192"/>
      <c r="G45" s="2192"/>
      <c r="H45" s="2192"/>
      <c r="I45" s="2219"/>
      <c r="J45" s="2189" t="str">
        <f>I44&amp;".1"</f>
        <v>...1.1</v>
      </c>
      <c r="K45" s="1399"/>
      <c r="L45" s="1400" t="s">
        <v>567</v>
      </c>
      <c r="P45" s="2190"/>
      <c r="Q45" s="2190">
        <v>1</v>
      </c>
      <c r="R45" s="353"/>
      <c r="S45" s="1529"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340</v>
      </c>
      <c r="B46" s="1399" t="s">
        <v>341</v>
      </c>
      <c r="C46" s="1399" t="s">
        <v>342</v>
      </c>
      <c r="D46" s="1399" t="s">
        <v>2707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340</v>
      </c>
      <c r="B47" s="1399" t="s">
        <v>341</v>
      </c>
      <c r="C47" s="1399" t="s">
        <v>342</v>
      </c>
      <c r="D47" s="1399" t="s">
        <v>2707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340</v>
      </c>
      <c r="B48" s="1399" t="s">
        <v>341</v>
      </c>
      <c r="C48" s="1399" t="s">
        <v>342</v>
      </c>
      <c r="D48" s="1399" t="s">
        <v>2707</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340</v>
      </c>
      <c r="B49" s="1399" t="s">
        <v>341</v>
      </c>
      <c r="C49" s="1399" t="s">
        <v>342</v>
      </c>
      <c r="D49" s="1399" t="s">
        <v>2707</v>
      </c>
      <c r="E49" s="2192"/>
      <c r="F49" s="2192"/>
      <c r="G49" s="2192"/>
      <c r="H49" s="2192"/>
      <c r="I49" s="2189"/>
      <c r="J49" s="1399"/>
      <c r="K49" s="1399"/>
      <c r="L49" s="1400"/>
      <c r="P49" s="2190"/>
      <c r="Q49" s="1517"/>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340</v>
      </c>
      <c r="B50" s="1399" t="s">
        <v>341</v>
      </c>
      <c r="C50" s="1399" t="s">
        <v>342</v>
      </c>
      <c r="D50" s="1399" t="s">
        <v>2707</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340</v>
      </c>
      <c r="B51" s="1379" t="s">
        <v>341</v>
      </c>
      <c r="C51" s="1350"/>
      <c r="D51" s="1350"/>
      <c r="E51" s="2192"/>
      <c r="F51" s="2191"/>
      <c r="G51" s="1350"/>
      <c r="H51" s="1350"/>
      <c r="I51" s="1350"/>
      <c r="J51" s="1350"/>
      <c r="K51" s="1350"/>
      <c r="L51" s="1530"/>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340</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1AABD-62F8-C3E2-651F-F6EB532A6B1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934"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7" width="32.00390625" customWidth="1"/>
    <col min="21" max="21" style="2867" width="0.140625" customWidth="1"/>
    <col min="22" max="25" style="2867" width="21.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2" style="2867" width="3.7109375" customWidth="1"/>
    <col min="33" max="33" style="2867" width="24.7109375" customWidth="1"/>
    <col min="34" max="36" style="2867" width="3.7109375" customWidth="1"/>
    <col min="37" max="37" style="2867" width="24.7109375" customWidth="1"/>
    <col min="38" max="40" style="2867" width="3.7109375" customWidth="1"/>
    <col min="41" max="41" style="2867" width="18.8515625" customWidth="1"/>
    <col min="42" max="44" style="2867" width="3.7109375" customWidth="1"/>
    <col min="45" max="45" style="2867" width="18.8515625" customWidth="1"/>
    <col min="46" max="49" style="2867" width="21.7109375" customWidth="1"/>
    <col min="50" max="50" style="2867" width="11.7109375" customWidth="1"/>
    <col min="51" max="51" style="2867" width="3.7109375" customWidth="1"/>
    <col min="52" max="52" style="2867" width="11.7109375" customWidth="1"/>
    <col min="53" max="53" style="2867" width="8.57421875" hidden="1" customWidth="1"/>
    <col min="54" max="54" style="2867" width="4.7109375" customWidth="1"/>
    <col min="55" max="55" style="2867"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232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2700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2701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564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2310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2311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2312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2313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2314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532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533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575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576</v>
      </c>
      <c r="P24" s="1544"/>
      <c r="Q24" s="1546"/>
      <c r="R24" s="1546"/>
      <c r="AA24" s="1543" t="s">
        <v>578</v>
      </c>
      <c r="AC24" s="1543" t="s">
        <v>579</v>
      </c>
      <c r="AD24" s="1543" t="s">
        <v>639</v>
      </c>
      <c r="AH24" s="1543" t="s">
        <v>639</v>
      </c>
      <c r="AK24" s="1543" t="s">
        <v>2315</v>
      </c>
      <c r="AL24" s="1543" t="s">
        <v>639</v>
      </c>
      <c r="AP24" s="1543" t="s">
        <v>639</v>
      </c>
      <c r="AY24" s="1543" t="s">
        <v>578</v>
      </c>
      <c r="BA24" s="1543" t="s">
        <v>579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ГУП СК "Ставрополькрайводоканал"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581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582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581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582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390</v>
      </c>
    </row>
    <row customHeight="1" ht="14.25">
      <c r="Q41" s="279"/>
      <c r="R41" s="377"/>
      <c r="S41" s="2206" t="s">
        <v>88</v>
      </c>
      <c r="T41" s="2047" t="s">
        <v>2316</v>
      </c>
      <c r="U41" s="289"/>
      <c r="V41" s="2207" t="s">
        <v>587</v>
      </c>
      <c r="W41" s="2208"/>
      <c r="X41" s="2208"/>
      <c r="Y41" s="2208"/>
      <c r="Z41" s="2208"/>
      <c r="AA41" s="2208"/>
      <c r="AB41" s="2209"/>
      <c r="AC41" s="2210" t="s">
        <v>588</v>
      </c>
      <c r="AD41" s="2253" t="s">
        <v>2317</v>
      </c>
      <c r="AE41" s="2222"/>
      <c r="AF41" s="2222"/>
      <c r="AG41" s="2254"/>
      <c r="AH41" s="2253" t="s">
        <v>2318</v>
      </c>
      <c r="AI41" s="2222"/>
      <c r="AJ41" s="2222"/>
      <c r="AK41" s="2254"/>
      <c r="AL41" s="2253" t="s">
        <v>2319</v>
      </c>
      <c r="AM41" s="2222"/>
      <c r="AN41" s="2222"/>
      <c r="AO41" s="2254"/>
      <c r="AP41" s="2253" t="s">
        <v>2320</v>
      </c>
      <c r="AQ41" s="2222"/>
      <c r="AR41" s="2222"/>
      <c r="AS41" s="2254"/>
      <c r="AT41" s="2207" t="s">
        <v>587</v>
      </c>
      <c r="AU41" s="2208"/>
      <c r="AV41" s="2208"/>
      <c r="AW41" s="2208"/>
      <c r="AX41" s="2208"/>
      <c r="AY41" s="2208"/>
      <c r="AZ41" s="2209"/>
      <c r="BA41" s="2210" t="s">
        <v>588</v>
      </c>
      <c r="BB41" s="2213" t="s">
        <v>590</v>
      </c>
      <c r="BC41" s="1966"/>
    </row>
    <row customHeight="1" ht="33.75">
      <c r="Q42" s="279"/>
      <c r="R42" s="377"/>
      <c r="S42" s="2206"/>
      <c r="T42" s="2047"/>
      <c r="U42" s="1044"/>
      <c r="V42" s="2029" t="s">
        <v>2321</v>
      </c>
      <c r="W42" s="2030"/>
      <c r="X42" s="2029" t="s">
        <v>2322</v>
      </c>
      <c r="Y42" s="2030"/>
      <c r="Z42" s="2225" t="s">
        <v>2323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2321</v>
      </c>
      <c r="AU42" s="2030"/>
      <c r="AV42" s="2029" t="s">
        <v>2322</v>
      </c>
      <c r="AW42" s="2030"/>
      <c r="AX42" s="2225" t="s">
        <v>2323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244</v>
      </c>
      <c r="C44" s="1406" t="s">
        <v>245</v>
      </c>
      <c r="D44" s="1406" t="s">
        <v>246</v>
      </c>
      <c r="E44" s="1400" t="s">
        <v>595</v>
      </c>
      <c r="F44" s="1400" t="s">
        <v>596</v>
      </c>
      <c r="G44" s="1400" t="s">
        <v>597</v>
      </c>
      <c r="H44" s="1400" t="s">
        <v>598</v>
      </c>
      <c r="I44" s="1400" t="s">
        <v>599</v>
      </c>
      <c r="J44" s="1400" t="s">
        <v>600</v>
      </c>
      <c r="K44" s="1400" t="s">
        <v>601</v>
      </c>
      <c r="L44" s="1400" t="s">
        <v>576</v>
      </c>
      <c r="Q44" s="279"/>
      <c r="R44" s="377"/>
      <c r="S44" s="2206"/>
      <c r="T44" s="2047"/>
      <c r="U44" s="290"/>
      <c r="V44" s="1515" t="s">
        <v>649</v>
      </c>
      <c r="W44" s="1515" t="s">
        <v>650</v>
      </c>
      <c r="X44" s="1515" t="s">
        <v>649</v>
      </c>
      <c r="Y44" s="1515" t="s">
        <v>650</v>
      </c>
      <c r="Z44" s="1525" t="s">
        <v>604</v>
      </c>
      <c r="AA44" s="2203" t="s">
        <v>605</v>
      </c>
      <c r="AB44" s="2204"/>
      <c r="AC44" s="2212"/>
      <c r="AD44" s="2258"/>
      <c r="AE44" s="2259"/>
      <c r="AF44" s="2259"/>
      <c r="AG44" s="2260"/>
      <c r="AH44" s="2258"/>
      <c r="AI44" s="2259"/>
      <c r="AJ44" s="2259"/>
      <c r="AK44" s="2260"/>
      <c r="AL44" s="2258"/>
      <c r="AM44" s="2259"/>
      <c r="AN44" s="2259"/>
      <c r="AO44" s="2260"/>
      <c r="AP44" s="2258"/>
      <c r="AQ44" s="2259"/>
      <c r="AR44" s="2259"/>
      <c r="AS44" s="2260"/>
      <c r="AT44" s="1515" t="s">
        <v>649</v>
      </c>
      <c r="AU44" s="1515" t="s">
        <v>650</v>
      </c>
      <c r="AV44" s="1515" t="s">
        <v>649</v>
      </c>
      <c r="AW44" s="1515" t="s">
        <v>650</v>
      </c>
      <c r="AX44" s="1525" t="s">
        <v>604</v>
      </c>
      <c r="AY44" s="2203" t="s">
        <v>605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159</v>
      </c>
      <c r="T45" s="1287" t="s">
        <v>102</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350</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232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350</v>
      </c>
      <c r="B47" s="1399" t="s">
        <v>351</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559</v>
      </c>
      <c r="BE47" s="508"/>
      <c r="BF47" s="508" t="str">
        <f>IF(T47="","",T47)</f>
        <v>Территория действия тарифа</v>
      </c>
      <c r="BG47" s="508"/>
      <c r="BH47" s="508"/>
    </row>
    <row customHeight="1" ht="33.75">
      <c r="A48" s="1399" t="s">
        <v>350</v>
      </c>
      <c r="B48" s="1399" t="s">
        <v>351</v>
      </c>
      <c r="C48" s="1399" t="s">
        <v>352</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2700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2701</v>
      </c>
      <c r="BE48" s="508"/>
      <c r="BF48" s="508" t="str">
        <f>IF(T48="","",T48)</f>
        <v>Наименование централизованной системы горячего водоснабжения</v>
      </c>
      <c r="BG48" s="508"/>
      <c r="BH48" s="508"/>
    </row>
    <row s="2586" customFormat="1" customHeight="1" ht="0">
      <c r="A49" s="1379" t="s">
        <v>350</v>
      </c>
      <c r="B49" s="1379" t="s">
        <v>351</v>
      </c>
      <c r="C49" s="1379" t="s">
        <v>352</v>
      </c>
      <c r="D49" s="1379" t="s">
        <v>2710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563</v>
      </c>
      <c r="BE49" s="508"/>
      <c r="BF49" s="508" t="str">
        <f>IF(T49="","",T49)</f>
        <v/>
      </c>
      <c r="BG49" s="508"/>
      <c r="BH49" s="508"/>
    </row>
    <row s="2586" customFormat="1" customHeight="1" ht="0">
      <c r="A50" s="1379" t="s">
        <v>350</v>
      </c>
      <c r="B50" s="1379" t="s">
        <v>351</v>
      </c>
      <c r="C50" s="1379" t="s">
        <v>352</v>
      </c>
      <c r="D50" s="1379" t="s">
        <v>2710</v>
      </c>
      <c r="E50" s="2192"/>
      <c r="F50" s="2192"/>
      <c r="G50" s="2192"/>
      <c r="H50" s="2192"/>
      <c r="I50" s="2189" t="str">
        <f>S49&amp;".1"</f>
        <v>.1</v>
      </c>
      <c r="J50" s="1379"/>
      <c r="K50" s="1379"/>
      <c r="L50" s="1382" t="s">
        <v>564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350</v>
      </c>
      <c r="B51" s="1379" t="s">
        <v>351</v>
      </c>
      <c r="C51" s="1379" t="s">
        <v>352</v>
      </c>
      <c r="D51" s="1379" t="s">
        <v>2710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350</v>
      </c>
      <c r="B52" s="1399" t="s">
        <v>351</v>
      </c>
      <c r="C52" s="1399" t="s">
        <v>352</v>
      </c>
      <c r="D52" s="1399" t="s">
        <v>2710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2310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2311</v>
      </c>
      <c r="AT53" s="1429"/>
      <c r="AU53" s="1532"/>
      <c r="AV53" s="1429"/>
      <c r="AW53" s="1532"/>
      <c r="AX53" s="1429"/>
      <c r="AY53" s="1429"/>
      <c r="AZ53" s="1429"/>
      <c r="BA53" s="1429"/>
      <c r="BB53" s="1433"/>
      <c r="BC53" s="2187"/>
      <c r="BE53" s="508"/>
      <c r="BF53" s="508"/>
      <c r="BG53" s="508"/>
      <c r="BH53" s="508"/>
    </row>
    <row customHeight="1" ht="11.25">
      <c r="A54" s="1399" t="s">
        <v>350</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2312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350</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2313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350</v>
      </c>
      <c r="B56" s="1399" t="s">
        <v>351</v>
      </c>
      <c r="C56" s="1399" t="s">
        <v>352</v>
      </c>
      <c r="D56" s="1399" t="s">
        <v>2710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2314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350</v>
      </c>
      <c r="B57" s="1399" t="s">
        <v>351</v>
      </c>
      <c r="C57" s="1399" t="s">
        <v>352</v>
      </c>
      <c r="D57" s="1399" t="s">
        <v>2710</v>
      </c>
      <c r="E57" s="2192"/>
      <c r="F57" s="2192"/>
      <c r="G57" s="2192"/>
      <c r="H57" s="2192"/>
      <c r="I57" s="2219"/>
      <c r="J57" s="2189"/>
      <c r="K57" s="1399"/>
      <c r="L57" s="1400"/>
      <c r="P57" s="2190"/>
      <c r="Q57" s="2190"/>
      <c r="R57" s="352"/>
      <c r="S57" s="1314"/>
      <c r="T57" s="275" t="s">
        <v>638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350</v>
      </c>
      <c r="B58" s="1379" t="s">
        <v>351</v>
      </c>
      <c r="C58" s="1379" t="s">
        <v>352</v>
      </c>
      <c r="D58" s="1379" t="s">
        <v>2710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350</v>
      </c>
      <c r="B59" s="1379" t="s">
        <v>351</v>
      </c>
      <c r="C59" s="1379" t="s">
        <v>352</v>
      </c>
      <c r="D59" s="1379" t="s">
        <v>2710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350</v>
      </c>
      <c r="B60" s="1379" t="s">
        <v>351</v>
      </c>
      <c r="C60" s="1379" t="s">
        <v>352</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350</v>
      </c>
      <c r="B61" s="1379" t="s">
        <v>351</v>
      </c>
      <c r="C61" s="1350"/>
      <c r="D61" s="1350"/>
      <c r="E61" s="2192"/>
      <c r="F61" s="2191"/>
      <c r="G61" s="1350"/>
      <c r="H61" s="1350"/>
      <c r="I61" s="1350"/>
      <c r="J61" s="1350"/>
      <c r="K61" s="1350"/>
      <c r="L61" s="1530"/>
      <c r="M61" s="1357"/>
      <c r="N61" s="1357"/>
      <c r="P61" s="1352"/>
      <c r="Q61" s="1353"/>
      <c r="R61" s="1352"/>
      <c r="S61" s="1358"/>
      <c r="T61" s="1361" t="s">
        <v>532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350</v>
      </c>
      <c r="B62" s="1379"/>
      <c r="C62" s="1379"/>
      <c r="D62" s="1379"/>
      <c r="E62" s="2191"/>
      <c r="F62" s="1379"/>
      <c r="G62" s="1379"/>
      <c r="H62" s="1379"/>
      <c r="I62" s="1379"/>
      <c r="J62" s="1379"/>
      <c r="K62" s="1379"/>
      <c r="L62" s="1382"/>
      <c r="M62" s="1357"/>
      <c r="N62" s="1357"/>
      <c r="O62" s="526"/>
      <c r="P62" s="385"/>
      <c r="Q62" s="1380"/>
      <c r="R62" s="385"/>
      <c r="S62" s="1358"/>
      <c r="T62" s="1361" t="s">
        <v>533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534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606</v>
      </c>
      <c r="T65" s="2218" t="s">
        <v>2325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606</v>
      </c>
      <c r="T67" s="2218" t="s">
        <v>2326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085C-D3E2-716B-5D7C-A01BCC3C91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934" width="19.140625" hidden="1" customWidth="1"/>
    <col min="13" max="14" style="3617" width="12.28125" hidden="1" customWidth="1"/>
    <col min="15" max="15" style="3617" width="23.421875" hidden="1" customWidth="1"/>
    <col min="16" max="16" style="493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2711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2712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529">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519" t="s">
        <v>2298</v>
      </c>
      <c r="W38" s="2195" t="s">
        <v>593</v>
      </c>
      <c r="X38" s="2196"/>
      <c r="Y38" s="2195" t="s">
        <v>594</v>
      </c>
      <c r="Z38" s="2202"/>
      <c r="AA38" s="2196"/>
      <c r="AB38" s="2211"/>
      <c r="AC38" s="1519" t="s">
        <v>2298</v>
      </c>
      <c r="AD38" s="2195" t="s">
        <v>593</v>
      </c>
      <c r="AE38" s="2196"/>
      <c r="AF38" s="2195" t="s">
        <v>594</v>
      </c>
      <c r="AG38" s="2202"/>
      <c r="AH38" s="2196"/>
      <c r="AI38" s="2211"/>
      <c r="AJ38" s="2214"/>
      <c r="AK38" s="1966"/>
    </row>
    <row customHeight="1" ht="86.2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519" t="s">
        <v>2713</v>
      </c>
      <c r="W39" s="1243" t="s">
        <v>2714</v>
      </c>
      <c r="X39" s="1243" t="s">
        <v>2303</v>
      </c>
      <c r="Y39" s="1525" t="s">
        <v>604</v>
      </c>
      <c r="Z39" s="2203" t="s">
        <v>605</v>
      </c>
      <c r="AA39" s="2204"/>
      <c r="AB39" s="2212"/>
      <c r="AC39" s="1519" t="s">
        <v>2713</v>
      </c>
      <c r="AD39" s="1243" t="s">
        <v>2714</v>
      </c>
      <c r="AE39" s="1243" t="s">
        <v>2303</v>
      </c>
      <c r="AF39" s="1525" t="s">
        <v>604</v>
      </c>
      <c r="AG39" s="2203" t="s">
        <v>605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355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355</v>
      </c>
      <c r="B42" s="1399" t="s">
        <v>356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355</v>
      </c>
      <c r="B43" s="1399" t="s">
        <v>356</v>
      </c>
      <c r="C43" s="1399" t="s">
        <v>357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2711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2712</v>
      </c>
      <c r="AM43" s="508"/>
      <c r="AN43" s="508" t="str">
        <f>IF(T43="","",T43)</f>
        <v>Наименование централизованной системы водоотведения</v>
      </c>
      <c r="AO43" s="508"/>
      <c r="AP43" s="508"/>
    </row>
    <row customHeight="1" ht="23.25">
      <c r="A44" s="1399" t="s">
        <v>355</v>
      </c>
      <c r="B44" s="1399" t="s">
        <v>356</v>
      </c>
      <c r="C44" s="1399" t="s">
        <v>357</v>
      </c>
      <c r="D44" s="1399" t="s">
        <v>2715</v>
      </c>
      <c r="E44" s="2192"/>
      <c r="F44" s="2192"/>
      <c r="G44" s="2192"/>
      <c r="H44" s="2192"/>
      <c r="I44" s="2189" t="str">
        <f>S43&amp;".1"</f>
        <v>...1</v>
      </c>
      <c r="J44" s="1399"/>
      <c r="K44" s="1399"/>
      <c r="L44" s="1400"/>
      <c r="P44" s="2190">
        <v>1</v>
      </c>
      <c r="Q44" s="1517"/>
      <c r="R44" s="352"/>
      <c r="S44" s="1529"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355</v>
      </c>
      <c r="B45" s="1399" t="s">
        <v>356</v>
      </c>
      <c r="C45" s="1399" t="s">
        <v>357</v>
      </c>
      <c r="D45" s="1399" t="s">
        <v>2715</v>
      </c>
      <c r="E45" s="2192"/>
      <c r="F45" s="2192"/>
      <c r="G45" s="2192"/>
      <c r="H45" s="2192"/>
      <c r="I45" s="2219"/>
      <c r="J45" s="2189" t="str">
        <f>I44&amp;".1"</f>
        <v>...1.1</v>
      </c>
      <c r="K45" s="1399"/>
      <c r="L45" s="1400" t="s">
        <v>567</v>
      </c>
      <c r="P45" s="2190"/>
      <c r="Q45" s="2190">
        <v>1</v>
      </c>
      <c r="R45" s="353"/>
      <c r="S45" s="1529"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355</v>
      </c>
      <c r="B46" s="1399" t="s">
        <v>356</v>
      </c>
      <c r="C46" s="1399" t="s">
        <v>357</v>
      </c>
      <c r="D46" s="1399" t="s">
        <v>2715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355</v>
      </c>
      <c r="B47" s="1399" t="s">
        <v>356</v>
      </c>
      <c r="C47" s="1399" t="s">
        <v>357</v>
      </c>
      <c r="D47" s="1399" t="s">
        <v>2715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355</v>
      </c>
      <c r="B48" s="1399" t="s">
        <v>356</v>
      </c>
      <c r="C48" s="1399" t="s">
        <v>357</v>
      </c>
      <c r="D48" s="1399" t="s">
        <v>2715</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355</v>
      </c>
      <c r="B49" s="1399" t="s">
        <v>356</v>
      </c>
      <c r="C49" s="1399" t="s">
        <v>357</v>
      </c>
      <c r="D49" s="1399" t="s">
        <v>2715</v>
      </c>
      <c r="E49" s="2192"/>
      <c r="F49" s="2192"/>
      <c r="G49" s="2192"/>
      <c r="H49" s="2192"/>
      <c r="I49" s="2189"/>
      <c r="J49" s="1399"/>
      <c r="K49" s="1399"/>
      <c r="L49" s="1400"/>
      <c r="P49" s="2190"/>
      <c r="Q49" s="1517"/>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355</v>
      </c>
      <c r="B50" s="1399" t="s">
        <v>356</v>
      </c>
      <c r="C50" s="1399" t="s">
        <v>357</v>
      </c>
      <c r="D50" s="1399" t="s">
        <v>2715</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355</v>
      </c>
      <c r="B51" s="1379" t="s">
        <v>356</v>
      </c>
      <c r="C51" s="1350"/>
      <c r="D51" s="1350"/>
      <c r="E51" s="2192"/>
      <c r="F51" s="2191"/>
      <c r="G51" s="1350"/>
      <c r="H51" s="1350"/>
      <c r="I51" s="1350"/>
      <c r="J51" s="1350"/>
      <c r="K51" s="1350"/>
      <c r="L51" s="1530"/>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355</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2716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2717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C6565-2FD2-54B2-012B-DAF04D7F7F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934" width="19.140625" hidden="1" customWidth="1"/>
    <col min="13" max="14" style="3617" width="12.28125" hidden="1" customWidth="1"/>
    <col min="15" max="15" style="3617" width="23.421875" hidden="1" customWidth="1"/>
    <col min="16" max="16" style="4939" width="3.7109375" customWidth="1"/>
    <col min="17" max="18" style="3692" width="3.7109375" customWidth="1"/>
    <col min="19" max="19" style="3693" width="12.7109375" customWidth="1"/>
    <col min="20" max="20" style="2867" width="35.7109375" customWidth="1"/>
    <col min="21" max="21" style="2867" width="0.140625" customWidth="1"/>
    <col min="22" max="24" style="2867" width="24.7109375" hidden="1" customWidth="1"/>
    <col min="25" max="25" style="2867" width="11.7109375" hidden="1" customWidth="1"/>
    <col min="26" max="26" style="2867" width="3.7109375" hidden="1" customWidth="1"/>
    <col min="27" max="27" style="2867" width="11.7109375" hidden="1" customWidth="1"/>
    <col min="28" max="28" style="2867" width="8.57421875" hidden="1" customWidth="1"/>
    <col min="29" max="31" style="2867" width="24.7109375" customWidth="1"/>
    <col min="32" max="32" style="2867" width="11.7109375" customWidth="1"/>
    <col min="33" max="33" style="2867" width="3.7109375" customWidth="1"/>
    <col min="34" max="34" style="2867" width="11.7109375" customWidth="1"/>
    <col min="35" max="35" style="2867" width="8.57421875" hidden="1" customWidth="1"/>
    <col min="36" max="36" style="2867" width="4.7109375" customWidth="1"/>
    <col min="37" max="37" style="2867"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232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2711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2712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2292</v>
      </c>
      <c r="U5" s="288"/>
      <c r="V5" s="2322"/>
      <c r="W5" s="2323"/>
      <c r="X5" s="2323"/>
      <c r="Y5" s="2323"/>
      <c r="Z5" s="2323"/>
      <c r="AA5" s="2323"/>
      <c r="AB5" s="2324"/>
      <c r="AC5" s="2325"/>
      <c r="AD5" s="2326"/>
      <c r="AE5" s="2326"/>
      <c r="AF5" s="2326"/>
      <c r="AG5" s="2326"/>
      <c r="AH5" s="2326"/>
      <c r="AI5" s="2326"/>
      <c r="AJ5" s="2327"/>
      <c r="AK5" s="1292" t="s">
        <v>2293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567</v>
      </c>
      <c r="P6" s="2190"/>
      <c r="Q6" s="2190">
        <v>1</v>
      </c>
      <c r="R6" s="353"/>
      <c r="S6" s="1529">
        <f>$J6</f>
      </c>
      <c r="T6" s="274" t="s">
        <v>568</v>
      </c>
      <c r="U6" s="288"/>
      <c r="V6" s="2178"/>
      <c r="W6" s="2179"/>
      <c r="X6" s="2179"/>
      <c r="Y6" s="2179"/>
      <c r="Z6" s="2179"/>
      <c r="AA6" s="2179"/>
      <c r="AB6" s="2180"/>
      <c r="AC6" s="2178"/>
      <c r="AD6" s="2179"/>
      <c r="AE6" s="2179"/>
      <c r="AF6" s="2179"/>
      <c r="AG6" s="2179"/>
      <c r="AH6" s="2179"/>
      <c r="AI6" s="2179"/>
      <c r="AJ6" s="2180"/>
      <c r="AK6" s="1343" t="s">
        <v>2294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2295</v>
      </c>
      <c r="U9" s="367"/>
      <c r="V9" s="367"/>
      <c r="W9" s="367"/>
      <c r="X9" s="367"/>
      <c r="Y9" s="367"/>
      <c r="Z9" s="367"/>
      <c r="AA9" s="367"/>
      <c r="AB9" s="367"/>
      <c r="AC9" s="367"/>
      <c r="AD9" s="367"/>
      <c r="AE9" s="367"/>
      <c r="AF9" s="367"/>
      <c r="AG9" s="367"/>
      <c r="AH9" s="367"/>
      <c r="AI9" s="367"/>
      <c r="AJ9" s="367"/>
      <c r="AK9" s="1292" t="s">
        <v>2296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2297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532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533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575</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576</v>
      </c>
      <c r="P20" s="1398"/>
      <c r="Q20" s="1478"/>
      <c r="R20" s="1478"/>
      <c r="S20" s="738"/>
      <c r="T20" s="1174" t="s">
        <v>577</v>
      </c>
      <c r="Z20" s="172" t="s">
        <v>578</v>
      </c>
      <c r="AB20" s="172" t="s">
        <v>579</v>
      </c>
      <c r="AC20" s="1174" t="s">
        <v>577</v>
      </c>
      <c r="AG20" s="172" t="s">
        <v>580</v>
      </c>
      <c r="AI20" s="172" t="s">
        <v>579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ГУП СК "Ставрополькрайводоканал"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581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582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583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584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585</v>
      </c>
      <c r="AC34" s="322"/>
      <c r="AD34" s="322"/>
      <c r="AE34" s="322"/>
      <c r="AF34" s="322"/>
      <c r="AG34" s="322"/>
      <c r="AH34" s="322"/>
      <c r="AI34" s="266" t="s">
        <v>585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389</v>
      </c>
      <c r="T36" s="1966"/>
      <c r="U36" s="1966"/>
      <c r="V36" s="1966"/>
      <c r="W36" s="1966"/>
      <c r="X36" s="1966"/>
      <c r="Y36" s="1966"/>
      <c r="Z36" s="1966"/>
      <c r="AA36" s="1966"/>
      <c r="AB36" s="1966"/>
      <c r="AC36" s="1966"/>
      <c r="AD36" s="1966"/>
      <c r="AE36" s="1966"/>
      <c r="AF36" s="1966"/>
      <c r="AG36" s="1966"/>
      <c r="AH36" s="1966"/>
      <c r="AI36" s="1966"/>
      <c r="AJ36" s="1966"/>
      <c r="AK36" s="1966" t="s">
        <v>390</v>
      </c>
    </row>
    <row customHeight="1" ht="14.25">
      <c r="Q37" s="377"/>
      <c r="R37" s="377"/>
      <c r="S37" s="2206" t="s">
        <v>88</v>
      </c>
      <c r="T37" s="2047" t="s">
        <v>586</v>
      </c>
      <c r="U37" s="289"/>
      <c r="V37" s="2207" t="s">
        <v>587</v>
      </c>
      <c r="W37" s="2208"/>
      <c r="X37" s="2208"/>
      <c r="Y37" s="2208"/>
      <c r="Z37" s="2208"/>
      <c r="AA37" s="2209"/>
      <c r="AB37" s="2210" t="s">
        <v>588</v>
      </c>
      <c r="AC37" s="2207" t="s">
        <v>587</v>
      </c>
      <c r="AD37" s="2208"/>
      <c r="AE37" s="2208"/>
      <c r="AF37" s="2208"/>
      <c r="AG37" s="2208"/>
      <c r="AH37" s="2209"/>
      <c r="AI37" s="2210" t="s">
        <v>589</v>
      </c>
      <c r="AJ37" s="2213" t="s">
        <v>590</v>
      </c>
      <c r="AK37" s="1966"/>
    </row>
    <row customHeight="1" ht="33.75">
      <c r="Q38" s="377"/>
      <c r="R38" s="377"/>
      <c r="S38" s="2206"/>
      <c r="T38" s="2047"/>
      <c r="U38" s="1044"/>
      <c r="V38" s="1519" t="s">
        <v>2298</v>
      </c>
      <c r="W38" s="2195" t="s">
        <v>593</v>
      </c>
      <c r="X38" s="2196"/>
      <c r="Y38" s="2195" t="s">
        <v>594</v>
      </c>
      <c r="Z38" s="2202"/>
      <c r="AA38" s="2196"/>
      <c r="AB38" s="2211"/>
      <c r="AC38" s="1519" t="s">
        <v>2298</v>
      </c>
      <c r="AD38" s="2195" t="s">
        <v>593</v>
      </c>
      <c r="AE38" s="2196"/>
      <c r="AF38" s="2195" t="s">
        <v>594</v>
      </c>
      <c r="AG38" s="2202"/>
      <c r="AH38" s="2196"/>
      <c r="AI38" s="2211"/>
      <c r="AJ38" s="2214"/>
      <c r="AK38" s="1966"/>
    </row>
    <row customHeight="1" ht="86.25">
      <c r="A39" s="1406"/>
      <c r="B39" s="1406" t="s">
        <v>244</v>
      </c>
      <c r="C39" s="1406" t="s">
        <v>245</v>
      </c>
      <c r="D39" s="1406" t="s">
        <v>246</v>
      </c>
      <c r="E39" s="1400" t="s">
        <v>595</v>
      </c>
      <c r="F39" s="1400" t="s">
        <v>596</v>
      </c>
      <c r="G39" s="1400" t="s">
        <v>597</v>
      </c>
      <c r="H39" s="1400"/>
      <c r="I39" s="1400" t="s">
        <v>2299</v>
      </c>
      <c r="J39" s="1400" t="s">
        <v>600</v>
      </c>
      <c r="K39" s="1400" t="s">
        <v>2300</v>
      </c>
      <c r="L39" s="1400" t="s">
        <v>576</v>
      </c>
      <c r="Q39" s="377"/>
      <c r="R39" s="377"/>
      <c r="S39" s="2206"/>
      <c r="T39" s="2047"/>
      <c r="U39" s="290"/>
      <c r="V39" s="1519" t="s">
        <v>2713</v>
      </c>
      <c r="W39" s="1243" t="s">
        <v>2714</v>
      </c>
      <c r="X39" s="1243" t="s">
        <v>2303</v>
      </c>
      <c r="Y39" s="1525" t="s">
        <v>604</v>
      </c>
      <c r="Z39" s="2203" t="s">
        <v>605</v>
      </c>
      <c r="AA39" s="2204"/>
      <c r="AB39" s="2212"/>
      <c r="AC39" s="1519" t="s">
        <v>2713</v>
      </c>
      <c r="AD39" s="1243" t="s">
        <v>2714</v>
      </c>
      <c r="AE39" s="1243" t="s">
        <v>2303</v>
      </c>
      <c r="AF39" s="1525" t="s">
        <v>604</v>
      </c>
      <c r="AG39" s="2203" t="s">
        <v>605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159</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360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232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360</v>
      </c>
      <c r="B42" s="1399" t="s">
        <v>361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559</v>
      </c>
      <c r="AM42" s="508"/>
      <c r="AN42" s="508" t="str">
        <f>IF(T42="","",T42)</f>
        <v>Территория действия тарифа</v>
      </c>
      <c r="AO42" s="508"/>
      <c r="AP42" s="508"/>
    </row>
    <row customHeight="1" ht="23.25">
      <c r="A43" s="1399" t="s">
        <v>360</v>
      </c>
      <c r="B43" s="1399" t="s">
        <v>361</v>
      </c>
      <c r="C43" s="1399" t="s">
        <v>362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2711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2712</v>
      </c>
      <c r="AM43" s="508"/>
      <c r="AN43" s="508" t="str">
        <f>IF(T43="","",T43)</f>
        <v>Наименование централизованной системы водоотведения</v>
      </c>
      <c r="AO43" s="508"/>
      <c r="AP43" s="508"/>
    </row>
    <row customHeight="1" ht="23.25">
      <c r="A44" s="1399" t="s">
        <v>360</v>
      </c>
      <c r="B44" s="1399" t="s">
        <v>361</v>
      </c>
      <c r="C44" s="1399" t="s">
        <v>362</v>
      </c>
      <c r="D44" s="1399" t="s">
        <v>2718</v>
      </c>
      <c r="E44" s="2192"/>
      <c r="F44" s="2192"/>
      <c r="G44" s="2192"/>
      <c r="H44" s="2192"/>
      <c r="I44" s="2189" t="str">
        <f>S43&amp;".1"</f>
        <v>...1</v>
      </c>
      <c r="J44" s="1399"/>
      <c r="K44" s="1399"/>
      <c r="L44" s="1400"/>
      <c r="P44" s="2190">
        <v>1</v>
      </c>
      <c r="Q44" s="1517"/>
      <c r="R44" s="352"/>
      <c r="S44" s="1529" t="str">
        <f>$I44</f>
        <v>...1</v>
      </c>
      <c r="T44" s="273" t="s">
        <v>2292</v>
      </c>
      <c r="U44" s="288"/>
      <c r="V44" s="2322"/>
      <c r="W44" s="2323"/>
      <c r="X44" s="2323"/>
      <c r="Y44" s="2323"/>
      <c r="Z44" s="2323"/>
      <c r="AA44" s="2323"/>
      <c r="AB44" s="2324"/>
      <c r="AC44" s="2325"/>
      <c r="AD44" s="2326"/>
      <c r="AE44" s="2326"/>
      <c r="AF44" s="2326"/>
      <c r="AG44" s="2326"/>
      <c r="AH44" s="2326"/>
      <c r="AI44" s="2326"/>
      <c r="AJ44" s="2327"/>
      <c r="AK44" s="1292" t="s">
        <v>2293</v>
      </c>
      <c r="AM44" s="508"/>
      <c r="AN44" s="508" t="str">
        <f>IF(T44="","",T44)</f>
        <v>Наименование признака дифференциации</v>
      </c>
      <c r="AO44" s="508"/>
      <c r="AP44" s="508"/>
    </row>
    <row customHeight="1" ht="23.25">
      <c r="A45" s="1399" t="s">
        <v>360</v>
      </c>
      <c r="B45" s="1399" t="s">
        <v>361</v>
      </c>
      <c r="C45" s="1399" t="s">
        <v>362</v>
      </c>
      <c r="D45" s="1399" t="s">
        <v>2718</v>
      </c>
      <c r="E45" s="2192"/>
      <c r="F45" s="2192"/>
      <c r="G45" s="2192"/>
      <c r="H45" s="2192"/>
      <c r="I45" s="2219"/>
      <c r="J45" s="2189" t="str">
        <f>I44&amp;".1"</f>
        <v>...1.1</v>
      </c>
      <c r="K45" s="1399"/>
      <c r="L45" s="1400" t="s">
        <v>567</v>
      </c>
      <c r="P45" s="2190"/>
      <c r="Q45" s="2190">
        <v>1</v>
      </c>
      <c r="R45" s="353"/>
      <c r="S45" s="1529" t="str">
        <f>$J45</f>
        <v>...1.1</v>
      </c>
      <c r="T45" s="274" t="s">
        <v>568</v>
      </c>
      <c r="U45" s="288"/>
      <c r="V45" s="2178"/>
      <c r="W45" s="2179"/>
      <c r="X45" s="2179"/>
      <c r="Y45" s="2179"/>
      <c r="Z45" s="2179"/>
      <c r="AA45" s="2179"/>
      <c r="AB45" s="2180"/>
      <c r="AC45" s="2178"/>
      <c r="AD45" s="2179"/>
      <c r="AE45" s="2179"/>
      <c r="AF45" s="2179"/>
      <c r="AG45" s="2179"/>
      <c r="AH45" s="2179"/>
      <c r="AI45" s="2179"/>
      <c r="AJ45" s="2180"/>
      <c r="AK45" s="1343" t="s">
        <v>2294</v>
      </c>
      <c r="AM45" s="508"/>
      <c r="AN45" s="508" t="str">
        <f>IF(T45="","",T45)</f>
        <v>Группа потребителей</v>
      </c>
      <c r="AO45" s="508"/>
      <c r="AP45" s="508"/>
    </row>
    <row customHeight="1" ht="23.25">
      <c r="A46" s="1399" t="s">
        <v>360</v>
      </c>
      <c r="B46" s="1399" t="s">
        <v>361</v>
      </c>
      <c r="C46" s="1399" t="s">
        <v>362</v>
      </c>
      <c r="D46" s="1399" t="s">
        <v>2718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360</v>
      </c>
      <c r="B47" s="1399" t="s">
        <v>361</v>
      </c>
      <c r="C47" s="1399" t="s">
        <v>362</v>
      </c>
      <c r="D47" s="1399" t="s">
        <v>2718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360</v>
      </c>
      <c r="B48" s="1399" t="s">
        <v>361</v>
      </c>
      <c r="C48" s="1399" t="s">
        <v>362</v>
      </c>
      <c r="D48" s="1399" t="s">
        <v>2718</v>
      </c>
      <c r="E48" s="2192"/>
      <c r="F48" s="2192"/>
      <c r="G48" s="2192"/>
      <c r="H48" s="2192"/>
      <c r="I48" s="2219"/>
      <c r="J48" s="2189"/>
      <c r="K48" s="1399"/>
      <c r="L48" s="1400"/>
      <c r="P48" s="2190"/>
      <c r="Q48" s="2190"/>
      <c r="R48" s="352"/>
      <c r="S48" s="1314"/>
      <c r="T48" s="275" t="s">
        <v>2295</v>
      </c>
      <c r="U48" s="367"/>
      <c r="V48" s="367"/>
      <c r="W48" s="367"/>
      <c r="X48" s="367"/>
      <c r="Y48" s="367"/>
      <c r="Z48" s="367"/>
      <c r="AA48" s="367"/>
      <c r="AB48" s="367"/>
      <c r="AC48" s="367"/>
      <c r="AD48" s="367"/>
      <c r="AE48" s="367"/>
      <c r="AF48" s="367"/>
      <c r="AG48" s="367"/>
      <c r="AH48" s="367"/>
      <c r="AI48" s="367"/>
      <c r="AJ48" s="367"/>
      <c r="AK48" s="1292" t="s">
        <v>2296</v>
      </c>
      <c r="AM48" s="508"/>
      <c r="AN48" s="508" t="str">
        <f>IF(T48="","",T48)</f>
        <v>Добавить значение признака дифференциации</v>
      </c>
      <c r="AO48" s="508"/>
      <c r="AP48" s="508"/>
    </row>
    <row customHeight="1" ht="21">
      <c r="A49" s="1399" t="s">
        <v>360</v>
      </c>
      <c r="B49" s="1399" t="s">
        <v>361</v>
      </c>
      <c r="C49" s="1399" t="s">
        <v>362</v>
      </c>
      <c r="D49" s="1399" t="s">
        <v>2718</v>
      </c>
      <c r="E49" s="2192"/>
      <c r="F49" s="2192"/>
      <c r="G49" s="2192"/>
      <c r="H49" s="2192"/>
      <c r="I49" s="2189"/>
      <c r="J49" s="1399"/>
      <c r="K49" s="1399"/>
      <c r="L49" s="1400"/>
      <c r="P49" s="2190"/>
      <c r="Q49" s="1517"/>
      <c r="R49" s="352"/>
      <c r="S49" s="1314"/>
      <c r="T49" s="364" t="s">
        <v>573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360</v>
      </c>
      <c r="B50" s="1399" t="s">
        <v>361</v>
      </c>
      <c r="C50" s="1399" t="s">
        <v>362</v>
      </c>
      <c r="D50" s="1399" t="s">
        <v>2718</v>
      </c>
      <c r="E50" s="2192"/>
      <c r="F50" s="2192"/>
      <c r="G50" s="2192"/>
      <c r="H50" s="2191"/>
      <c r="I50" s="1399"/>
      <c r="J50" s="1399"/>
      <c r="K50" s="1399"/>
      <c r="L50" s="1400"/>
      <c r="M50" s="1401"/>
      <c r="N50" s="1401"/>
      <c r="O50" s="545"/>
      <c r="P50" s="356"/>
      <c r="Q50" s="376"/>
      <c r="R50" s="351"/>
      <c r="S50" s="1314"/>
      <c r="T50" s="372" t="s">
        <v>2297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360</v>
      </c>
      <c r="B51" s="1379" t="s">
        <v>361</v>
      </c>
      <c r="C51" s="1350"/>
      <c r="D51" s="1350"/>
      <c r="E51" s="2192"/>
      <c r="F51" s="2191"/>
      <c r="G51" s="1350"/>
      <c r="H51" s="1350"/>
      <c r="I51" s="1350"/>
      <c r="J51" s="1350"/>
      <c r="K51" s="1350"/>
      <c r="L51" s="1530"/>
      <c r="M51" s="1357"/>
      <c r="N51" s="1357"/>
      <c r="P51" s="1352"/>
      <c r="Q51" s="1353"/>
      <c r="R51" s="1352"/>
      <c r="S51" s="1358"/>
      <c r="T51" s="1361" t="s">
        <v>532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360</v>
      </c>
      <c r="B52" s="1379"/>
      <c r="C52" s="1379"/>
      <c r="D52" s="1379"/>
      <c r="E52" s="2191"/>
      <c r="F52" s="1379"/>
      <c r="G52" s="1379"/>
      <c r="H52" s="1379"/>
      <c r="I52" s="1379"/>
      <c r="J52" s="1379"/>
      <c r="K52" s="1379"/>
      <c r="L52" s="1382"/>
      <c r="M52" s="1357"/>
      <c r="N52" s="1357"/>
      <c r="O52" s="526"/>
      <c r="P52" s="385"/>
      <c r="Q52" s="1380"/>
      <c r="R52" s="385"/>
      <c r="S52" s="1358"/>
      <c r="T52" s="1361" t="s">
        <v>533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534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606</v>
      </c>
      <c r="T55" s="2218" t="s">
        <v>2716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606</v>
      </c>
      <c r="T57" s="2218" t="s">
        <v>2717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3A97C-6F4B-1D65-5B28-9A2795FB04E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934"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7" width="32.00390625" customWidth="1"/>
    <col min="21" max="21" style="2867" width="0.140625" customWidth="1"/>
    <col min="22" max="25" style="2867" width="21.7109375" hidden="1" customWidth="1"/>
    <col min="26" max="26" style="2867" width="11.7109375" hidden="1" customWidth="1"/>
    <col min="27" max="27" style="2867" width="3.7109375" hidden="1" customWidth="1"/>
    <col min="28" max="28" style="2867" width="11.7109375" hidden="1" customWidth="1"/>
    <col min="29" max="29" style="2867" width="8.57421875" hidden="1" customWidth="1"/>
    <col min="30" max="32" style="2867" width="3.7109375" customWidth="1"/>
    <col min="33" max="33" style="2867" width="24.7109375" customWidth="1"/>
    <col min="34" max="36" style="2867" width="3.7109375" customWidth="1"/>
    <col min="37" max="37" style="2867" width="24.7109375" customWidth="1"/>
    <col min="38" max="40" style="2867" width="3.7109375" customWidth="1"/>
    <col min="41" max="41" style="2867" width="18.8515625" customWidth="1"/>
    <col min="42" max="44" style="2867" width="3.7109375" customWidth="1"/>
    <col min="45" max="45" style="2867" width="18.8515625" customWidth="1"/>
    <col min="46" max="49" style="2867" width="21.7109375" customWidth="1"/>
    <col min="50" max="50" style="2867" width="11.7109375" customWidth="1"/>
    <col min="51" max="51" style="2867" width="3.7109375" customWidth="1"/>
    <col min="52" max="52" style="2867" width="11.7109375" customWidth="1"/>
    <col min="53" max="53" style="2867" width="8.57421875" hidden="1" customWidth="1"/>
    <col min="54" max="54" style="2867" width="4.7109375" customWidth="1"/>
    <col min="55" max="55" style="2867"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232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2711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2712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564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2310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2311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2719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2720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2314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532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533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575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576</v>
      </c>
      <c r="P24" s="1544"/>
      <c r="Q24" s="1546"/>
      <c r="R24" s="1546"/>
      <c r="AA24" s="1543" t="s">
        <v>578</v>
      </c>
      <c r="AC24" s="1543" t="s">
        <v>579</v>
      </c>
      <c r="AD24" s="1543" t="s">
        <v>639</v>
      </c>
      <c r="AH24" s="1543" t="s">
        <v>639</v>
      </c>
      <c r="AK24" s="1543" t="s">
        <v>2315</v>
      </c>
      <c r="AL24" s="1543" t="s">
        <v>639</v>
      </c>
      <c r="AP24" s="1543" t="s">
        <v>639</v>
      </c>
      <c r="AY24" s="1543" t="s">
        <v>578</v>
      </c>
      <c r="BA24" s="1543" t="s">
        <v>579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ГУП СК "Ставрополькрайводоканал"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581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582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581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582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390</v>
      </c>
    </row>
    <row customHeight="1" ht="14.25">
      <c r="Q41" s="279"/>
      <c r="R41" s="377"/>
      <c r="S41" s="2206" t="s">
        <v>88</v>
      </c>
      <c r="T41" s="2047" t="s">
        <v>2316</v>
      </c>
      <c r="U41" s="289"/>
      <c r="V41" s="2207" t="s">
        <v>587</v>
      </c>
      <c r="W41" s="2208"/>
      <c r="X41" s="2208"/>
      <c r="Y41" s="2208"/>
      <c r="Z41" s="2208"/>
      <c r="AA41" s="2208"/>
      <c r="AB41" s="2209"/>
      <c r="AC41" s="2210" t="s">
        <v>588</v>
      </c>
      <c r="AD41" s="2253" t="s">
        <v>2721</v>
      </c>
      <c r="AE41" s="2222"/>
      <c r="AF41" s="2222"/>
      <c r="AG41" s="2254"/>
      <c r="AH41" s="2253" t="s">
        <v>2722</v>
      </c>
      <c r="AI41" s="2222"/>
      <c r="AJ41" s="2222"/>
      <c r="AK41" s="2254"/>
      <c r="AL41" s="2253" t="s">
        <v>2723</v>
      </c>
      <c r="AM41" s="2222"/>
      <c r="AN41" s="2222"/>
      <c r="AO41" s="2254"/>
      <c r="AP41" s="2253" t="s">
        <v>2320</v>
      </c>
      <c r="AQ41" s="2222"/>
      <c r="AR41" s="2222"/>
      <c r="AS41" s="2254"/>
      <c r="AT41" s="2207" t="s">
        <v>587</v>
      </c>
      <c r="AU41" s="2208"/>
      <c r="AV41" s="2208"/>
      <c r="AW41" s="2208"/>
      <c r="AX41" s="2208"/>
      <c r="AY41" s="2208"/>
      <c r="AZ41" s="2209"/>
      <c r="BA41" s="2210" t="s">
        <v>588</v>
      </c>
      <c r="BB41" s="2213" t="s">
        <v>590</v>
      </c>
      <c r="BC41" s="1966"/>
    </row>
    <row customHeight="1" ht="33.75">
      <c r="Q42" s="279"/>
      <c r="R42" s="377"/>
      <c r="S42" s="2206"/>
      <c r="T42" s="2047"/>
      <c r="U42" s="1044"/>
      <c r="V42" s="2029" t="s">
        <v>2321</v>
      </c>
      <c r="W42" s="2030"/>
      <c r="X42" s="2029" t="s">
        <v>2322</v>
      </c>
      <c r="Y42" s="2030"/>
      <c r="Z42" s="2225" t="s">
        <v>2323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2724</v>
      </c>
      <c r="AU42" s="2030"/>
      <c r="AV42" s="2029" t="s">
        <v>2725</v>
      </c>
      <c r="AW42" s="2030"/>
      <c r="AX42" s="2225" t="s">
        <v>2323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244</v>
      </c>
      <c r="C44" s="1406" t="s">
        <v>245</v>
      </c>
      <c r="D44" s="1406" t="s">
        <v>246</v>
      </c>
      <c r="E44" s="1400" t="s">
        <v>595</v>
      </c>
      <c r="F44" s="1400" t="s">
        <v>596</v>
      </c>
      <c r="G44" s="1400" t="s">
        <v>597</v>
      </c>
      <c r="H44" s="1400" t="s">
        <v>598</v>
      </c>
      <c r="I44" s="1400" t="s">
        <v>599</v>
      </c>
      <c r="J44" s="1400" t="s">
        <v>600</v>
      </c>
      <c r="K44" s="1400" t="s">
        <v>601</v>
      </c>
      <c r="L44" s="1400" t="s">
        <v>576</v>
      </c>
      <c r="Q44" s="279"/>
      <c r="R44" s="377"/>
      <c r="S44" s="2206"/>
      <c r="T44" s="2047"/>
      <c r="U44" s="290"/>
      <c r="V44" s="1515" t="s">
        <v>649</v>
      </c>
      <c r="W44" s="1515" t="s">
        <v>650</v>
      </c>
      <c r="X44" s="1515" t="s">
        <v>649</v>
      </c>
      <c r="Y44" s="1515" t="s">
        <v>650</v>
      </c>
      <c r="Z44" s="1525" t="s">
        <v>604</v>
      </c>
      <c r="AA44" s="2203" t="s">
        <v>605</v>
      </c>
      <c r="AB44" s="2204"/>
      <c r="AC44" s="2212"/>
      <c r="AD44" s="2258"/>
      <c r="AE44" s="2259"/>
      <c r="AF44" s="2259"/>
      <c r="AG44" s="2260"/>
      <c r="AH44" s="2258"/>
      <c r="AI44" s="2259"/>
      <c r="AJ44" s="2259"/>
      <c r="AK44" s="2260"/>
      <c r="AL44" s="2258"/>
      <c r="AM44" s="2259"/>
      <c r="AN44" s="2259"/>
      <c r="AO44" s="2260"/>
      <c r="AP44" s="2258"/>
      <c r="AQ44" s="2259"/>
      <c r="AR44" s="2259"/>
      <c r="AS44" s="2260"/>
      <c r="AT44" s="1515" t="s">
        <v>649</v>
      </c>
      <c r="AU44" s="1515" t="s">
        <v>650</v>
      </c>
      <c r="AV44" s="1515" t="s">
        <v>649</v>
      </c>
      <c r="AW44" s="1515" t="s">
        <v>650</v>
      </c>
      <c r="AX44" s="1525" t="s">
        <v>604</v>
      </c>
      <c r="AY44" s="2203" t="s">
        <v>605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159</v>
      </c>
      <c r="T45" s="1287" t="s">
        <v>102</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365</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232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365</v>
      </c>
      <c r="B47" s="1399" t="s">
        <v>366</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559</v>
      </c>
      <c r="BE47" s="508"/>
      <c r="BF47" s="508" t="str">
        <f>IF(T47="","",T47)</f>
        <v>Территория действия тарифа</v>
      </c>
      <c r="BG47" s="508"/>
      <c r="BH47" s="508"/>
    </row>
    <row customHeight="1" ht="33.75">
      <c r="A48" s="1399" t="s">
        <v>365</v>
      </c>
      <c r="B48" s="1399" t="s">
        <v>366</v>
      </c>
      <c r="C48" s="1399" t="s">
        <v>367</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2711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2712</v>
      </c>
      <c r="BE48" s="508"/>
      <c r="BF48" s="508" t="str">
        <f>IF(T48="","",T48)</f>
        <v>Наименование централизованной системы водоотведения</v>
      </c>
      <c r="BG48" s="508"/>
      <c r="BH48" s="508"/>
    </row>
    <row s="2586" customFormat="1" customHeight="1" ht="0">
      <c r="A49" s="1379" t="s">
        <v>365</v>
      </c>
      <c r="B49" s="1379" t="s">
        <v>366</v>
      </c>
      <c r="C49" s="1379" t="s">
        <v>367</v>
      </c>
      <c r="D49" s="1379" t="s">
        <v>2726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563</v>
      </c>
      <c r="BE49" s="508"/>
      <c r="BF49" s="508" t="str">
        <f>IF(T49="","",T49)</f>
        <v/>
      </c>
      <c r="BG49" s="508"/>
      <c r="BH49" s="508"/>
    </row>
    <row s="2586" customFormat="1" customHeight="1" ht="0">
      <c r="A50" s="1379" t="s">
        <v>365</v>
      </c>
      <c r="B50" s="1379" t="s">
        <v>366</v>
      </c>
      <c r="C50" s="1379" t="s">
        <v>367</v>
      </c>
      <c r="D50" s="1379" t="s">
        <v>2726</v>
      </c>
      <c r="E50" s="2192"/>
      <c r="F50" s="2192"/>
      <c r="G50" s="2192"/>
      <c r="H50" s="2192"/>
      <c r="I50" s="2189" t="str">
        <f>S49&amp;".1"</f>
        <v>.1</v>
      </c>
      <c r="J50" s="1379"/>
      <c r="K50" s="1379"/>
      <c r="L50" s="1382" t="s">
        <v>564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365</v>
      </c>
      <c r="B51" s="1379" t="s">
        <v>366</v>
      </c>
      <c r="C51" s="1379" t="s">
        <v>367</v>
      </c>
      <c r="D51" s="1379" t="s">
        <v>2726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365</v>
      </c>
      <c r="B52" s="1399" t="s">
        <v>366</v>
      </c>
      <c r="C52" s="1399" t="s">
        <v>367</v>
      </c>
      <c r="D52" s="1399" t="s">
        <v>2726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2310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2311</v>
      </c>
      <c r="AT53" s="1429"/>
      <c r="AU53" s="1532"/>
      <c r="AV53" s="1429"/>
      <c r="AW53" s="1532"/>
      <c r="AX53" s="1429"/>
      <c r="AY53" s="1429"/>
      <c r="AZ53" s="1429"/>
      <c r="BA53" s="1429"/>
      <c r="BB53" s="1433"/>
      <c r="BC53" s="2187"/>
      <c r="BE53" s="508"/>
      <c r="BF53" s="508"/>
      <c r="BG53" s="508"/>
      <c r="BH53" s="508"/>
    </row>
    <row customHeight="1" ht="11.25">
      <c r="A54" s="1399" t="s">
        <v>365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2719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365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2720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365</v>
      </c>
      <c r="B56" s="1399" t="s">
        <v>366</v>
      </c>
      <c r="C56" s="1399" t="s">
        <v>367</v>
      </c>
      <c r="D56" s="1399" t="s">
        <v>2726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2314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365</v>
      </c>
      <c r="B57" s="1399" t="s">
        <v>366</v>
      </c>
      <c r="C57" s="1399" t="s">
        <v>367</v>
      </c>
      <c r="D57" s="1399" t="s">
        <v>2726</v>
      </c>
      <c r="E57" s="2192"/>
      <c r="F57" s="2192"/>
      <c r="G57" s="2192"/>
      <c r="H57" s="2192"/>
      <c r="I57" s="2219"/>
      <c r="J57" s="2189"/>
      <c r="K57" s="1399"/>
      <c r="L57" s="1400"/>
      <c r="P57" s="2190"/>
      <c r="Q57" s="2190"/>
      <c r="R57" s="352"/>
      <c r="S57" s="1314"/>
      <c r="T57" s="275" t="s">
        <v>638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365</v>
      </c>
      <c r="B58" s="1379" t="s">
        <v>366</v>
      </c>
      <c r="C58" s="1379" t="s">
        <v>367</v>
      </c>
      <c r="D58" s="1379" t="s">
        <v>2726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365</v>
      </c>
      <c r="B59" s="1379" t="s">
        <v>366</v>
      </c>
      <c r="C59" s="1379" t="s">
        <v>367</v>
      </c>
      <c r="D59" s="1379" t="s">
        <v>2726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365</v>
      </c>
      <c r="B60" s="1379" t="s">
        <v>366</v>
      </c>
      <c r="C60" s="1379" t="s">
        <v>367</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365</v>
      </c>
      <c r="B61" s="1379" t="s">
        <v>366</v>
      </c>
      <c r="C61" s="1350"/>
      <c r="D61" s="1350"/>
      <c r="E61" s="2192"/>
      <c r="F61" s="2191"/>
      <c r="G61" s="1350"/>
      <c r="H61" s="1350"/>
      <c r="I61" s="1350"/>
      <c r="J61" s="1350"/>
      <c r="K61" s="1350"/>
      <c r="L61" s="1530"/>
      <c r="M61" s="1357"/>
      <c r="N61" s="1357"/>
      <c r="P61" s="1352"/>
      <c r="Q61" s="1353"/>
      <c r="R61" s="1352"/>
      <c r="S61" s="1358"/>
      <c r="T61" s="1361" t="s">
        <v>532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365</v>
      </c>
      <c r="B62" s="1379"/>
      <c r="C62" s="1379"/>
      <c r="D62" s="1379"/>
      <c r="E62" s="2191"/>
      <c r="F62" s="1379"/>
      <c r="G62" s="1379"/>
      <c r="H62" s="1379"/>
      <c r="I62" s="1379"/>
      <c r="J62" s="1379"/>
      <c r="K62" s="1379"/>
      <c r="L62" s="1382"/>
      <c r="M62" s="1357"/>
      <c r="N62" s="1357"/>
      <c r="O62" s="526"/>
      <c r="P62" s="385"/>
      <c r="Q62" s="1380"/>
      <c r="R62" s="385"/>
      <c r="S62" s="1358"/>
      <c r="T62" s="1361" t="s">
        <v>533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534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606</v>
      </c>
      <c r="T65" s="2218" t="s">
        <v>2325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606</v>
      </c>
      <c r="T67" s="2218" t="s">
        <v>2326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DF2B-67F3-D692-DF7E-6FB3115CF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8651-DFF6-A4DB-E48C-7C16DE33F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8B894-991C-B6F7-2F02-DCF25B1F2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6D3BC-030C-91FB-12FE-6623603D43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AF249-39F3-D38E-E73C-68D5E4DBD0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E283F-F136-50D7-2638-BFC953981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91073-3E9E-CFA1-C257-D148D992F55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49" width="9.140625" hidden="1"/>
    <col min="2" max="2" style="4950" width="9.140625" hidden="1"/>
    <col min="3" max="3" style="4951" width="3.7109375" customWidth="1"/>
    <col min="4" max="4" style="4957" width="7.00390625" customWidth="1"/>
    <col min="5" max="5" style="4957" width="23.140625" customWidth="1"/>
    <col min="6" max="6" style="4957" width="16.00390625" customWidth="1"/>
    <col min="7" max="7" style="4957" width="14.8515625" customWidth="1"/>
    <col min="8" max="8" style="4957" width="47.8515625" customWidth="1"/>
    <col min="9" max="9" style="4957" width="115.7109375" customWidth="1"/>
    <col min="10" max="10" style="4957" width="3.7109375" customWidth="1"/>
    <col min="11" max="12" style="4957" width="9.140625"/>
  </cols>
  <sheetData>
    <row customHeight="1" ht="14.25" hidden="1"/>
    <row customHeight="1" ht="14.25" hidden="1"/>
    <row customHeight="1" ht="14.25" hidden="1"/>
    <row customHeight="1" ht="3"/>
    <row s="2668" customFormat="1" customHeight="1" ht="30">
      <c r="A5" s="101"/>
      <c r="C5" s="75"/>
      <c r="D5" s="1939" t="s">
        <v>2727</v>
      </c>
      <c r="E5" s="1939"/>
      <c r="F5" s="1939"/>
      <c r="G5" s="1939"/>
      <c r="H5" s="1939"/>
      <c r="I5" s="251"/>
    </row>
    <row customHeight="1" ht="3" hidden="1">
      <c r="D6" s="108"/>
      <c r="E6" s="108"/>
      <c r="F6" s="108"/>
      <c r="G6" s="108"/>
      <c r="H6" s="108"/>
      <c r="I6" s="108"/>
    </row>
    <row s="4949" customFormat="1" customHeight="1" ht="14.25">
      <c r="B7" s="105"/>
      <c r="C7" s="106"/>
      <c r="D7" s="109"/>
      <c r="E7" s="109"/>
      <c r="F7" s="109"/>
      <c r="G7" s="109"/>
      <c r="H7" s="762"/>
      <c r="I7" s="109"/>
      <c r="J7" s="110"/>
    </row>
    <row customHeight="1" ht="14.25">
      <c r="D8" s="2047" t="s">
        <v>389</v>
      </c>
      <c r="E8" s="2047"/>
      <c r="F8" s="2047"/>
      <c r="G8" s="2047"/>
      <c r="H8" s="2047"/>
      <c r="I8" s="2047" t="s">
        <v>390</v>
      </c>
    </row>
    <row customHeight="1" ht="27.75">
      <c r="D9" s="2047" t="s">
        <v>88</v>
      </c>
      <c r="E9" s="2047" t="s">
        <v>2728</v>
      </c>
      <c r="F9" s="2047"/>
      <c r="G9" s="2047"/>
      <c r="H9" s="2047"/>
      <c r="I9" s="2047"/>
    </row>
    <row customHeight="1" ht="22.5">
      <c r="D10" s="2047"/>
      <c r="E10" s="113" t="s">
        <v>2729</v>
      </c>
      <c r="F10" s="113" t="s">
        <v>2730</v>
      </c>
      <c r="G10" s="113" t="s">
        <v>2731</v>
      </c>
      <c r="H10" s="113" t="s">
        <v>481</v>
      </c>
      <c r="I10" s="2047"/>
    </row>
    <row customHeight="1" ht="12" hidden="1">
      <c r="D11" s="72" t="s">
        <v>159</v>
      </c>
      <c r="E11" s="72" t="s">
        <v>91</v>
      </c>
      <c r="F11" s="72" t="s">
        <v>113</v>
      </c>
      <c r="G11" s="72" t="s">
        <v>92</v>
      </c>
      <c r="H11" s="72" t="s">
        <v>93</v>
      </c>
      <c r="I11" s="72" t="s">
        <v>123</v>
      </c>
    </row>
    <row s="4955" customFormat="1" customHeight="1" ht="24.75">
      <c r="A12" s="131" t="s">
        <v>90</v>
      </c>
      <c r="B12" s="111" t="s">
        <v>18</v>
      </c>
      <c r="C12" s="112"/>
      <c r="D12" s="114" t="s">
        <v>159</v>
      </c>
      <c r="E12" s="387"/>
      <c r="F12" s="387"/>
      <c r="G12" s="1780" t="s">
        <v>18</v>
      </c>
      <c r="H12" s="388"/>
      <c r="I12" s="2006" t="s">
        <v>2732</v>
      </c>
      <c r="K12" s="258"/>
      <c r="L12" s="259"/>
    </row>
    <row customHeight="1" ht="15">
      <c r="A13" s="107"/>
      <c r="B13" s="107"/>
      <c r="C13" s="107"/>
      <c r="D13" s="95"/>
      <c r="E13" s="116" t="s">
        <v>638</v>
      </c>
      <c r="F13" s="115"/>
      <c r="G13" s="115"/>
      <c r="H13" s="200"/>
      <c r="I13" s="2008"/>
    </row>
    <row customHeight="1" ht="3">
      <c r="A14" s="107"/>
      <c r="B14" s="107"/>
      <c r="C14" s="107"/>
    </row>
    <row customHeight="1" ht="27.75">
      <c r="E15" s="2401" t="s">
        <v>2733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B519-78E3-783F-5447-F2430796005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41" width="9.140625" hidden="1"/>
    <col min="3" max="3" style="4976" width="3.7109375" customWidth="1"/>
    <col min="4" max="4" style="3141" width="6.28125" customWidth="1"/>
    <col min="5" max="5" style="3141" width="94.8515625" customWidth="1"/>
    <col min="6" max="9" style="314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2734</v>
      </c>
      <c r="E7" s="2403"/>
      <c r="F7" s="253"/>
    </row>
    <row customHeight="1" ht="3">
      <c r="C8" s="77"/>
      <c r="D8" s="55"/>
      <c r="E8" s="55"/>
    </row>
    <row customHeight="1" ht="15.75">
      <c r="C9" s="77"/>
      <c r="D9" s="91" t="s">
        <v>88</v>
      </c>
      <c r="E9" s="246" t="s">
        <v>2735</v>
      </c>
    </row>
    <row customHeight="1" ht="12">
      <c r="C10" s="77"/>
      <c r="D10" s="72" t="s">
        <v>159</v>
      </c>
      <c r="E10" s="72" t="s">
        <v>102</v>
      </c>
    </row>
    <row customHeight="1" ht="11.25" hidden="1">
      <c r="C11" s="77"/>
      <c r="D11" s="136">
        <v>0</v>
      </c>
      <c r="E11" s="247"/>
    </row>
    <row customHeight="1" ht="15">
      <c r="C12" s="122"/>
      <c r="D12" s="99">
        <v>1</v>
      </c>
      <c r="E12" s="380"/>
    </row>
    <row customHeight="1" ht="12">
      <c r="C13" s="77"/>
      <c r="D13" s="248"/>
      <c r="E13" s="249" t="s">
        <v>2736</v>
      </c>
    </row>
    <row customHeight="1" ht="3"/>
    <row customHeight="1" ht="22.5">
      <c r="C15" s="123"/>
      <c r="D15" s="2404" t="s">
        <v>2737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8820C-ACD4-8338-FEAD-661B9315CB18}" mc:Ignorable="x14ac xr xr2 xr3">
  <dimension ref="A1:I24"/>
  <sheetViews>
    <sheetView topLeftCell="C4" showGridLines="0" zoomScale="90" workbookViewId="0">
      <selection activeCell="A1" sqref="A1"/>
    </sheetView>
  </sheetViews>
  <sheetFormatPr defaultColWidth="9.140625" customHeight="1" defaultRowHeight="11.25"/>
  <cols>
    <col min="1" max="2" style="2936" width="15.00390625" hidden="1" customWidth="1"/>
    <col min="3" max="3" style="3015" width="3.7109375" customWidth="1"/>
    <col min="4" max="4" style="3016" width="6.8515625" customWidth="1"/>
    <col min="5" max="5" style="3015" width="52.28125" customWidth="1"/>
    <col min="6" max="6" style="3015" width="48.8515625" customWidth="1"/>
    <col min="7" max="7" style="3015" width="93.421875" customWidth="1"/>
    <col min="8" max="8" style="3015" width="9.140625"/>
    <col min="9" max="9" style="3015" width="65.00390625" customWidth="1"/>
  </cols>
  <sheetData>
    <row customHeight="1" ht="11.25" hidden="1">
      <c r="A1" s="509" t="s">
        <v>388</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3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389</v>
      </c>
      <c r="E9" s="2042"/>
      <c r="F9" s="2042"/>
      <c r="G9" s="2046" t="s">
        <v>390</v>
      </c>
    </row>
    <row customHeight="1" ht="11.25">
      <c r="A10" s="510"/>
      <c r="B10" s="510"/>
      <c r="C10" s="465"/>
      <c r="D10" s="1510" t="s">
        <v>88</v>
      </c>
      <c r="E10" s="1512" t="s">
        <v>391</v>
      </c>
      <c r="F10" s="1512" t="s">
        <v>392</v>
      </c>
      <c r="G10" s="2047"/>
    </row>
    <row customHeight="1" ht="12">
      <c r="A11" s="510"/>
      <c r="B11" s="510"/>
      <c r="C11" s="465"/>
      <c r="D11" s="472"/>
      <c r="E11" s="472"/>
      <c r="F11" s="472"/>
      <c r="G11" s="472"/>
    </row>
    <row customHeight="1" ht="22.5">
      <c r="A12" s="510"/>
      <c r="B12" s="510"/>
      <c r="C12" s="465"/>
      <c r="D12" s="1556">
        <v>1</v>
      </c>
      <c r="E12" s="482" t="s">
        <v>2738</v>
      </c>
      <c r="F12" s="1913" t="str">
        <f>IF(org="","",org)</f>
        <v>ГУП СК "Ставрополькрайводоканал"</v>
      </c>
      <c r="G12" s="482" t="s">
        <v>2739</v>
      </c>
      <c r="H12" s="1569"/>
    </row>
    <row customHeight="1" ht="18.75">
      <c r="A13" s="510"/>
      <c r="B13" s="510"/>
      <c r="C13" s="465"/>
      <c r="D13" s="1556">
        <v>2</v>
      </c>
      <c r="E13" s="1563" t="s">
        <v>2740</v>
      </c>
      <c r="F13" s="1557" t="s">
        <v>395</v>
      </c>
      <c r="G13" s="482"/>
      <c r="H13" s="1569"/>
    </row>
    <row customHeight="1" ht="18.75">
      <c r="A14" s="510"/>
      <c r="B14" s="510"/>
      <c r="C14" s="465"/>
      <c r="D14" s="1559" t="s">
        <v>552</v>
      </c>
      <c r="E14" s="1560" t="s">
        <v>2741</v>
      </c>
      <c r="F14" s="1562"/>
      <c r="G14" s="1561" t="s">
        <v>2742</v>
      </c>
      <c r="H14" s="1569"/>
    </row>
    <row customHeight="1" ht="18.75">
      <c r="A15" s="510"/>
      <c r="B15" s="510"/>
      <c r="C15" s="465"/>
      <c r="D15" s="1559" t="s">
        <v>396</v>
      </c>
      <c r="E15" s="1560" t="s">
        <v>2743</v>
      </c>
      <c r="F15" s="1562"/>
      <c r="G15" s="1561" t="s">
        <v>2744</v>
      </c>
      <c r="H15" s="1569"/>
    </row>
    <row customHeight="1" ht="36.75">
      <c r="A16" s="510"/>
      <c r="B16" s="510"/>
      <c r="C16" s="465"/>
      <c r="D16" s="1559" t="s">
        <v>399</v>
      </c>
      <c r="E16" s="1558" t="s">
        <v>2745</v>
      </c>
      <c r="F16" s="1567"/>
      <c r="G16" s="482" t="s">
        <v>2746</v>
      </c>
      <c r="H16" s="1569"/>
    </row>
    <row customHeight="1" ht="45">
      <c r="A17" s="510"/>
      <c r="B17" s="510"/>
      <c r="C17" s="465"/>
      <c r="D17" s="1556">
        <v>3</v>
      </c>
      <c r="E17" s="1563" t="s">
        <v>2747</v>
      </c>
      <c r="F17" s="1562"/>
      <c r="G17" s="482" t="s">
        <v>2748</v>
      </c>
      <c r="H17" s="1569"/>
    </row>
    <row customHeight="1" ht="45">
      <c r="A18" s="1511">
        <v>1</v>
      </c>
      <c r="B18" s="510"/>
      <c r="C18" s="1513"/>
      <c r="D18" s="1556" t="s">
        <v>91</v>
      </c>
      <c r="E18" s="1563" t="s">
        <v>2749</v>
      </c>
      <c r="F18" s="1562"/>
      <c r="G18" s="482" t="s">
        <v>2748</v>
      </c>
      <c r="H18" s="1569"/>
      <c r="I18" s="862"/>
    </row>
    <row customHeight="1" ht="22.5">
      <c r="A19" s="510"/>
      <c r="B19" s="510"/>
      <c r="C19" s="465"/>
      <c r="D19" s="1556" t="s">
        <v>113</v>
      </c>
      <c r="E19" s="1563" t="s">
        <v>2750</v>
      </c>
      <c r="F19" s="1557" t="s">
        <v>395</v>
      </c>
      <c r="G19" s="2405" t="s">
        <v>2751</v>
      </c>
      <c r="H19" s="483"/>
    </row>
    <row s="4995" customFormat="1" customHeight="1" ht="5.25" hidden="1">
      <c r="A20" s="510"/>
      <c r="B20" s="510"/>
      <c r="C20" s="1565"/>
      <c r="D20" s="1564" t="s">
        <v>1719</v>
      </c>
      <c r="E20" s="1027"/>
      <c r="F20" s="1026"/>
      <c r="G20" s="2406"/>
    </row>
    <row customHeight="1" ht="15">
      <c r="A21" s="510"/>
      <c r="B21" s="510"/>
      <c r="C21" s="465"/>
      <c r="D21" s="475"/>
      <c r="E21" s="422" t="s">
        <v>430</v>
      </c>
      <c r="F21" s="477"/>
      <c r="G21" s="2407"/>
      <c r="H21" s="1569"/>
    </row>
    <row s="2936" customFormat="1" customHeight="1" ht="24.75">
      <c r="A22" s="510"/>
      <c r="B22" s="510"/>
      <c r="C22" s="510"/>
      <c r="D22" s="1556" t="s">
        <v>92</v>
      </c>
      <c r="E22" s="482" t="s">
        <v>2752</v>
      </c>
      <c r="F22" s="1562"/>
      <c r="G22" s="482" t="s">
        <v>2753</v>
      </c>
      <c r="H22" s="1568"/>
    </row>
    <row s="2936" customFormat="1" customHeight="1" ht="18.75">
      <c r="A23" s="510"/>
      <c r="B23" s="510"/>
      <c r="C23" s="510"/>
      <c r="D23" s="1556" t="s">
        <v>93</v>
      </c>
      <c r="E23" s="1563" t="s">
        <v>2754</v>
      </c>
      <c r="F23" s="1567"/>
      <c r="G23" s="482" t="s">
        <v>2755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0850A-6408-7233-CEAD-73C3C0879703}" mc:Ignorable="x14ac xr xr2 xr3">
  <dimension ref="A1:IT23"/>
  <sheetViews>
    <sheetView topLeftCell="D4" showGridLines="0" zoomScale="90" workbookViewId="0">
      <selection activeCell="A1" sqref="A1"/>
    </sheetView>
  </sheetViews>
  <sheetFormatPr defaultColWidth="9.140625" customHeight="1" defaultRowHeight="14.25"/>
  <cols>
    <col min="1" max="1" style="2867" width="9.140625" hidden="1"/>
    <col min="2" max="2" style="2650" width="9.140625" hidden="1"/>
    <col min="3" max="3" style="2867" width="3.7109375" hidden="1" customWidth="1"/>
    <col min="4" max="4" style="3079" width="3.8515625" customWidth="1"/>
    <col min="5" max="5" style="2867" width="6.28125" customWidth="1"/>
    <col min="6" max="6" style="2867" width="46.7109375" customWidth="1"/>
    <col min="7" max="8" style="2867" width="16.7109375" customWidth="1"/>
    <col min="9" max="9" style="2867" width="35.28125" customWidth="1"/>
    <col min="10" max="10" style="2867"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67"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389</v>
      </c>
      <c r="F7" s="1941"/>
      <c r="G7" s="1941"/>
      <c r="H7" s="1941"/>
      <c r="I7" s="1941"/>
      <c r="J7" s="2408" t="s">
        <v>390</v>
      </c>
      <c r="K7" s="508"/>
      <c r="L7" s="508"/>
      <c r="M7" s="508"/>
      <c r="N7" s="508"/>
      <c r="O7" s="212"/>
      <c r="P7" s="508"/>
      <c r="Q7" s="211"/>
      <c r="R7" s="211"/>
      <c r="S7" s="211"/>
      <c r="T7" s="211"/>
    </row>
    <row s="2631" customFormat="1" customHeight="1" ht="20.25">
      <c r="A8" s="1169"/>
      <c r="B8" s="1174"/>
      <c r="C8" s="1169"/>
      <c r="D8" s="1531"/>
      <c r="E8" s="1591" t="s">
        <v>88</v>
      </c>
      <c r="F8" s="1576" t="s">
        <v>2756</v>
      </c>
      <c r="G8" s="1576" t="s">
        <v>49</v>
      </c>
      <c r="H8" s="1576" t="s">
        <v>51</v>
      </c>
      <c r="I8" s="1576" t="s">
        <v>2757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2758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2759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9" customFormat="1" customHeight="1" ht="10.5">
      <c r="B14" s="844"/>
      <c r="D14" s="168"/>
      <c r="K14" s="508"/>
      <c r="L14" s="508"/>
      <c r="M14" s="508"/>
      <c r="N14" s="508"/>
      <c r="O14" s="212"/>
      <c r="P14" s="508"/>
      <c r="Q14" s="211"/>
      <c r="R14" s="211"/>
      <c r="S14" s="211"/>
      <c r="T14" s="211"/>
    </row>
    <row s="2669"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C662-E316-168A-1991-14731A3AFFA2}" mc:Ignorable="x14ac xr xr2 xr3">
  <dimension ref="A1:IV14"/>
  <sheetViews>
    <sheetView topLeftCell="D4" showGridLines="0" zoomScale="90" workbookViewId="0">
      <selection activeCell="A1" sqref="A1"/>
    </sheetView>
  </sheetViews>
  <sheetFormatPr defaultColWidth="9.140625" customHeight="1" defaultRowHeight="14.25"/>
  <cols>
    <col min="1" max="1" style="2867" width="9.140625" hidden="1"/>
    <col min="2" max="2" style="2650" width="9.140625" hidden="1"/>
    <col min="3" max="3" style="2867" width="3.7109375" hidden="1" customWidth="1"/>
    <col min="4" max="4" style="3079" width="3.8515625" customWidth="1"/>
    <col min="5" max="5" style="2867" width="6.28125" customWidth="1"/>
    <col min="6" max="6" style="2867" width="27.28125" customWidth="1"/>
    <col min="7" max="7" style="2867" width="16.7109375" customWidth="1"/>
    <col min="8" max="8" style="2867" width="12.7109375" customWidth="1"/>
    <col min="9" max="9" style="2867" width="32.140625" customWidth="1"/>
    <col min="10" max="11" style="2867" width="41.8515625" customWidth="1"/>
    <col min="12" max="12" style="2867"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67" width="9.140625"/>
  </cols>
  <sheetData>
    <row customHeight="1" ht="14.25" hidden="1"/>
    <row s="2640" customFormat="1" customHeight="1" ht="22.5" hidden="1">
      <c r="A2" s="841"/>
      <c r="B2" s="1174">
        <v>1</v>
      </c>
      <c r="C2" s="1174"/>
      <c r="D2" s="811"/>
      <c r="E2" s="1520"/>
      <c r="F2" s="1575" t="str">
        <f>IF(ROIV_INFO_NAME="","",ROIV_INFO_NAME)</f>
        <v>ГУП СК "Ставрополькрайводоканал"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389</v>
      </c>
      <c r="F7" s="1941"/>
      <c r="G7" s="1941"/>
      <c r="H7" s="1941"/>
      <c r="I7" s="1941"/>
      <c r="J7" s="1941"/>
      <c r="K7" s="1941"/>
      <c r="L7" s="2408" t="s">
        <v>390</v>
      </c>
      <c r="M7" s="508"/>
      <c r="N7" s="508"/>
      <c r="O7" s="508"/>
      <c r="P7" s="508"/>
      <c r="Q7" s="212"/>
      <c r="R7" s="508"/>
      <c r="S7" s="211"/>
      <c r="T7" s="211"/>
      <c r="U7" s="211"/>
      <c r="V7" s="211"/>
    </row>
    <row s="2631" customFormat="1" customHeight="1" ht="47.25">
      <c r="A8" s="1169"/>
      <c r="B8" s="1174"/>
      <c r="C8" s="1169"/>
      <c r="D8" s="1531"/>
      <c r="E8" s="2413" t="s">
        <v>88</v>
      </c>
      <c r="F8" s="2413" t="s">
        <v>2738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2760</v>
      </c>
      <c r="H9" s="1573" t="s">
        <v>2761</v>
      </c>
      <c r="I9" s="1573" t="s">
        <v>2762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ГУП СК "Ставрополькрайводоканал"</v>
      </c>
      <c r="G10" s="1778" t="s">
        <v>18</v>
      </c>
      <c r="H10" s="1570"/>
      <c r="I10" s="1570"/>
      <c r="J10" s="1178"/>
      <c r="K10" s="1178"/>
      <c r="L10" s="2410" t="s">
        <v>2763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2764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68D3A-7661-5DCD-B2CA-C9808AA0205D}" mc:Ignorable="x14ac xr xr2 xr3">
  <dimension ref="A1:IY16"/>
  <sheetViews>
    <sheetView topLeftCell="D5" showGridLines="0" zoomScale="90" workbookViewId="0">
      <selection activeCell="A1" sqref="A1"/>
    </sheetView>
  </sheetViews>
  <sheetFormatPr defaultColWidth="9.140625" customHeight="1" defaultRowHeight="14.25"/>
  <cols>
    <col min="1" max="1" style="2867" width="9.140625" hidden="1"/>
    <col min="2" max="2" style="2650" width="9.140625" hidden="1"/>
    <col min="3" max="3" style="2867" width="3.7109375" hidden="1" customWidth="1"/>
    <col min="4" max="4" style="3079" width="3.8515625" customWidth="1"/>
    <col min="5" max="5" style="2867" width="10.140625" customWidth="1"/>
    <col min="6" max="6" style="2867" width="6.28125" customWidth="1"/>
    <col min="7" max="7" style="2867" width="27.28125" customWidth="1"/>
    <col min="8" max="8" style="2867" width="29.28125" customWidth="1"/>
    <col min="9" max="9" style="2867" width="25.421875" customWidth="1"/>
    <col min="10" max="10" style="2867" width="5.57421875" customWidth="1"/>
    <col min="11" max="11" style="2867" width="6.57421875" customWidth="1"/>
    <col min="12" max="12" style="2867" width="41.8515625" customWidth="1"/>
    <col min="13" max="13" style="2867" width="42.421875" customWidth="1"/>
    <col min="14" max="14" style="2867" width="41.57421875" customWidth="1"/>
    <col min="15" max="15" style="2867"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67" width="9.140625"/>
  </cols>
  <sheetData>
    <row customHeight="1" ht="14.25" hidden="1"/>
    <row s="2640"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2765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2766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033" customFormat="1" customHeight="1" ht="42.75">
      <c r="A8" s="1504"/>
      <c r="B8" s="1514"/>
      <c r="C8" s="1504"/>
      <c r="D8" s="1531"/>
      <c r="E8" s="1594" t="s">
        <v>390</v>
      </c>
      <c r="F8" s="1594"/>
      <c r="G8" s="1595" t="s">
        <v>394</v>
      </c>
      <c r="H8" s="1595" t="s">
        <v>2767</v>
      </c>
      <c r="I8" s="1595" t="s">
        <v>398</v>
      </c>
      <c r="J8" s="2421"/>
      <c r="K8" s="2422"/>
      <c r="L8" s="2423"/>
      <c r="M8" s="1595" t="s">
        <v>2768</v>
      </c>
      <c r="N8" s="1595" t="s">
        <v>2769</v>
      </c>
      <c r="O8" s="1595" t="s">
        <v>2770</v>
      </c>
      <c r="P8" s="1586"/>
      <c r="Q8" s="1586"/>
      <c r="R8" s="1586"/>
      <c r="S8" s="1586"/>
      <c r="T8" s="1587"/>
      <c r="U8" s="1586"/>
      <c r="V8" s="1588"/>
      <c r="W8" s="1588"/>
      <c r="X8" s="1588"/>
      <c r="Y8" s="1588"/>
    </row>
    <row s="2631" customFormat="1" customHeight="1" ht="47.25">
      <c r="A9" s="1169"/>
      <c r="B9" s="1174"/>
      <c r="C9" s="1169"/>
      <c r="D9" s="1531"/>
      <c r="E9" s="2071" t="s">
        <v>389</v>
      </c>
      <c r="F9" s="2414" t="s">
        <v>88</v>
      </c>
      <c r="G9" s="2414" t="s">
        <v>393</v>
      </c>
      <c r="H9" s="2414" t="s">
        <v>2771</v>
      </c>
      <c r="I9" s="2414"/>
      <c r="J9" s="2414" t="s">
        <v>2772</v>
      </c>
      <c r="K9" s="2414"/>
      <c r="L9" s="2414"/>
      <c r="M9" s="2414" t="s">
        <v>2773</v>
      </c>
      <c r="N9" s="2414" t="s">
        <v>2774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2775</v>
      </c>
      <c r="I10" s="158" t="s">
        <v>397</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2765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2759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437A8-5B55-D24A-00A9-7DDE1CDC3891}"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3141" width="9.140625" hidden="1"/>
    <col min="3" max="3" style="4976" width="3.7109375" customWidth="1"/>
    <col min="4" max="4" style="3141" width="6.28125" customWidth="1"/>
    <col min="5" max="5" style="3141" width="94.8515625" customWidth="1"/>
    <col min="6" max="12" style="314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2776</v>
      </c>
      <c r="E7" s="1939"/>
      <c r="F7" s="253"/>
    </row>
    <row customHeight="1" ht="3">
      <c r="C8" s="77"/>
      <c r="D8" s="55"/>
      <c r="E8" s="55"/>
    </row>
    <row customHeight="1" ht="15.75">
      <c r="C9" s="77"/>
      <c r="D9" s="91" t="s">
        <v>88</v>
      </c>
      <c r="E9" s="94" t="s">
        <v>376</v>
      </c>
    </row>
    <row customHeight="1" ht="12">
      <c r="C10" s="77"/>
      <c r="D10" s="72" t="s">
        <v>159</v>
      </c>
      <c r="E10" s="72" t="s">
        <v>102</v>
      </c>
    </row>
    <row customHeight="1" ht="15" hidden="1">
      <c r="C11" s="77"/>
      <c r="D11" s="99">
        <v>0</v>
      </c>
      <c r="E11" s="135"/>
    </row>
    <row customHeight="1" ht="14.25">
      <c r="C12" s="77"/>
      <c r="D12" s="95"/>
      <c r="E12" s="93" t="s">
        <v>2736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BB8D-DBC8-8812-5EEB-397335A4DCA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3" width="1.7109375" customWidth="1"/>
    <col min="2" max="2" style="3173" width="34.57421875" customWidth="1"/>
    <col min="3" max="3" style="3173" width="85.57421875" customWidth="1"/>
    <col min="4" max="4" style="3173" width="17.7109375" customWidth="1"/>
    <col min="5" max="5" style="3173" width="9.140625"/>
  </cols>
  <sheetData>
    <row customHeight="1" ht="3"/>
    <row customHeight="1" ht="22.5">
      <c r="B2" s="2427" t="s">
        <v>2777</v>
      </c>
      <c r="C2" s="2427"/>
      <c r="D2" s="2427"/>
      <c r="E2" s="254"/>
    </row>
    <row customHeight="1" ht="3"/>
    <row customHeight="1" ht="21.75">
      <c r="B4" s="389" t="s">
        <v>2778</v>
      </c>
      <c r="C4" s="389" t="s">
        <v>2779</v>
      </c>
      <c r="D4" s="389" t="s">
        <v>2780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47AA-8A04-71CE-0F0E-9D92E619A4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647E1-34EC-174C-0A94-027F7D51843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2781</v>
      </c>
      <c r="B1" s="774" t="s">
        <v>2782</v>
      </c>
      <c r="C1" s="2428" t="s">
        <v>2783</v>
      </c>
      <c r="D1" s="2429"/>
      <c r="E1" s="846" t="s">
        <v>2784</v>
      </c>
    </row>
    <row customHeight="1" ht="11.25">
      <c r="A2" s="767"/>
      <c r="B2" s="775" t="s">
        <v>23</v>
      </c>
      <c r="C2" s="763"/>
      <c r="D2" s="774"/>
      <c r="E2" s="846"/>
    </row>
    <row customHeight="1" ht="11.25">
      <c r="A3" s="778"/>
      <c r="B3" s="776" t="s">
        <v>29</v>
      </c>
      <c r="C3" s="763"/>
      <c r="D3" s="774"/>
      <c r="E3" s="846"/>
    </row>
    <row customHeight="1" ht="11.25">
      <c r="A4" s="779"/>
      <c r="B4" s="776" t="s">
        <v>1146</v>
      </c>
      <c r="C4" s="763"/>
      <c r="D4" s="774"/>
      <c r="E4" s="846"/>
    </row>
    <row customHeight="1" ht="11.25">
      <c r="A5" s="791"/>
      <c r="B5" s="776" t="s">
        <v>1139</v>
      </c>
      <c r="C5" s="766" t="s">
        <v>1392</v>
      </c>
      <c r="D5" s="890" t="s">
        <v>2785</v>
      </c>
      <c r="E5" s="846"/>
    </row>
    <row s="4015" customFormat="1" customHeight="1" ht="11.25">
      <c r="A6" s="777"/>
      <c r="B6" s="776" t="s">
        <v>1151</v>
      </c>
      <c r="C6" s="763"/>
      <c r="D6" s="774"/>
      <c r="E6" s="846"/>
    </row>
    <row customHeight="1" ht="11.25">
      <c r="A7" s="765"/>
      <c r="B7" s="776" t="s">
        <v>1161</v>
      </c>
      <c r="C7" s="763"/>
      <c r="D7" s="774"/>
      <c r="E7" s="846"/>
    </row>
    <row customHeight="1" ht="11.25">
      <c r="A8" s="766"/>
      <c r="B8" s="776" t="s">
        <v>1156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89793-591A-598F-0EF4-E8F87AF53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C895F-96E1-1674-8E5D-A6CC9B43C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E20C-8396-6036-2D89-6901988592DA}"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073" width="9.140625"/>
    <col min="3" max="3" style="5073" width="20.7109375" customWidth="1"/>
    <col min="4" max="4" style="5073" width="25.140625" customWidth="1"/>
    <col min="5" max="9" style="5073" width="9.140625"/>
  </cols>
  <sheetData>
    <row customHeight="1" ht="11.25">
      <c r="A1" s="53" t="s">
        <v>2786</v>
      </c>
      <c r="B1" s="53" t="s">
        <v>2787</v>
      </c>
      <c r="C1" s="53" t="s">
        <v>2788</v>
      </c>
      <c r="D1" s="53" t="s">
        <v>2789</v>
      </c>
      <c r="E1" s="53" t="s">
        <v>2790</v>
      </c>
      <c r="F1" s="53" t="s">
        <v>2791</v>
      </c>
      <c r="G1" s="53" t="s">
        <v>2792</v>
      </c>
      <c r="H1" s="53" t="s">
        <v>2793</v>
      </c>
      <c r="I1" s="53" t="s">
        <v>2794</v>
      </c>
    </row>
    <row customHeight="1" ht="11.25">
      <c r="A2" s="5074" t="s">
        <v>2795</v>
      </c>
      <c r="B2" s="5074" t="s">
        <v>14</v>
      </c>
      <c r="C2" s="5074" t="s">
        <v>2796</v>
      </c>
      <c r="D2" s="5074" t="s">
        <v>2797</v>
      </c>
      <c r="E2" s="5074" t="s">
        <v>2798</v>
      </c>
      <c r="F2" s="5074" t="s">
        <v>2799</v>
      </c>
      <c r="G2" s="5074" t="s">
        <v>2800</v>
      </c>
      <c r="H2" s="5074" t="s">
        <v>18</v>
      </c>
      <c r="I2" s="5074" t="s">
        <v>693</v>
      </c>
    </row>
    <row customHeight="1" ht="11.25">
      <c r="A3" s="5074" t="s">
        <v>2795</v>
      </c>
      <c r="B3" s="5074" t="s">
        <v>14</v>
      </c>
      <c r="C3" s="5074" t="s">
        <v>2801</v>
      </c>
      <c r="D3" s="5074" t="s">
        <v>2802</v>
      </c>
      <c r="E3" s="5074" t="s">
        <v>2803</v>
      </c>
      <c r="F3" s="5074" t="s">
        <v>2804</v>
      </c>
      <c r="G3" s="5074" t="s">
        <v>2805</v>
      </c>
      <c r="H3" s="5074" t="s">
        <v>18</v>
      </c>
      <c r="I3" s="5074" t="s">
        <v>693</v>
      </c>
    </row>
    <row customHeight="1" ht="11.25">
      <c r="A4" s="5074" t="s">
        <v>2795</v>
      </c>
      <c r="B4" s="5074" t="s">
        <v>14</v>
      </c>
      <c r="C4" s="5074" t="s">
        <v>2806</v>
      </c>
      <c r="D4" s="5074" t="s">
        <v>2807</v>
      </c>
      <c r="E4" s="5074" t="s">
        <v>2808</v>
      </c>
      <c r="F4" s="5074" t="s">
        <v>2804</v>
      </c>
      <c r="G4" s="5074" t="s">
        <v>2809</v>
      </c>
      <c r="H4" s="5074" t="s">
        <v>18</v>
      </c>
      <c r="I4" s="5074" t="s">
        <v>693</v>
      </c>
    </row>
    <row customHeight="1" ht="11.25">
      <c r="A5" s="5074" t="s">
        <v>2795</v>
      </c>
      <c r="B5" s="5074" t="s">
        <v>14</v>
      </c>
      <c r="C5" s="5074" t="s">
        <v>2810</v>
      </c>
      <c r="D5" s="5074" t="s">
        <v>2811</v>
      </c>
      <c r="E5" s="5074" t="s">
        <v>2812</v>
      </c>
      <c r="F5" s="5074" t="s">
        <v>2813</v>
      </c>
      <c r="G5" s="5074" t="s">
        <v>2814</v>
      </c>
      <c r="H5" s="5074" t="s">
        <v>18</v>
      </c>
      <c r="I5" s="5074" t="s">
        <v>693</v>
      </c>
    </row>
    <row customHeight="1" ht="11.25">
      <c r="A6" s="5074" t="s">
        <v>2795</v>
      </c>
      <c r="B6" s="5074" t="s">
        <v>14</v>
      </c>
      <c r="C6" s="5074" t="s">
        <v>2815</v>
      </c>
      <c r="D6" s="5074" t="s">
        <v>2816</v>
      </c>
      <c r="E6" s="5074" t="s">
        <v>2817</v>
      </c>
      <c r="F6" s="5074" t="s">
        <v>2818</v>
      </c>
      <c r="G6" s="5074" t="s">
        <v>18</v>
      </c>
      <c r="H6" s="5074" t="s">
        <v>18</v>
      </c>
      <c r="I6" s="5074" t="s">
        <v>693</v>
      </c>
    </row>
    <row customHeight="1" ht="11.25">
      <c r="A7" s="5074" t="s">
        <v>2795</v>
      </c>
      <c r="B7" s="5074" t="s">
        <v>14</v>
      </c>
      <c r="C7" s="5074" t="s">
        <v>2819</v>
      </c>
      <c r="D7" s="5074" t="s">
        <v>2820</v>
      </c>
      <c r="E7" s="5074" t="s">
        <v>2821</v>
      </c>
      <c r="F7" s="5074" t="s">
        <v>2822</v>
      </c>
      <c r="G7" s="5074" t="s">
        <v>18</v>
      </c>
      <c r="H7" s="5074" t="s">
        <v>18</v>
      </c>
      <c r="I7" s="5074" t="s">
        <v>693</v>
      </c>
    </row>
    <row customHeight="1" ht="11.25">
      <c r="A8" s="5074" t="s">
        <v>2795</v>
      </c>
      <c r="B8" s="5074" t="s">
        <v>14</v>
      </c>
      <c r="C8" s="5074" t="s">
        <v>2823</v>
      </c>
      <c r="D8" s="5074" t="s">
        <v>2824</v>
      </c>
      <c r="E8" s="5074" t="s">
        <v>2825</v>
      </c>
      <c r="F8" s="5074" t="s">
        <v>2826</v>
      </c>
      <c r="G8" s="5074" t="s">
        <v>2827</v>
      </c>
      <c r="H8" s="5074" t="s">
        <v>18</v>
      </c>
      <c r="I8" s="5074" t="s">
        <v>693</v>
      </c>
    </row>
    <row customHeight="1" ht="11.25">
      <c r="A9" s="5074" t="s">
        <v>2795</v>
      </c>
      <c r="B9" s="5074" t="s">
        <v>14</v>
      </c>
      <c r="C9" s="5074" t="s">
        <v>2828</v>
      </c>
      <c r="D9" s="5074" t="s">
        <v>2829</v>
      </c>
      <c r="E9" s="5074" t="s">
        <v>2830</v>
      </c>
      <c r="F9" s="5074" t="s">
        <v>2799</v>
      </c>
      <c r="G9" s="5074" t="s">
        <v>2831</v>
      </c>
      <c r="H9" s="5074" t="s">
        <v>18</v>
      </c>
      <c r="I9" s="5074" t="s">
        <v>693</v>
      </c>
    </row>
    <row customHeight="1" ht="11.25">
      <c r="A10" s="5074" t="s">
        <v>2795</v>
      </c>
      <c r="B10" s="5074" t="s">
        <v>14</v>
      </c>
      <c r="C10" s="5074" t="s">
        <v>2832</v>
      </c>
      <c r="D10" s="5074" t="s">
        <v>2833</v>
      </c>
      <c r="E10" s="5074" t="s">
        <v>2834</v>
      </c>
      <c r="F10" s="5074" t="s">
        <v>2804</v>
      </c>
      <c r="G10" s="5074" t="s">
        <v>18</v>
      </c>
      <c r="H10" s="5074" t="s">
        <v>18</v>
      </c>
      <c r="I10" s="5074" t="s">
        <v>693</v>
      </c>
    </row>
    <row customHeight="1" ht="11.25">
      <c r="A11" s="5074" t="s">
        <v>2795</v>
      </c>
      <c r="B11" s="5074" t="s">
        <v>14</v>
      </c>
      <c r="C11" s="5074" t="s">
        <v>2835</v>
      </c>
      <c r="D11" s="5074" t="s">
        <v>2836</v>
      </c>
      <c r="E11" s="5074" t="s">
        <v>2837</v>
      </c>
      <c r="F11" s="5074" t="s">
        <v>52</v>
      </c>
      <c r="G11" s="5074" t="s">
        <v>2838</v>
      </c>
      <c r="H11" s="5074" t="s">
        <v>18</v>
      </c>
      <c r="I11" s="5074" t="s">
        <v>693</v>
      </c>
    </row>
    <row customHeight="1" ht="11.25">
      <c r="A12" s="5074" t="s">
        <v>2795</v>
      </c>
      <c r="B12" s="5074" t="s">
        <v>14</v>
      </c>
      <c r="C12" s="5074" t="s">
        <v>2839</v>
      </c>
      <c r="D12" s="5074" t="s">
        <v>2840</v>
      </c>
      <c r="E12" s="5074" t="s">
        <v>2841</v>
      </c>
      <c r="F12" s="5074" t="s">
        <v>2842</v>
      </c>
      <c r="G12" s="5074" t="s">
        <v>2843</v>
      </c>
      <c r="H12" s="5074" t="s">
        <v>18</v>
      </c>
      <c r="I12" s="5074" t="s">
        <v>693</v>
      </c>
    </row>
    <row customHeight="1" ht="11.25">
      <c r="A13" s="5074" t="s">
        <v>2795</v>
      </c>
      <c r="B13" s="5074" t="s">
        <v>14</v>
      </c>
      <c r="C13" s="5074" t="s">
        <v>2844</v>
      </c>
      <c r="D13" s="5074" t="s">
        <v>2845</v>
      </c>
      <c r="E13" s="5074" t="s">
        <v>2846</v>
      </c>
      <c r="F13" s="5074" t="s">
        <v>2847</v>
      </c>
      <c r="G13" s="5074" t="s">
        <v>2848</v>
      </c>
      <c r="H13" s="5074" t="s">
        <v>18</v>
      </c>
      <c r="I13" s="5074" t="s">
        <v>693</v>
      </c>
    </row>
    <row customHeight="1" ht="11.25">
      <c r="A14" s="5074" t="s">
        <v>2795</v>
      </c>
      <c r="B14" s="5074" t="s">
        <v>14</v>
      </c>
      <c r="C14" s="5074" t="s">
        <v>2849</v>
      </c>
      <c r="D14" s="5074" t="s">
        <v>2850</v>
      </c>
      <c r="E14" s="5074" t="s">
        <v>2851</v>
      </c>
      <c r="F14" s="5074" t="s">
        <v>2852</v>
      </c>
      <c r="G14" s="5074" t="s">
        <v>18</v>
      </c>
      <c r="H14" s="5074" t="s">
        <v>18</v>
      </c>
      <c r="I14" s="5074" t="s">
        <v>693</v>
      </c>
    </row>
    <row customHeight="1" ht="11.25">
      <c r="A15" s="5074" t="s">
        <v>2795</v>
      </c>
      <c r="B15" s="5074" t="s">
        <v>14</v>
      </c>
      <c r="C15" s="5074" t="s">
        <v>2853</v>
      </c>
      <c r="D15" s="5074" t="s">
        <v>2854</v>
      </c>
      <c r="E15" s="5074" t="s">
        <v>2855</v>
      </c>
      <c r="F15" s="5074" t="s">
        <v>2856</v>
      </c>
      <c r="G15" s="5074" t="s">
        <v>2857</v>
      </c>
      <c r="H15" s="5074" t="s">
        <v>18</v>
      </c>
      <c r="I15" s="5074" t="s">
        <v>693</v>
      </c>
    </row>
    <row customHeight="1" ht="11.25">
      <c r="A16" s="5074" t="s">
        <v>2795</v>
      </c>
      <c r="B16" s="5074" t="s">
        <v>14</v>
      </c>
      <c r="C16" s="5074" t="s">
        <v>2858</v>
      </c>
      <c r="D16" s="5074" t="s">
        <v>2859</v>
      </c>
      <c r="E16" s="5074" t="s">
        <v>2860</v>
      </c>
      <c r="F16" s="5074" t="s">
        <v>2861</v>
      </c>
      <c r="G16" s="5074" t="s">
        <v>2862</v>
      </c>
      <c r="H16" s="5074" t="s">
        <v>18</v>
      </c>
      <c r="I16" s="5074" t="s">
        <v>693</v>
      </c>
    </row>
    <row customHeight="1" ht="11.25">
      <c r="A17" s="5074" t="s">
        <v>2795</v>
      </c>
      <c r="B17" s="5074" t="s">
        <v>14</v>
      </c>
      <c r="C17" s="5074" t="s">
        <v>2863</v>
      </c>
      <c r="D17" s="5074" t="s">
        <v>2864</v>
      </c>
      <c r="E17" s="5074" t="s">
        <v>2865</v>
      </c>
      <c r="F17" s="5074" t="s">
        <v>2826</v>
      </c>
      <c r="G17" s="5074" t="s">
        <v>2866</v>
      </c>
      <c r="H17" s="5074" t="s">
        <v>18</v>
      </c>
      <c r="I17" s="5074" t="s">
        <v>693</v>
      </c>
    </row>
    <row customHeight="1" ht="11.25">
      <c r="A18" s="5074" t="s">
        <v>2795</v>
      </c>
      <c r="B18" s="5074" t="s">
        <v>14</v>
      </c>
      <c r="C18" s="5074" t="s">
        <v>2867</v>
      </c>
      <c r="D18" s="5074" t="s">
        <v>2868</v>
      </c>
      <c r="E18" s="5074" t="s">
        <v>2869</v>
      </c>
      <c r="F18" s="5074" t="s">
        <v>2813</v>
      </c>
      <c r="G18" s="5074" t="s">
        <v>2870</v>
      </c>
      <c r="H18" s="5074" t="s">
        <v>18</v>
      </c>
      <c r="I18" s="5074" t="s">
        <v>693</v>
      </c>
    </row>
    <row customHeight="1" ht="11.25">
      <c r="A19" s="5074" t="s">
        <v>2795</v>
      </c>
      <c r="B19" s="5074" t="s">
        <v>14</v>
      </c>
      <c r="C19" s="5074" t="s">
        <v>2871</v>
      </c>
      <c r="D19" s="5074" t="s">
        <v>2872</v>
      </c>
      <c r="E19" s="5074" t="s">
        <v>2873</v>
      </c>
      <c r="F19" s="5074" t="s">
        <v>52</v>
      </c>
      <c r="G19" s="5074" t="s">
        <v>2874</v>
      </c>
      <c r="H19" s="5074" t="s">
        <v>18</v>
      </c>
      <c r="I19" s="5074" t="s">
        <v>693</v>
      </c>
    </row>
    <row customHeight="1" ht="11.25">
      <c r="A20" s="5074" t="s">
        <v>2795</v>
      </c>
      <c r="B20" s="5074" t="s">
        <v>14</v>
      </c>
      <c r="C20" s="5074" t="s">
        <v>2875</v>
      </c>
      <c r="D20" s="5074" t="s">
        <v>47</v>
      </c>
      <c r="E20" s="5074" t="s">
        <v>50</v>
      </c>
      <c r="F20" s="5074" t="s">
        <v>52</v>
      </c>
      <c r="G20" s="5074" t="s">
        <v>2876</v>
      </c>
      <c r="H20" s="5074" t="s">
        <v>18</v>
      </c>
      <c r="I20" s="5074" t="s">
        <v>693</v>
      </c>
    </row>
    <row customHeight="1" ht="11.25">
      <c r="A21" s="5074" t="s">
        <v>2795</v>
      </c>
      <c r="B21" s="5074" t="s">
        <v>14</v>
      </c>
      <c r="C21" s="5074" t="s">
        <v>2877</v>
      </c>
      <c r="D21" s="5074" t="s">
        <v>2878</v>
      </c>
      <c r="E21" s="5074" t="s">
        <v>2879</v>
      </c>
      <c r="F21" s="5074" t="s">
        <v>2880</v>
      </c>
      <c r="G21" s="5074" t="s">
        <v>2881</v>
      </c>
      <c r="H21" s="5074" t="s">
        <v>18</v>
      </c>
      <c r="I21" s="5074" t="s">
        <v>693</v>
      </c>
    </row>
    <row customHeight="1" ht="11.25">
      <c r="A22" s="5074" t="s">
        <v>2795</v>
      </c>
      <c r="B22" s="5074" t="s">
        <v>14</v>
      </c>
      <c r="C22" s="5074" t="s">
        <v>2882</v>
      </c>
      <c r="D22" s="5074" t="s">
        <v>2883</v>
      </c>
      <c r="E22" s="5074" t="s">
        <v>2884</v>
      </c>
      <c r="F22" s="5074" t="s">
        <v>2885</v>
      </c>
      <c r="G22" s="5074" t="s">
        <v>2886</v>
      </c>
      <c r="H22" s="5074" t="s">
        <v>18</v>
      </c>
      <c r="I22" s="5074" t="s">
        <v>693</v>
      </c>
    </row>
    <row customHeight="1" ht="11.25">
      <c r="A23" s="5074" t="s">
        <v>2795</v>
      </c>
      <c r="B23" s="5074" t="s">
        <v>14</v>
      </c>
      <c r="C23" s="5074" t="s">
        <v>2887</v>
      </c>
      <c r="D23" s="5074" t="s">
        <v>2888</v>
      </c>
      <c r="E23" s="5074" t="s">
        <v>2889</v>
      </c>
      <c r="F23" s="5074" t="s">
        <v>519</v>
      </c>
      <c r="G23" s="5074" t="s">
        <v>2890</v>
      </c>
      <c r="H23" s="5074" t="s">
        <v>18</v>
      </c>
      <c r="I23" s="5074" t="s">
        <v>693</v>
      </c>
    </row>
    <row customHeight="1" ht="11.25">
      <c r="A24" s="5074" t="s">
        <v>2795</v>
      </c>
      <c r="B24" s="5074" t="s">
        <v>14</v>
      </c>
      <c r="C24" s="5074" t="s">
        <v>2891</v>
      </c>
      <c r="D24" s="5074" t="s">
        <v>2892</v>
      </c>
      <c r="E24" s="5074" t="s">
        <v>2893</v>
      </c>
      <c r="F24" s="5074" t="s">
        <v>519</v>
      </c>
      <c r="G24" s="5074" t="s">
        <v>2894</v>
      </c>
      <c r="H24" s="5074" t="s">
        <v>18</v>
      </c>
      <c r="I24" s="5074" t="s">
        <v>693</v>
      </c>
    </row>
    <row customHeight="1" ht="11.25">
      <c r="A25" s="5074" t="s">
        <v>2795</v>
      </c>
      <c r="B25" s="5074" t="s">
        <v>14</v>
      </c>
      <c r="C25" s="5074" t="s">
        <v>2895</v>
      </c>
      <c r="D25" s="5074" t="s">
        <v>2896</v>
      </c>
      <c r="E25" s="5074" t="s">
        <v>2897</v>
      </c>
      <c r="F25" s="5074" t="s">
        <v>519</v>
      </c>
      <c r="G25" s="5074" t="s">
        <v>2898</v>
      </c>
      <c r="H25" s="5074" t="s">
        <v>18</v>
      </c>
      <c r="I25" s="5074" t="s">
        <v>693</v>
      </c>
    </row>
    <row customHeight="1" ht="11.25">
      <c r="A26" s="5074" t="s">
        <v>2795</v>
      </c>
      <c r="B26" s="5074" t="s">
        <v>14</v>
      </c>
      <c r="C26" s="5074" t="s">
        <v>2899</v>
      </c>
      <c r="D26" s="5074" t="s">
        <v>2900</v>
      </c>
      <c r="E26" s="5074" t="s">
        <v>2901</v>
      </c>
      <c r="F26" s="5074" t="s">
        <v>519</v>
      </c>
      <c r="G26" s="5074" t="s">
        <v>2902</v>
      </c>
      <c r="H26" s="5074" t="s">
        <v>18</v>
      </c>
      <c r="I26" s="5074" t="s">
        <v>693</v>
      </c>
    </row>
    <row customHeight="1" ht="11.25">
      <c r="A27" s="5074" t="s">
        <v>2795</v>
      </c>
      <c r="B27" s="5074" t="s">
        <v>14</v>
      </c>
      <c r="C27" s="5074" t="s">
        <v>2903</v>
      </c>
      <c r="D27" s="5074" t="s">
        <v>2904</v>
      </c>
      <c r="E27" s="5074" t="s">
        <v>2884</v>
      </c>
      <c r="F27" s="5074" t="s">
        <v>2905</v>
      </c>
      <c r="G27" s="5074" t="s">
        <v>2886</v>
      </c>
      <c r="H27" s="5074" t="s">
        <v>18</v>
      </c>
      <c r="I27" s="5074" t="s">
        <v>693</v>
      </c>
    </row>
    <row customHeight="1" ht="11.25">
      <c r="A28" s="5074" t="s">
        <v>2795</v>
      </c>
      <c r="B28" s="5074" t="s">
        <v>14</v>
      </c>
      <c r="C28" s="5074" t="s">
        <v>2906</v>
      </c>
      <c r="D28" s="5074" t="s">
        <v>2907</v>
      </c>
      <c r="E28" s="5074" t="s">
        <v>2908</v>
      </c>
      <c r="F28" s="5074" t="s">
        <v>2813</v>
      </c>
      <c r="G28" s="5074" t="s">
        <v>2909</v>
      </c>
      <c r="H28" s="5074" t="s">
        <v>18</v>
      </c>
      <c r="I28" s="5074" t="s">
        <v>693</v>
      </c>
    </row>
    <row customHeight="1" ht="11.25">
      <c r="A29" s="5074" t="s">
        <v>2795</v>
      </c>
      <c r="B29" s="5074" t="s">
        <v>14</v>
      </c>
      <c r="C29" s="5074" t="s">
        <v>2910</v>
      </c>
      <c r="D29" s="5074" t="s">
        <v>2911</v>
      </c>
      <c r="E29" s="5074" t="s">
        <v>2912</v>
      </c>
      <c r="F29" s="5074" t="s">
        <v>2813</v>
      </c>
      <c r="G29" s="5074" t="s">
        <v>2913</v>
      </c>
      <c r="H29" s="5074" t="s">
        <v>18</v>
      </c>
      <c r="I29" s="5074" t="s">
        <v>693</v>
      </c>
    </row>
    <row customHeight="1" ht="11.25">
      <c r="A30" s="5074" t="s">
        <v>2795</v>
      </c>
      <c r="B30" s="5074" t="s">
        <v>14</v>
      </c>
      <c r="C30" s="5074" t="s">
        <v>2914</v>
      </c>
      <c r="D30" s="5074" t="s">
        <v>2915</v>
      </c>
      <c r="E30" s="5074" t="s">
        <v>2916</v>
      </c>
      <c r="F30" s="5074" t="s">
        <v>2917</v>
      </c>
      <c r="G30" s="5074" t="s">
        <v>2918</v>
      </c>
      <c r="H30" s="5074" t="s">
        <v>18</v>
      </c>
      <c r="I30" s="5074" t="s">
        <v>693</v>
      </c>
    </row>
    <row customHeight="1" ht="11.25">
      <c r="A31" s="5074" t="s">
        <v>2795</v>
      </c>
      <c r="B31" s="5074" t="s">
        <v>14</v>
      </c>
      <c r="C31" s="5074" t="s">
        <v>2919</v>
      </c>
      <c r="D31" s="5074" t="s">
        <v>2920</v>
      </c>
      <c r="E31" s="5074" t="s">
        <v>2921</v>
      </c>
      <c r="F31" s="5074" t="s">
        <v>2922</v>
      </c>
      <c r="G31" s="5074" t="s">
        <v>2923</v>
      </c>
      <c r="H31" s="5074" t="s">
        <v>18</v>
      </c>
      <c r="I31" s="5074" t="s">
        <v>693</v>
      </c>
    </row>
    <row customHeight="1" ht="11.25">
      <c r="A32" s="5074" t="s">
        <v>2795</v>
      </c>
      <c r="B32" s="5074" t="s">
        <v>14</v>
      </c>
      <c r="C32" s="5074" t="s">
        <v>2924</v>
      </c>
      <c r="D32" s="5074" t="s">
        <v>2925</v>
      </c>
      <c r="E32" s="5074" t="s">
        <v>2926</v>
      </c>
      <c r="F32" s="5074" t="s">
        <v>2927</v>
      </c>
      <c r="G32" s="5074" t="s">
        <v>2928</v>
      </c>
      <c r="H32" s="5074" t="s">
        <v>18</v>
      </c>
      <c r="I32" s="5074" t="s">
        <v>693</v>
      </c>
    </row>
    <row customHeight="1" ht="11.25">
      <c r="A33" s="5074" t="s">
        <v>2795</v>
      </c>
      <c r="B33" s="5074" t="s">
        <v>14</v>
      </c>
      <c r="C33" s="5074" t="s">
        <v>2929</v>
      </c>
      <c r="D33" s="5074" t="s">
        <v>2930</v>
      </c>
      <c r="E33" s="5074" t="s">
        <v>2931</v>
      </c>
      <c r="F33" s="5074" t="s">
        <v>2932</v>
      </c>
      <c r="G33" s="5074" t="s">
        <v>2933</v>
      </c>
      <c r="H33" s="5074" t="s">
        <v>18</v>
      </c>
      <c r="I33" s="5074" t="s">
        <v>693</v>
      </c>
    </row>
    <row customHeight="1" ht="11.25">
      <c r="A34" s="5074" t="s">
        <v>2795</v>
      </c>
      <c r="B34" s="5074" t="s">
        <v>14</v>
      </c>
      <c r="C34" s="5074" t="s">
        <v>2934</v>
      </c>
      <c r="D34" s="5074" t="s">
        <v>2935</v>
      </c>
      <c r="E34" s="5074" t="s">
        <v>2936</v>
      </c>
      <c r="F34" s="5074" t="s">
        <v>2937</v>
      </c>
      <c r="G34" s="5074" t="s">
        <v>2938</v>
      </c>
      <c r="H34" s="5074" t="s">
        <v>18</v>
      </c>
      <c r="I34" s="5074" t="s">
        <v>693</v>
      </c>
    </row>
    <row customHeight="1" ht="11.25">
      <c r="A35" s="5074" t="s">
        <v>2795</v>
      </c>
      <c r="B35" s="5074" t="s">
        <v>14</v>
      </c>
      <c r="C35" s="5074" t="s">
        <v>2939</v>
      </c>
      <c r="D35" s="5074" t="s">
        <v>2940</v>
      </c>
      <c r="E35" s="5074" t="s">
        <v>2941</v>
      </c>
      <c r="F35" s="5074" t="s">
        <v>2826</v>
      </c>
      <c r="G35" s="5074" t="s">
        <v>2942</v>
      </c>
      <c r="H35" s="5074" t="s">
        <v>18</v>
      </c>
      <c r="I35" s="5074" t="s">
        <v>693</v>
      </c>
    </row>
    <row customHeight="1" ht="11.25">
      <c r="A36" s="5074" t="s">
        <v>2795</v>
      </c>
      <c r="B36" s="5074" t="s">
        <v>14</v>
      </c>
      <c r="C36" s="5074" t="s">
        <v>2943</v>
      </c>
      <c r="D36" s="5074" t="s">
        <v>2944</v>
      </c>
      <c r="E36" s="5074" t="s">
        <v>2817</v>
      </c>
      <c r="F36" s="5074" t="s">
        <v>2945</v>
      </c>
      <c r="G36" s="5074" t="s">
        <v>2946</v>
      </c>
      <c r="H36" s="5074" t="s">
        <v>18</v>
      </c>
      <c r="I36" s="5074" t="s">
        <v>693</v>
      </c>
    </row>
    <row customHeight="1" ht="11.25">
      <c r="A37" s="5074" t="s">
        <v>2795</v>
      </c>
      <c r="B37" s="5074" t="s">
        <v>14</v>
      </c>
      <c r="C37" s="5074" t="s">
        <v>2947</v>
      </c>
      <c r="D37" s="5074" t="s">
        <v>2948</v>
      </c>
      <c r="E37" s="5074" t="s">
        <v>2949</v>
      </c>
      <c r="F37" s="5074" t="s">
        <v>2950</v>
      </c>
      <c r="G37" s="5074" t="s">
        <v>18</v>
      </c>
      <c r="H37" s="5074" t="s">
        <v>18</v>
      </c>
      <c r="I37" s="5074" t="s">
        <v>693</v>
      </c>
    </row>
    <row customHeight="1" ht="11.25">
      <c r="A38" s="5074" t="s">
        <v>2795</v>
      </c>
      <c r="B38" s="5074" t="s">
        <v>14</v>
      </c>
      <c r="C38" s="5074" t="s">
        <v>2951</v>
      </c>
      <c r="D38" s="5074" t="s">
        <v>2952</v>
      </c>
      <c r="E38" s="5074" t="s">
        <v>2953</v>
      </c>
      <c r="F38" s="5074" t="s">
        <v>2813</v>
      </c>
      <c r="G38" s="5074" t="s">
        <v>2954</v>
      </c>
      <c r="H38" s="5074" t="s">
        <v>18</v>
      </c>
      <c r="I38" s="5074" t="s">
        <v>693</v>
      </c>
    </row>
    <row customHeight="1" ht="11.25">
      <c r="A39" s="5074" t="s">
        <v>2795</v>
      </c>
      <c r="B39" s="5074" t="s">
        <v>14</v>
      </c>
      <c r="C39" s="5074" t="s">
        <v>2955</v>
      </c>
      <c r="D39" s="5074" t="s">
        <v>2956</v>
      </c>
      <c r="E39" s="5074" t="s">
        <v>2957</v>
      </c>
      <c r="F39" s="5074" t="s">
        <v>2958</v>
      </c>
      <c r="G39" s="5074" t="s">
        <v>2959</v>
      </c>
      <c r="H39" s="5074" t="s">
        <v>18</v>
      </c>
      <c r="I39" s="5074" t="s">
        <v>693</v>
      </c>
    </row>
    <row customHeight="1" ht="11.25">
      <c r="A40" s="5074" t="s">
        <v>2795</v>
      </c>
      <c r="B40" s="5074" t="s">
        <v>14</v>
      </c>
      <c r="C40" s="5074" t="s">
        <v>2960</v>
      </c>
      <c r="D40" s="5074" t="s">
        <v>2961</v>
      </c>
      <c r="E40" s="5074" t="s">
        <v>2962</v>
      </c>
      <c r="F40" s="5074" t="s">
        <v>2826</v>
      </c>
      <c r="G40" s="5074" t="s">
        <v>18</v>
      </c>
      <c r="H40" s="5074" t="s">
        <v>18</v>
      </c>
      <c r="I40" s="5074" t="s">
        <v>693</v>
      </c>
    </row>
    <row customHeight="1" ht="11.25">
      <c r="A41" s="5074" t="s">
        <v>2795</v>
      </c>
      <c r="B41" s="5074" t="s">
        <v>14</v>
      </c>
      <c r="C41" s="5074" t="s">
        <v>2963</v>
      </c>
      <c r="D41" s="5074" t="s">
        <v>2964</v>
      </c>
      <c r="E41" s="5074" t="s">
        <v>2965</v>
      </c>
      <c r="F41" s="5074" t="s">
        <v>2966</v>
      </c>
      <c r="G41" s="5074" t="s">
        <v>2967</v>
      </c>
      <c r="H41" s="5074" t="s">
        <v>18</v>
      </c>
      <c r="I41" s="5074" t="s">
        <v>693</v>
      </c>
    </row>
    <row customHeight="1" ht="11.25">
      <c r="A42" s="5074" t="s">
        <v>2795</v>
      </c>
      <c r="B42" s="5074" t="s">
        <v>14</v>
      </c>
      <c r="C42" s="5074" t="s">
        <v>2968</v>
      </c>
      <c r="D42" s="5074" t="s">
        <v>2969</v>
      </c>
      <c r="E42" s="5074" t="s">
        <v>2970</v>
      </c>
      <c r="F42" s="5074" t="s">
        <v>2861</v>
      </c>
      <c r="G42" s="5074" t="s">
        <v>2971</v>
      </c>
      <c r="H42" s="5074" t="s">
        <v>18</v>
      </c>
      <c r="I42" s="5074" t="s">
        <v>693</v>
      </c>
    </row>
    <row customHeight="1" ht="11.25">
      <c r="A43" s="5074" t="s">
        <v>2795</v>
      </c>
      <c r="B43" s="5074" t="s">
        <v>14</v>
      </c>
      <c r="C43" s="5074" t="s">
        <v>2972</v>
      </c>
      <c r="D43" s="5074" t="s">
        <v>2973</v>
      </c>
      <c r="E43" s="5074" t="s">
        <v>2974</v>
      </c>
      <c r="F43" s="5074" t="s">
        <v>2975</v>
      </c>
      <c r="G43" s="5074" t="s">
        <v>2976</v>
      </c>
      <c r="H43" s="5074" t="s">
        <v>18</v>
      </c>
      <c r="I43" s="5074" t="s">
        <v>693</v>
      </c>
    </row>
    <row customHeight="1" ht="11.25">
      <c r="A44" s="5074" t="s">
        <v>2795</v>
      </c>
      <c r="B44" s="5074" t="s">
        <v>14</v>
      </c>
      <c r="C44" s="5074" t="s">
        <v>2977</v>
      </c>
      <c r="D44" s="5074" t="s">
        <v>2978</v>
      </c>
      <c r="E44" s="5074" t="s">
        <v>2979</v>
      </c>
      <c r="F44" s="5074" t="s">
        <v>2847</v>
      </c>
      <c r="G44" s="5074" t="s">
        <v>18</v>
      </c>
      <c r="H44" s="5074" t="s">
        <v>18</v>
      </c>
      <c r="I44" s="5074" t="s">
        <v>693</v>
      </c>
    </row>
    <row customHeight="1" ht="11.25">
      <c r="A45" s="5074" t="s">
        <v>2795</v>
      </c>
      <c r="B45" s="5074" t="s">
        <v>14</v>
      </c>
      <c r="C45" s="5074" t="s">
        <v>2980</v>
      </c>
      <c r="D45" s="5074" t="s">
        <v>2981</v>
      </c>
      <c r="E45" s="5074" t="s">
        <v>2982</v>
      </c>
      <c r="F45" s="5074" t="s">
        <v>2813</v>
      </c>
      <c r="G45" s="5074" t="s">
        <v>18</v>
      </c>
      <c r="H45" s="5074" t="s">
        <v>18</v>
      </c>
      <c r="I45" s="5074" t="s">
        <v>693</v>
      </c>
    </row>
    <row customHeight="1" ht="11.25">
      <c r="A46" s="5074" t="s">
        <v>2795</v>
      </c>
      <c r="B46" s="5074" t="s">
        <v>14</v>
      </c>
      <c r="C46" s="5074" t="s">
        <v>2983</v>
      </c>
      <c r="D46" s="5074" t="s">
        <v>2984</v>
      </c>
      <c r="E46" s="5074" t="s">
        <v>2985</v>
      </c>
      <c r="F46" s="5074" t="s">
        <v>52</v>
      </c>
      <c r="G46" s="5074" t="s">
        <v>2986</v>
      </c>
      <c r="H46" s="5074" t="s">
        <v>18</v>
      </c>
      <c r="I46" s="5074" t="s">
        <v>693</v>
      </c>
    </row>
    <row customHeight="1" ht="11.25">
      <c r="A47" s="5074" t="s">
        <v>2795</v>
      </c>
      <c r="B47" s="5074" t="s">
        <v>14</v>
      </c>
      <c r="C47" s="5074" t="s">
        <v>2987</v>
      </c>
      <c r="D47" s="5074" t="s">
        <v>2988</v>
      </c>
      <c r="E47" s="5074" t="s">
        <v>2989</v>
      </c>
      <c r="F47" s="5074" t="s">
        <v>2990</v>
      </c>
      <c r="G47" s="5074" t="s">
        <v>2991</v>
      </c>
      <c r="H47" s="5074" t="s">
        <v>18</v>
      </c>
      <c r="I47" s="5074" t="s">
        <v>693</v>
      </c>
    </row>
    <row customHeight="1" ht="11.25">
      <c r="A48" s="5074" t="s">
        <v>2795</v>
      </c>
      <c r="B48" s="5074" t="s">
        <v>14</v>
      </c>
      <c r="C48" s="5074" t="s">
        <v>2992</v>
      </c>
      <c r="D48" s="5074" t="s">
        <v>2993</v>
      </c>
      <c r="E48" s="5074" t="s">
        <v>2994</v>
      </c>
      <c r="F48" s="5074" t="s">
        <v>2799</v>
      </c>
      <c r="G48" s="5074" t="s">
        <v>2995</v>
      </c>
      <c r="H48" s="5074" t="s">
        <v>18</v>
      </c>
      <c r="I48" s="5074" t="s">
        <v>693</v>
      </c>
    </row>
    <row customHeight="1" ht="11.25">
      <c r="A49" s="5074" t="s">
        <v>2795</v>
      </c>
      <c r="B49" s="5074" t="s">
        <v>14</v>
      </c>
      <c r="C49" s="5074" t="s">
        <v>2996</v>
      </c>
      <c r="D49" s="5074" t="s">
        <v>2997</v>
      </c>
      <c r="E49" s="5074" t="s">
        <v>2998</v>
      </c>
      <c r="F49" s="5074" t="s">
        <v>2813</v>
      </c>
      <c r="G49" s="5074" t="s">
        <v>18</v>
      </c>
      <c r="H49" s="5074" t="s">
        <v>18</v>
      </c>
      <c r="I49" s="5074" t="s">
        <v>693</v>
      </c>
    </row>
    <row customHeight="1" ht="11.25">
      <c r="A50" s="5074" t="s">
        <v>2795</v>
      </c>
      <c r="B50" s="5074" t="s">
        <v>14</v>
      </c>
      <c r="C50" s="5074" t="s">
        <v>2999</v>
      </c>
      <c r="D50" s="5074" t="s">
        <v>3000</v>
      </c>
      <c r="E50" s="5074" t="s">
        <v>3001</v>
      </c>
      <c r="F50" s="5074" t="s">
        <v>2932</v>
      </c>
      <c r="G50" s="5074" t="s">
        <v>3002</v>
      </c>
      <c r="H50" s="5074" t="s">
        <v>18</v>
      </c>
      <c r="I50" s="5074" t="s">
        <v>693</v>
      </c>
    </row>
    <row customHeight="1" ht="11.25">
      <c r="A51" s="5074" t="s">
        <v>2795</v>
      </c>
      <c r="B51" s="5074" t="s">
        <v>14</v>
      </c>
      <c r="C51" s="5074" t="s">
        <v>3003</v>
      </c>
      <c r="D51" s="5074" t="s">
        <v>3004</v>
      </c>
      <c r="E51" s="5074" t="s">
        <v>3005</v>
      </c>
      <c r="F51" s="5074" t="s">
        <v>2813</v>
      </c>
      <c r="G51" s="5074" t="s">
        <v>18</v>
      </c>
      <c r="H51" s="5074" t="s">
        <v>18</v>
      </c>
      <c r="I51" s="5074" t="s">
        <v>693</v>
      </c>
    </row>
    <row customHeight="1" ht="11.25">
      <c r="A52" s="5074" t="s">
        <v>2795</v>
      </c>
      <c r="B52" s="5074" t="s">
        <v>14</v>
      </c>
      <c r="C52" s="5074" t="s">
        <v>3006</v>
      </c>
      <c r="D52" s="5074" t="s">
        <v>3007</v>
      </c>
      <c r="E52" s="5074" t="s">
        <v>3008</v>
      </c>
      <c r="F52" s="5074" t="s">
        <v>2842</v>
      </c>
      <c r="G52" s="5074" t="s">
        <v>3009</v>
      </c>
      <c r="H52" s="5074" t="s">
        <v>18</v>
      </c>
      <c r="I52" s="5074" t="s">
        <v>693</v>
      </c>
    </row>
    <row customHeight="1" ht="11.25">
      <c r="A53" s="5074" t="s">
        <v>2795</v>
      </c>
      <c r="B53" s="5074" t="s">
        <v>14</v>
      </c>
      <c r="C53" s="5074" t="s">
        <v>3010</v>
      </c>
      <c r="D53" s="5074" t="s">
        <v>3011</v>
      </c>
      <c r="E53" s="5074" t="s">
        <v>3012</v>
      </c>
      <c r="F53" s="5074" t="s">
        <v>2804</v>
      </c>
      <c r="G53" s="5074" t="s">
        <v>3013</v>
      </c>
      <c r="H53" s="5074" t="s">
        <v>18</v>
      </c>
      <c r="I53" s="5074" t="s">
        <v>693</v>
      </c>
    </row>
    <row customHeight="1" ht="11.25">
      <c r="A54" s="5074" t="s">
        <v>2795</v>
      </c>
      <c r="B54" s="5074" t="s">
        <v>14</v>
      </c>
      <c r="C54" s="5074" t="s">
        <v>3014</v>
      </c>
      <c r="D54" s="5074" t="s">
        <v>3015</v>
      </c>
      <c r="E54" s="5074" t="s">
        <v>3016</v>
      </c>
      <c r="F54" s="5074" t="s">
        <v>2842</v>
      </c>
      <c r="G54" s="5074" t="s">
        <v>3017</v>
      </c>
      <c r="H54" s="5074" t="s">
        <v>18</v>
      </c>
      <c r="I54" s="5074" t="s">
        <v>693</v>
      </c>
    </row>
    <row customHeight="1" ht="11.25">
      <c r="A55" s="5074" t="s">
        <v>2795</v>
      </c>
      <c r="B55" s="5074" t="s">
        <v>14</v>
      </c>
      <c r="C55" s="5074" t="s">
        <v>3018</v>
      </c>
      <c r="D55" s="5074" t="s">
        <v>3019</v>
      </c>
      <c r="E55" s="5074" t="s">
        <v>3020</v>
      </c>
      <c r="F55" s="5074" t="s">
        <v>3021</v>
      </c>
      <c r="G55" s="5074" t="s">
        <v>3022</v>
      </c>
      <c r="H55" s="5074" t="s">
        <v>18</v>
      </c>
      <c r="I55" s="5074" t="s">
        <v>693</v>
      </c>
    </row>
    <row customHeight="1" ht="11.25">
      <c r="A56" s="5074" t="s">
        <v>2795</v>
      </c>
      <c r="B56" s="5074" t="s">
        <v>14</v>
      </c>
      <c r="C56" s="5074" t="s">
        <v>3023</v>
      </c>
      <c r="D56" s="5074" t="s">
        <v>3024</v>
      </c>
      <c r="E56" s="5074" t="s">
        <v>3025</v>
      </c>
      <c r="F56" s="5074" t="s">
        <v>2932</v>
      </c>
      <c r="G56" s="5074" t="s">
        <v>3026</v>
      </c>
      <c r="H56" s="5074" t="s">
        <v>18</v>
      </c>
      <c r="I56" s="5074" t="s">
        <v>693</v>
      </c>
    </row>
    <row customHeight="1" ht="11.25">
      <c r="A57" s="5074" t="s">
        <v>2795</v>
      </c>
      <c r="B57" s="5074" t="s">
        <v>14</v>
      </c>
      <c r="C57" s="5074" t="s">
        <v>3027</v>
      </c>
      <c r="D57" s="5074" t="s">
        <v>3028</v>
      </c>
      <c r="E57" s="5074" t="s">
        <v>3029</v>
      </c>
      <c r="F57" s="5074" t="s">
        <v>2990</v>
      </c>
      <c r="G57" s="5074" t="s">
        <v>3030</v>
      </c>
      <c r="H57" s="5074" t="s">
        <v>18</v>
      </c>
      <c r="I57" s="5074" t="s">
        <v>693</v>
      </c>
    </row>
    <row customHeight="1" ht="11.25">
      <c r="A58" s="5074" t="s">
        <v>2795</v>
      </c>
      <c r="B58" s="5074" t="s">
        <v>14</v>
      </c>
      <c r="C58" s="5074" t="s">
        <v>3031</v>
      </c>
      <c r="D58" s="5074" t="s">
        <v>3032</v>
      </c>
      <c r="E58" s="5074" t="s">
        <v>3033</v>
      </c>
      <c r="F58" s="5074" t="s">
        <v>2826</v>
      </c>
      <c r="G58" s="5074" t="s">
        <v>3034</v>
      </c>
      <c r="H58" s="5074" t="s">
        <v>18</v>
      </c>
      <c r="I58" s="5074" t="s">
        <v>693</v>
      </c>
    </row>
    <row customHeight="1" ht="11.25">
      <c r="A59" s="5074" t="s">
        <v>2795</v>
      </c>
      <c r="B59" s="5074" t="s">
        <v>14</v>
      </c>
      <c r="C59" s="5074" t="s">
        <v>3035</v>
      </c>
      <c r="D59" s="5074" t="s">
        <v>3036</v>
      </c>
      <c r="E59" s="5074" t="s">
        <v>3037</v>
      </c>
      <c r="F59" s="5074" t="s">
        <v>3038</v>
      </c>
      <c r="G59" s="5074" t="s">
        <v>18</v>
      </c>
      <c r="H59" s="5074" t="s">
        <v>18</v>
      </c>
      <c r="I59" s="5074" t="s">
        <v>693</v>
      </c>
    </row>
    <row customHeight="1" ht="11.25">
      <c r="A60" s="5074" t="s">
        <v>2795</v>
      </c>
      <c r="B60" s="5074" t="s">
        <v>14</v>
      </c>
      <c r="C60" s="5074" t="s">
        <v>3039</v>
      </c>
      <c r="D60" s="5074" t="s">
        <v>3040</v>
      </c>
      <c r="E60" s="5074" t="s">
        <v>3041</v>
      </c>
      <c r="F60" s="5074" t="s">
        <v>3042</v>
      </c>
      <c r="G60" s="5074" t="s">
        <v>3043</v>
      </c>
      <c r="H60" s="5074" t="s">
        <v>18</v>
      </c>
      <c r="I60" s="5074" t="s">
        <v>693</v>
      </c>
    </row>
    <row customHeight="1" ht="11.25">
      <c r="A61" s="5074" t="s">
        <v>2795</v>
      </c>
      <c r="B61" s="5074" t="s">
        <v>14</v>
      </c>
      <c r="C61" s="5074" t="s">
        <v>3044</v>
      </c>
      <c r="D61" s="5074" t="s">
        <v>3045</v>
      </c>
      <c r="E61" s="5074" t="s">
        <v>3046</v>
      </c>
      <c r="F61" s="5074" t="s">
        <v>3047</v>
      </c>
      <c r="G61" s="5074" t="s">
        <v>3048</v>
      </c>
      <c r="H61" s="5074" t="s">
        <v>18</v>
      </c>
      <c r="I61" s="5074" t="s">
        <v>693</v>
      </c>
    </row>
    <row customHeight="1" ht="11.25">
      <c r="A62" s="5074" t="s">
        <v>2795</v>
      </c>
      <c r="B62" s="5074" t="s">
        <v>14</v>
      </c>
      <c r="C62" s="5074" t="s">
        <v>3049</v>
      </c>
      <c r="D62" s="5074" t="s">
        <v>3050</v>
      </c>
      <c r="E62" s="5074" t="s">
        <v>3051</v>
      </c>
      <c r="F62" s="5074" t="s">
        <v>3042</v>
      </c>
      <c r="G62" s="5074" t="s">
        <v>3052</v>
      </c>
      <c r="H62" s="5074" t="s">
        <v>18</v>
      </c>
      <c r="I62" s="5074" t="s">
        <v>693</v>
      </c>
    </row>
    <row customHeight="1" ht="11.25">
      <c r="A63" s="5074" t="s">
        <v>2795</v>
      </c>
      <c r="B63" s="5074" t="s">
        <v>14</v>
      </c>
      <c r="C63" s="5074" t="s">
        <v>3053</v>
      </c>
      <c r="D63" s="5074" t="s">
        <v>3054</v>
      </c>
      <c r="E63" s="5074" t="s">
        <v>3055</v>
      </c>
      <c r="F63" s="5074" t="s">
        <v>3056</v>
      </c>
      <c r="G63" s="5074" t="s">
        <v>3057</v>
      </c>
      <c r="H63" s="5074" t="s">
        <v>18</v>
      </c>
      <c r="I63" s="5074" t="s">
        <v>693</v>
      </c>
    </row>
    <row customHeight="1" ht="11.25">
      <c r="A64" s="5074" t="s">
        <v>2795</v>
      </c>
      <c r="B64" s="5074" t="s">
        <v>14</v>
      </c>
      <c r="C64" s="5074" t="s">
        <v>3058</v>
      </c>
      <c r="D64" s="5074" t="s">
        <v>3059</v>
      </c>
      <c r="E64" s="5074" t="s">
        <v>3060</v>
      </c>
      <c r="F64" s="5074" t="s">
        <v>2799</v>
      </c>
      <c r="G64" s="5074" t="s">
        <v>3061</v>
      </c>
      <c r="H64" s="5074" t="s">
        <v>18</v>
      </c>
      <c r="I64" s="5074" t="s">
        <v>693</v>
      </c>
    </row>
    <row customHeight="1" ht="11.25">
      <c r="A65" s="5074" t="s">
        <v>2795</v>
      </c>
      <c r="B65" s="5074" t="s">
        <v>14</v>
      </c>
      <c r="C65" s="5074" t="s">
        <v>3062</v>
      </c>
      <c r="D65" s="5074" t="s">
        <v>3063</v>
      </c>
      <c r="E65" s="5074" t="s">
        <v>3064</v>
      </c>
      <c r="F65" s="5074" t="s">
        <v>52</v>
      </c>
      <c r="G65" s="5074" t="s">
        <v>18</v>
      </c>
      <c r="H65" s="5074" t="s">
        <v>18</v>
      </c>
      <c r="I65" s="5074" t="s">
        <v>693</v>
      </c>
    </row>
    <row customHeight="1" ht="11.25">
      <c r="A66" s="5074" t="s">
        <v>2795</v>
      </c>
      <c r="B66" s="5074" t="s">
        <v>14</v>
      </c>
      <c r="C66" s="5074" t="s">
        <v>3065</v>
      </c>
      <c r="D66" s="5074" t="s">
        <v>3066</v>
      </c>
      <c r="E66" s="5074" t="s">
        <v>3067</v>
      </c>
      <c r="F66" s="5074" t="s">
        <v>3068</v>
      </c>
      <c r="G66" s="5074" t="s">
        <v>3069</v>
      </c>
      <c r="H66" s="5074" t="s">
        <v>18</v>
      </c>
      <c r="I66" s="5074" t="s">
        <v>693</v>
      </c>
    </row>
    <row customHeight="1" ht="11.25">
      <c r="A67" s="5074" t="s">
        <v>2795</v>
      </c>
      <c r="B67" s="5074" t="s">
        <v>14</v>
      </c>
      <c r="C67" s="5074" t="s">
        <v>18</v>
      </c>
      <c r="D67" s="5074" t="s">
        <v>3070</v>
      </c>
      <c r="E67" s="5074" t="s">
        <v>3071</v>
      </c>
      <c r="F67" s="5074" t="s">
        <v>3072</v>
      </c>
      <c r="G67" s="5074" t="s">
        <v>18</v>
      </c>
      <c r="H67" s="5074" t="s">
        <v>18</v>
      </c>
      <c r="I67" s="5074" t="s">
        <v>693</v>
      </c>
    </row>
    <row customHeight="1" ht="11.25">
      <c r="A68" s="5074" t="s">
        <v>2795</v>
      </c>
      <c r="B68" s="5074" t="s">
        <v>14</v>
      </c>
      <c r="C68" s="5074" t="s">
        <v>3073</v>
      </c>
      <c r="D68" s="5074" t="s">
        <v>3074</v>
      </c>
      <c r="E68" s="5074" t="s">
        <v>3075</v>
      </c>
      <c r="F68" s="5074" t="s">
        <v>3076</v>
      </c>
      <c r="G68" s="5074" t="s">
        <v>3077</v>
      </c>
      <c r="H68" s="5074" t="s">
        <v>18</v>
      </c>
      <c r="I68" s="5074" t="s">
        <v>693</v>
      </c>
    </row>
    <row customHeight="1" ht="11.25">
      <c r="A69" s="5074" t="s">
        <v>2795</v>
      </c>
      <c r="B69" s="5074" t="s">
        <v>14</v>
      </c>
      <c r="C69" s="5074" t="s">
        <v>3078</v>
      </c>
      <c r="D69" s="5074" t="s">
        <v>3079</v>
      </c>
      <c r="E69" s="5074" t="s">
        <v>3080</v>
      </c>
      <c r="F69" s="5074" t="s">
        <v>3081</v>
      </c>
      <c r="G69" s="5074" t="s">
        <v>18</v>
      </c>
      <c r="H69" s="5074" t="s">
        <v>18</v>
      </c>
      <c r="I69" s="5074" t="s">
        <v>693</v>
      </c>
    </row>
    <row customHeight="1" ht="11.25">
      <c r="A70" s="5074" t="s">
        <v>2795</v>
      </c>
      <c r="B70" s="5074" t="s">
        <v>14</v>
      </c>
      <c r="C70" s="5074" t="s">
        <v>3082</v>
      </c>
      <c r="D70" s="5074" t="s">
        <v>3083</v>
      </c>
      <c r="E70" s="5074" t="s">
        <v>3084</v>
      </c>
      <c r="F70" s="5074" t="s">
        <v>3085</v>
      </c>
      <c r="G70" s="5074" t="s">
        <v>3086</v>
      </c>
      <c r="H70" s="5074" t="s">
        <v>18</v>
      </c>
      <c r="I70" s="5074" t="s">
        <v>693</v>
      </c>
    </row>
    <row customHeight="1" ht="11.25">
      <c r="A71" s="5074" t="s">
        <v>2795</v>
      </c>
      <c r="B71" s="5074" t="s">
        <v>14</v>
      </c>
      <c r="C71" s="5074" t="s">
        <v>3087</v>
      </c>
      <c r="D71" s="5074" t="s">
        <v>3088</v>
      </c>
      <c r="E71" s="5074" t="s">
        <v>3089</v>
      </c>
      <c r="F71" s="5074" t="s">
        <v>3072</v>
      </c>
      <c r="G71" s="5074" t="s">
        <v>18</v>
      </c>
      <c r="H71" s="5074" t="s">
        <v>18</v>
      </c>
      <c r="I71" s="5074" t="s">
        <v>693</v>
      </c>
    </row>
    <row customHeight="1" ht="11.25">
      <c r="A72" s="5074" t="s">
        <v>2795</v>
      </c>
      <c r="B72" s="5074" t="s">
        <v>14</v>
      </c>
      <c r="C72" s="5074" t="s">
        <v>3090</v>
      </c>
      <c r="D72" s="5074" t="s">
        <v>3091</v>
      </c>
      <c r="E72" s="5074" t="s">
        <v>3092</v>
      </c>
      <c r="F72" s="5074" t="s">
        <v>3093</v>
      </c>
      <c r="G72" s="5074" t="s">
        <v>2913</v>
      </c>
      <c r="H72" s="5074" t="s">
        <v>18</v>
      </c>
      <c r="I72" s="5074" t="s">
        <v>693</v>
      </c>
    </row>
    <row customHeight="1" ht="11.25">
      <c r="A73" s="5074" t="s">
        <v>2795</v>
      </c>
      <c r="B73" s="5074" t="s">
        <v>14</v>
      </c>
      <c r="C73" s="5074" t="s">
        <v>3094</v>
      </c>
      <c r="D73" s="5074" t="s">
        <v>3095</v>
      </c>
      <c r="E73" s="5074" t="s">
        <v>3096</v>
      </c>
      <c r="F73" s="5074" t="s">
        <v>3097</v>
      </c>
      <c r="G73" s="5074" t="s">
        <v>3098</v>
      </c>
      <c r="H73" s="5074" t="s">
        <v>18</v>
      </c>
      <c r="I73" s="5074" t="s">
        <v>693</v>
      </c>
    </row>
    <row customHeight="1" ht="11.25">
      <c r="A74" s="5074" t="s">
        <v>2795</v>
      </c>
      <c r="B74" s="5074" t="s">
        <v>14</v>
      </c>
      <c r="C74" s="5074" t="s">
        <v>3099</v>
      </c>
      <c r="D74" s="5074" t="s">
        <v>3100</v>
      </c>
      <c r="E74" s="5074" t="s">
        <v>3101</v>
      </c>
      <c r="F74" s="5074" t="s">
        <v>2852</v>
      </c>
      <c r="G74" s="5074" t="s">
        <v>3102</v>
      </c>
      <c r="H74" s="5074" t="s">
        <v>18</v>
      </c>
      <c r="I74" s="5074" t="s">
        <v>693</v>
      </c>
    </row>
    <row customHeight="1" ht="11.25">
      <c r="A75" s="5074" t="s">
        <v>2795</v>
      </c>
      <c r="B75" s="5074" t="s">
        <v>14</v>
      </c>
      <c r="C75" s="5074" t="s">
        <v>3103</v>
      </c>
      <c r="D75" s="5074" t="s">
        <v>3104</v>
      </c>
      <c r="E75" s="5074" t="s">
        <v>3060</v>
      </c>
      <c r="F75" s="5074" t="s">
        <v>3105</v>
      </c>
      <c r="G75" s="5074" t="s">
        <v>3061</v>
      </c>
      <c r="H75" s="5074" t="s">
        <v>18</v>
      </c>
      <c r="I75" s="5074" t="s">
        <v>693</v>
      </c>
    </row>
    <row customHeight="1" ht="11.25">
      <c r="A76" s="5074" t="s">
        <v>2795</v>
      </c>
      <c r="B76" s="5074" t="s">
        <v>14</v>
      </c>
      <c r="C76" s="5074" t="s">
        <v>2832</v>
      </c>
      <c r="D76" s="5074" t="s">
        <v>2833</v>
      </c>
      <c r="E76" s="5074" t="s">
        <v>2834</v>
      </c>
      <c r="F76" s="5074" t="s">
        <v>2804</v>
      </c>
      <c r="G76" s="5074" t="s">
        <v>18</v>
      </c>
      <c r="H76" s="5074" t="s">
        <v>18</v>
      </c>
      <c r="I76" s="5074" t="s">
        <v>1089</v>
      </c>
    </row>
    <row customHeight="1" ht="11.25">
      <c r="A77" s="5074" t="s">
        <v>2795</v>
      </c>
      <c r="B77" s="5074" t="s">
        <v>14</v>
      </c>
      <c r="C77" s="5074" t="s">
        <v>2839</v>
      </c>
      <c r="D77" s="5074" t="s">
        <v>2840</v>
      </c>
      <c r="E77" s="5074" t="s">
        <v>2841</v>
      </c>
      <c r="F77" s="5074" t="s">
        <v>2842</v>
      </c>
      <c r="G77" s="5074" t="s">
        <v>2843</v>
      </c>
      <c r="H77" s="5074" t="s">
        <v>18</v>
      </c>
      <c r="I77" s="5074" t="s">
        <v>1089</v>
      </c>
    </row>
    <row customHeight="1" ht="11.25">
      <c r="A78" s="5074" t="s">
        <v>2795</v>
      </c>
      <c r="B78" s="5074" t="s">
        <v>14</v>
      </c>
      <c r="C78" s="5074" t="s">
        <v>2844</v>
      </c>
      <c r="D78" s="5074" t="s">
        <v>2845</v>
      </c>
      <c r="E78" s="5074" t="s">
        <v>2846</v>
      </c>
      <c r="F78" s="5074" t="s">
        <v>2847</v>
      </c>
      <c r="G78" s="5074" t="s">
        <v>2848</v>
      </c>
      <c r="H78" s="5074" t="s">
        <v>18</v>
      </c>
      <c r="I78" s="5074" t="s">
        <v>1089</v>
      </c>
    </row>
    <row customHeight="1" ht="11.25">
      <c r="A79" s="5074" t="s">
        <v>2795</v>
      </c>
      <c r="B79" s="5074" t="s">
        <v>14</v>
      </c>
      <c r="C79" s="5074" t="s">
        <v>2853</v>
      </c>
      <c r="D79" s="5074" t="s">
        <v>2854</v>
      </c>
      <c r="E79" s="5074" t="s">
        <v>2855</v>
      </c>
      <c r="F79" s="5074" t="s">
        <v>2856</v>
      </c>
      <c r="G79" s="5074" t="s">
        <v>2857</v>
      </c>
      <c r="H79" s="5074" t="s">
        <v>18</v>
      </c>
      <c r="I79" s="5074" t="s">
        <v>1089</v>
      </c>
    </row>
    <row customHeight="1" ht="11.25">
      <c r="A80" s="5074" t="s">
        <v>2795</v>
      </c>
      <c r="B80" s="5074" t="s">
        <v>14</v>
      </c>
      <c r="C80" s="5074" t="s">
        <v>2871</v>
      </c>
      <c r="D80" s="5074" t="s">
        <v>2872</v>
      </c>
      <c r="E80" s="5074" t="s">
        <v>2873</v>
      </c>
      <c r="F80" s="5074" t="s">
        <v>52</v>
      </c>
      <c r="G80" s="5074" t="s">
        <v>2874</v>
      </c>
      <c r="H80" s="5074" t="s">
        <v>18</v>
      </c>
      <c r="I80" s="5074" t="s">
        <v>1089</v>
      </c>
    </row>
    <row customHeight="1" ht="11.25">
      <c r="A81" s="5074" t="s">
        <v>2795</v>
      </c>
      <c r="B81" s="5074" t="s">
        <v>14</v>
      </c>
      <c r="C81" s="5074" t="s">
        <v>2875</v>
      </c>
      <c r="D81" s="5074" t="s">
        <v>47</v>
      </c>
      <c r="E81" s="5074" t="s">
        <v>50</v>
      </c>
      <c r="F81" s="5074" t="s">
        <v>52</v>
      </c>
      <c r="G81" s="5074" t="s">
        <v>2876</v>
      </c>
      <c r="H81" s="5074" t="s">
        <v>18</v>
      </c>
      <c r="I81" s="5074" t="s">
        <v>1089</v>
      </c>
    </row>
    <row customHeight="1" ht="11.25">
      <c r="A82" s="5074" t="s">
        <v>2795</v>
      </c>
      <c r="B82" s="5074" t="s">
        <v>14</v>
      </c>
      <c r="C82" s="5074" t="s">
        <v>2877</v>
      </c>
      <c r="D82" s="5074" t="s">
        <v>2878</v>
      </c>
      <c r="E82" s="5074" t="s">
        <v>2879</v>
      </c>
      <c r="F82" s="5074" t="s">
        <v>2880</v>
      </c>
      <c r="G82" s="5074" t="s">
        <v>2881</v>
      </c>
      <c r="H82" s="5074" t="s">
        <v>18</v>
      </c>
      <c r="I82" s="5074" t="s">
        <v>1089</v>
      </c>
    </row>
    <row customHeight="1" ht="11.25">
      <c r="A83" s="5074" t="s">
        <v>2795</v>
      </c>
      <c r="B83" s="5074" t="s">
        <v>14</v>
      </c>
      <c r="C83" s="5074" t="s">
        <v>2906</v>
      </c>
      <c r="D83" s="5074" t="s">
        <v>2907</v>
      </c>
      <c r="E83" s="5074" t="s">
        <v>2908</v>
      </c>
      <c r="F83" s="5074" t="s">
        <v>2813</v>
      </c>
      <c r="G83" s="5074" t="s">
        <v>2909</v>
      </c>
      <c r="H83" s="5074" t="s">
        <v>18</v>
      </c>
      <c r="I83" s="5074" t="s">
        <v>1089</v>
      </c>
    </row>
    <row customHeight="1" ht="11.25">
      <c r="A84" s="5074" t="s">
        <v>2795</v>
      </c>
      <c r="B84" s="5074" t="s">
        <v>14</v>
      </c>
      <c r="C84" s="5074" t="s">
        <v>2924</v>
      </c>
      <c r="D84" s="5074" t="s">
        <v>2925</v>
      </c>
      <c r="E84" s="5074" t="s">
        <v>2926</v>
      </c>
      <c r="F84" s="5074" t="s">
        <v>2927</v>
      </c>
      <c r="G84" s="5074" t="s">
        <v>2928</v>
      </c>
      <c r="H84" s="5074" t="s">
        <v>18</v>
      </c>
      <c r="I84" s="5074" t="s">
        <v>1089</v>
      </c>
    </row>
    <row customHeight="1" ht="11.25">
      <c r="A85" s="5074" t="s">
        <v>2795</v>
      </c>
      <c r="B85" s="5074" t="s">
        <v>14</v>
      </c>
      <c r="C85" s="5074" t="s">
        <v>2943</v>
      </c>
      <c r="D85" s="5074" t="s">
        <v>2944</v>
      </c>
      <c r="E85" s="5074" t="s">
        <v>2817</v>
      </c>
      <c r="F85" s="5074" t="s">
        <v>2945</v>
      </c>
      <c r="G85" s="5074" t="s">
        <v>2946</v>
      </c>
      <c r="H85" s="5074" t="s">
        <v>18</v>
      </c>
      <c r="I85" s="5074" t="s">
        <v>1089</v>
      </c>
    </row>
    <row customHeight="1" ht="11.25">
      <c r="A86" s="5074" t="s">
        <v>2795</v>
      </c>
      <c r="B86" s="5074" t="s">
        <v>14</v>
      </c>
      <c r="C86" s="5074" t="s">
        <v>2947</v>
      </c>
      <c r="D86" s="5074" t="s">
        <v>2948</v>
      </c>
      <c r="E86" s="5074" t="s">
        <v>2949</v>
      </c>
      <c r="F86" s="5074" t="s">
        <v>2950</v>
      </c>
      <c r="G86" s="5074" t="s">
        <v>18</v>
      </c>
      <c r="H86" s="5074" t="s">
        <v>18</v>
      </c>
      <c r="I86" s="5074" t="s">
        <v>1089</v>
      </c>
    </row>
    <row customHeight="1" ht="11.25">
      <c r="A87" s="5074" t="s">
        <v>2795</v>
      </c>
      <c r="B87" s="5074" t="s">
        <v>14</v>
      </c>
      <c r="C87" s="5074" t="s">
        <v>2951</v>
      </c>
      <c r="D87" s="5074" t="s">
        <v>2952</v>
      </c>
      <c r="E87" s="5074" t="s">
        <v>2953</v>
      </c>
      <c r="F87" s="5074" t="s">
        <v>2813</v>
      </c>
      <c r="G87" s="5074" t="s">
        <v>2954</v>
      </c>
      <c r="H87" s="5074" t="s">
        <v>18</v>
      </c>
      <c r="I87" s="5074" t="s">
        <v>1089</v>
      </c>
    </row>
    <row customHeight="1" ht="11.25">
      <c r="A88" s="5074" t="s">
        <v>2795</v>
      </c>
      <c r="B88" s="5074" t="s">
        <v>14</v>
      </c>
      <c r="C88" s="5074" t="s">
        <v>2960</v>
      </c>
      <c r="D88" s="5074" t="s">
        <v>2961</v>
      </c>
      <c r="E88" s="5074" t="s">
        <v>2962</v>
      </c>
      <c r="F88" s="5074" t="s">
        <v>2826</v>
      </c>
      <c r="G88" s="5074" t="s">
        <v>18</v>
      </c>
      <c r="H88" s="5074" t="s">
        <v>18</v>
      </c>
      <c r="I88" s="5074" t="s">
        <v>1089</v>
      </c>
    </row>
    <row customHeight="1" ht="11.25">
      <c r="A89" s="5074" t="s">
        <v>2795</v>
      </c>
      <c r="B89" s="5074" t="s">
        <v>14</v>
      </c>
      <c r="C89" s="5074" t="s">
        <v>2968</v>
      </c>
      <c r="D89" s="5074" t="s">
        <v>2969</v>
      </c>
      <c r="E89" s="5074" t="s">
        <v>2970</v>
      </c>
      <c r="F89" s="5074" t="s">
        <v>2861</v>
      </c>
      <c r="G89" s="5074" t="s">
        <v>2971</v>
      </c>
      <c r="H89" s="5074" t="s">
        <v>18</v>
      </c>
      <c r="I89" s="5074" t="s">
        <v>1089</v>
      </c>
    </row>
    <row customHeight="1" ht="11.25">
      <c r="A90" s="5074" t="s">
        <v>2795</v>
      </c>
      <c r="B90" s="5074" t="s">
        <v>14</v>
      </c>
      <c r="C90" s="5074" t="s">
        <v>2977</v>
      </c>
      <c r="D90" s="5074" t="s">
        <v>2978</v>
      </c>
      <c r="E90" s="5074" t="s">
        <v>2979</v>
      </c>
      <c r="F90" s="5074" t="s">
        <v>2847</v>
      </c>
      <c r="G90" s="5074" t="s">
        <v>18</v>
      </c>
      <c r="H90" s="5074" t="s">
        <v>18</v>
      </c>
      <c r="I90" s="5074" t="s">
        <v>1089</v>
      </c>
    </row>
    <row customHeight="1" ht="11.25">
      <c r="A91" s="5074" t="s">
        <v>2795</v>
      </c>
      <c r="B91" s="5074" t="s">
        <v>14</v>
      </c>
      <c r="C91" s="5074" t="s">
        <v>2980</v>
      </c>
      <c r="D91" s="5074" t="s">
        <v>2981</v>
      </c>
      <c r="E91" s="5074" t="s">
        <v>2982</v>
      </c>
      <c r="F91" s="5074" t="s">
        <v>2813</v>
      </c>
      <c r="G91" s="5074" t="s">
        <v>18</v>
      </c>
      <c r="H91" s="5074" t="s">
        <v>18</v>
      </c>
      <c r="I91" s="5074" t="s">
        <v>1089</v>
      </c>
    </row>
    <row customHeight="1" ht="11.25">
      <c r="A92" s="5074" t="s">
        <v>2795</v>
      </c>
      <c r="B92" s="5074" t="s">
        <v>14</v>
      </c>
      <c r="C92" s="5074" t="s">
        <v>2987</v>
      </c>
      <c r="D92" s="5074" t="s">
        <v>2988</v>
      </c>
      <c r="E92" s="5074" t="s">
        <v>2989</v>
      </c>
      <c r="F92" s="5074" t="s">
        <v>2990</v>
      </c>
      <c r="G92" s="5074" t="s">
        <v>2991</v>
      </c>
      <c r="H92" s="5074" t="s">
        <v>18</v>
      </c>
      <c r="I92" s="5074" t="s">
        <v>1089</v>
      </c>
    </row>
    <row customHeight="1" ht="11.25">
      <c r="A93" s="5074" t="s">
        <v>2795</v>
      </c>
      <c r="B93" s="5074" t="s">
        <v>14</v>
      </c>
      <c r="C93" s="5074" t="s">
        <v>2992</v>
      </c>
      <c r="D93" s="5074" t="s">
        <v>2993</v>
      </c>
      <c r="E93" s="5074" t="s">
        <v>2994</v>
      </c>
      <c r="F93" s="5074" t="s">
        <v>2799</v>
      </c>
      <c r="G93" s="5074" t="s">
        <v>2995</v>
      </c>
      <c r="H93" s="5074" t="s">
        <v>18</v>
      </c>
      <c r="I93" s="5074" t="s">
        <v>1089</v>
      </c>
    </row>
    <row customHeight="1" ht="11.25">
      <c r="A94" s="5074" t="s">
        <v>2795</v>
      </c>
      <c r="B94" s="5074" t="s">
        <v>14</v>
      </c>
      <c r="C94" s="5074" t="s">
        <v>3003</v>
      </c>
      <c r="D94" s="5074" t="s">
        <v>3004</v>
      </c>
      <c r="E94" s="5074" t="s">
        <v>3005</v>
      </c>
      <c r="F94" s="5074" t="s">
        <v>2813</v>
      </c>
      <c r="G94" s="5074" t="s">
        <v>18</v>
      </c>
      <c r="H94" s="5074" t="s">
        <v>18</v>
      </c>
      <c r="I94" s="5074" t="s">
        <v>1089</v>
      </c>
    </row>
    <row customHeight="1" ht="11.25">
      <c r="A95" s="5074" t="s">
        <v>2795</v>
      </c>
      <c r="B95" s="5074" t="s">
        <v>14</v>
      </c>
      <c r="C95" s="5074" t="s">
        <v>3006</v>
      </c>
      <c r="D95" s="5074" t="s">
        <v>3007</v>
      </c>
      <c r="E95" s="5074" t="s">
        <v>3008</v>
      </c>
      <c r="F95" s="5074" t="s">
        <v>2842</v>
      </c>
      <c r="G95" s="5074" t="s">
        <v>3009</v>
      </c>
      <c r="H95" s="5074" t="s">
        <v>18</v>
      </c>
      <c r="I95" s="5074" t="s">
        <v>1089</v>
      </c>
    </row>
    <row customHeight="1" ht="11.25">
      <c r="A96" s="5074" t="s">
        <v>2795</v>
      </c>
      <c r="B96" s="5074" t="s">
        <v>14</v>
      </c>
      <c r="C96" s="5074" t="s">
        <v>3010</v>
      </c>
      <c r="D96" s="5074" t="s">
        <v>3011</v>
      </c>
      <c r="E96" s="5074" t="s">
        <v>3012</v>
      </c>
      <c r="F96" s="5074" t="s">
        <v>2804</v>
      </c>
      <c r="G96" s="5074" t="s">
        <v>3013</v>
      </c>
      <c r="H96" s="5074" t="s">
        <v>18</v>
      </c>
      <c r="I96" s="5074" t="s">
        <v>1089</v>
      </c>
    </row>
    <row customHeight="1" ht="11.25">
      <c r="A97" s="5074" t="s">
        <v>2795</v>
      </c>
      <c r="B97" s="5074" t="s">
        <v>14</v>
      </c>
      <c r="C97" s="5074" t="s">
        <v>3018</v>
      </c>
      <c r="D97" s="5074" t="s">
        <v>3019</v>
      </c>
      <c r="E97" s="5074" t="s">
        <v>3020</v>
      </c>
      <c r="F97" s="5074" t="s">
        <v>3021</v>
      </c>
      <c r="G97" s="5074" t="s">
        <v>3022</v>
      </c>
      <c r="H97" s="5074" t="s">
        <v>18</v>
      </c>
      <c r="I97" s="5074" t="s">
        <v>1089</v>
      </c>
    </row>
    <row customHeight="1" ht="11.25">
      <c r="A98" s="5074" t="s">
        <v>2795</v>
      </c>
      <c r="B98" s="5074" t="s">
        <v>14</v>
      </c>
      <c r="C98" s="5074" t="s">
        <v>3031</v>
      </c>
      <c r="D98" s="5074" t="s">
        <v>3032</v>
      </c>
      <c r="E98" s="5074" t="s">
        <v>3033</v>
      </c>
      <c r="F98" s="5074" t="s">
        <v>2826</v>
      </c>
      <c r="G98" s="5074" t="s">
        <v>3034</v>
      </c>
      <c r="H98" s="5074" t="s">
        <v>18</v>
      </c>
      <c r="I98" s="5074" t="s">
        <v>1089</v>
      </c>
    </row>
    <row customHeight="1" ht="11.25">
      <c r="A99" s="5074" t="s">
        <v>2795</v>
      </c>
      <c r="B99" s="5074" t="s">
        <v>14</v>
      </c>
      <c r="C99" s="5074" t="s">
        <v>3053</v>
      </c>
      <c r="D99" s="5074" t="s">
        <v>3054</v>
      </c>
      <c r="E99" s="5074" t="s">
        <v>3055</v>
      </c>
      <c r="F99" s="5074" t="s">
        <v>3056</v>
      </c>
      <c r="G99" s="5074" t="s">
        <v>3057</v>
      </c>
      <c r="H99" s="5074" t="s">
        <v>18</v>
      </c>
      <c r="I99" s="5074" t="s">
        <v>1089</v>
      </c>
    </row>
    <row customHeight="1" ht="11.25">
      <c r="A100" s="5074" t="s">
        <v>2795</v>
      </c>
      <c r="B100" s="5074" t="s">
        <v>14</v>
      </c>
      <c r="C100" s="5074" t="s">
        <v>3058</v>
      </c>
      <c r="D100" s="5074" t="s">
        <v>3059</v>
      </c>
      <c r="E100" s="5074" t="s">
        <v>3060</v>
      </c>
      <c r="F100" s="5074" t="s">
        <v>2799</v>
      </c>
      <c r="G100" s="5074" t="s">
        <v>3061</v>
      </c>
      <c r="H100" s="5074" t="s">
        <v>18</v>
      </c>
      <c r="I100" s="5074" t="s">
        <v>1089</v>
      </c>
    </row>
    <row customHeight="1" ht="11.25">
      <c r="A101" s="5074" t="s">
        <v>2795</v>
      </c>
      <c r="B101" s="5074" t="s">
        <v>14</v>
      </c>
      <c r="C101" s="5074" t="s">
        <v>18</v>
      </c>
      <c r="D101" s="5074" t="s">
        <v>3070</v>
      </c>
      <c r="E101" s="5074" t="s">
        <v>3071</v>
      </c>
      <c r="F101" s="5074" t="s">
        <v>3072</v>
      </c>
      <c r="G101" s="5074" t="s">
        <v>18</v>
      </c>
      <c r="H101" s="5074" t="s">
        <v>18</v>
      </c>
      <c r="I101" s="5074" t="s">
        <v>1089</v>
      </c>
    </row>
    <row customHeight="1" ht="11.25">
      <c r="A102" s="5074" t="s">
        <v>2795</v>
      </c>
      <c r="B102" s="5074" t="s">
        <v>14</v>
      </c>
      <c r="C102" s="5074" t="s">
        <v>3073</v>
      </c>
      <c r="D102" s="5074" t="s">
        <v>3074</v>
      </c>
      <c r="E102" s="5074" t="s">
        <v>3075</v>
      </c>
      <c r="F102" s="5074" t="s">
        <v>3076</v>
      </c>
      <c r="G102" s="5074" t="s">
        <v>3077</v>
      </c>
      <c r="H102" s="5074" t="s">
        <v>18</v>
      </c>
      <c r="I102" s="5074" t="s">
        <v>1089</v>
      </c>
    </row>
    <row customHeight="1" ht="11.25">
      <c r="A103" s="5074" t="s">
        <v>2795</v>
      </c>
      <c r="B103" s="5074" t="s">
        <v>14</v>
      </c>
      <c r="C103" s="5074" t="s">
        <v>3078</v>
      </c>
      <c r="D103" s="5074" t="s">
        <v>3079</v>
      </c>
      <c r="E103" s="5074" t="s">
        <v>3080</v>
      </c>
      <c r="F103" s="5074" t="s">
        <v>3081</v>
      </c>
      <c r="G103" s="5074" t="s">
        <v>18</v>
      </c>
      <c r="H103" s="5074" t="s">
        <v>18</v>
      </c>
      <c r="I103" s="5074" t="s">
        <v>1089</v>
      </c>
    </row>
    <row customHeight="1" ht="11.25">
      <c r="A104" s="5074" t="s">
        <v>2795</v>
      </c>
      <c r="B104" s="5074" t="s">
        <v>14</v>
      </c>
      <c r="C104" s="5074" t="s">
        <v>3082</v>
      </c>
      <c r="D104" s="5074" t="s">
        <v>3083</v>
      </c>
      <c r="E104" s="5074" t="s">
        <v>3084</v>
      </c>
      <c r="F104" s="5074" t="s">
        <v>3085</v>
      </c>
      <c r="G104" s="5074" t="s">
        <v>3086</v>
      </c>
      <c r="H104" s="5074" t="s">
        <v>18</v>
      </c>
      <c r="I104" s="5074" t="s">
        <v>1089</v>
      </c>
    </row>
    <row customHeight="1" ht="11.25">
      <c r="A105" s="5074" t="s">
        <v>2795</v>
      </c>
      <c r="B105" s="5074" t="s">
        <v>14</v>
      </c>
      <c r="C105" s="5074" t="s">
        <v>3087</v>
      </c>
      <c r="D105" s="5074" t="s">
        <v>3088</v>
      </c>
      <c r="E105" s="5074" t="s">
        <v>3089</v>
      </c>
      <c r="F105" s="5074" t="s">
        <v>3072</v>
      </c>
      <c r="G105" s="5074" t="s">
        <v>18</v>
      </c>
      <c r="H105" s="5074" t="s">
        <v>18</v>
      </c>
      <c r="I105" s="5074" t="s">
        <v>1089</v>
      </c>
    </row>
    <row customHeight="1" ht="11.25">
      <c r="A106" s="5074" t="s">
        <v>2795</v>
      </c>
      <c r="B106" s="5074" t="s">
        <v>14</v>
      </c>
      <c r="C106" s="5074" t="s">
        <v>3090</v>
      </c>
      <c r="D106" s="5074" t="s">
        <v>3091</v>
      </c>
      <c r="E106" s="5074" t="s">
        <v>3092</v>
      </c>
      <c r="F106" s="5074" t="s">
        <v>3093</v>
      </c>
      <c r="G106" s="5074" t="s">
        <v>2913</v>
      </c>
      <c r="H106" s="5074" t="s">
        <v>18</v>
      </c>
      <c r="I106" s="5074" t="s">
        <v>1089</v>
      </c>
    </row>
    <row customHeight="1" ht="11.25">
      <c r="A107" s="5074" t="s">
        <v>2795</v>
      </c>
      <c r="B107" s="5074" t="s">
        <v>14</v>
      </c>
      <c r="C107" s="5074" t="s">
        <v>3099</v>
      </c>
      <c r="D107" s="5074" t="s">
        <v>3100</v>
      </c>
      <c r="E107" s="5074" t="s">
        <v>3101</v>
      </c>
      <c r="F107" s="5074" t="s">
        <v>2852</v>
      </c>
      <c r="G107" s="5074" t="s">
        <v>3102</v>
      </c>
      <c r="H107" s="5074" t="s">
        <v>18</v>
      </c>
      <c r="I107" s="5074" t="s">
        <v>1089</v>
      </c>
    </row>
    <row customHeight="1" ht="11.25">
      <c r="A108" s="5074" t="s">
        <v>2795</v>
      </c>
      <c r="B108" s="5074" t="s">
        <v>14</v>
      </c>
      <c r="C108" s="5074" t="s">
        <v>3103</v>
      </c>
      <c r="D108" s="5074" t="s">
        <v>3104</v>
      </c>
      <c r="E108" s="5074" t="s">
        <v>3060</v>
      </c>
      <c r="F108" s="5074" t="s">
        <v>3105</v>
      </c>
      <c r="G108" s="5074" t="s">
        <v>3061</v>
      </c>
      <c r="H108" s="5074" t="s">
        <v>18</v>
      </c>
      <c r="I108" s="5074" t="s">
        <v>1089</v>
      </c>
    </row>
    <row customHeight="1" ht="11.25">
      <c r="A109" s="5074" t="s">
        <v>2795</v>
      </c>
      <c r="B109" s="5074" t="s">
        <v>14</v>
      </c>
      <c r="C109" s="5074" t="s">
        <v>3106</v>
      </c>
      <c r="D109" s="5074" t="s">
        <v>3107</v>
      </c>
      <c r="E109" s="5074" t="s">
        <v>3108</v>
      </c>
      <c r="F109" s="5074" t="s">
        <v>2804</v>
      </c>
      <c r="G109" s="5074" t="s">
        <v>3109</v>
      </c>
      <c r="H109" s="5074" t="s">
        <v>18</v>
      </c>
      <c r="I109" s="5074" t="s">
        <v>1067</v>
      </c>
    </row>
    <row customHeight="1" ht="11.25">
      <c r="A110" s="5074" t="s">
        <v>2795</v>
      </c>
      <c r="B110" s="5074" t="s">
        <v>14</v>
      </c>
      <c r="C110" s="5074" t="s">
        <v>3110</v>
      </c>
      <c r="D110" s="5074" t="s">
        <v>3111</v>
      </c>
      <c r="E110" s="5074" t="s">
        <v>3112</v>
      </c>
      <c r="F110" s="5074" t="s">
        <v>52</v>
      </c>
      <c r="G110" s="5074" t="s">
        <v>3113</v>
      </c>
      <c r="H110" s="5074" t="s">
        <v>18</v>
      </c>
      <c r="I110" s="5074" t="s">
        <v>1067</v>
      </c>
    </row>
    <row customHeight="1" ht="11.25">
      <c r="A111" s="5074" t="s">
        <v>2795</v>
      </c>
      <c r="B111" s="5074" t="s">
        <v>14</v>
      </c>
      <c r="C111" s="5074" t="s">
        <v>2806</v>
      </c>
      <c r="D111" s="5074" t="s">
        <v>2807</v>
      </c>
      <c r="E111" s="5074" t="s">
        <v>2808</v>
      </c>
      <c r="F111" s="5074" t="s">
        <v>2804</v>
      </c>
      <c r="G111" s="5074" t="s">
        <v>2809</v>
      </c>
      <c r="H111" s="5074" t="s">
        <v>18</v>
      </c>
      <c r="I111" s="5074" t="s">
        <v>1067</v>
      </c>
    </row>
    <row customHeight="1" ht="11.25">
      <c r="A112" s="5074" t="s">
        <v>2795</v>
      </c>
      <c r="B112" s="5074" t="s">
        <v>14</v>
      </c>
      <c r="C112" s="5074" t="s">
        <v>3114</v>
      </c>
      <c r="D112" s="5074" t="s">
        <v>3115</v>
      </c>
      <c r="E112" s="5074" t="s">
        <v>3116</v>
      </c>
      <c r="F112" s="5074" t="s">
        <v>3072</v>
      </c>
      <c r="G112" s="5074" t="s">
        <v>3117</v>
      </c>
      <c r="H112" s="5074" t="s">
        <v>18</v>
      </c>
      <c r="I112" s="5074" t="s">
        <v>1067</v>
      </c>
    </row>
    <row customHeight="1" ht="11.25">
      <c r="A113" s="5074" t="s">
        <v>2795</v>
      </c>
      <c r="B113" s="5074" t="s">
        <v>14</v>
      </c>
      <c r="C113" s="5074" t="s">
        <v>2858</v>
      </c>
      <c r="D113" s="5074" t="s">
        <v>2859</v>
      </c>
      <c r="E113" s="5074" t="s">
        <v>2860</v>
      </c>
      <c r="F113" s="5074" t="s">
        <v>2861</v>
      </c>
      <c r="G113" s="5074" t="s">
        <v>2862</v>
      </c>
      <c r="H113" s="5074" t="s">
        <v>18</v>
      </c>
      <c r="I113" s="5074" t="s">
        <v>1067</v>
      </c>
    </row>
    <row customHeight="1" ht="11.25">
      <c r="A114" s="5074" t="s">
        <v>2795</v>
      </c>
      <c r="B114" s="5074" t="s">
        <v>14</v>
      </c>
      <c r="C114" s="5074" t="s">
        <v>3118</v>
      </c>
      <c r="D114" s="5074" t="s">
        <v>3119</v>
      </c>
      <c r="E114" s="5074" t="s">
        <v>3120</v>
      </c>
      <c r="F114" s="5074" t="s">
        <v>3072</v>
      </c>
      <c r="G114" s="5074" t="s">
        <v>3121</v>
      </c>
      <c r="H114" s="5074" t="s">
        <v>18</v>
      </c>
      <c r="I114" s="5074" t="s">
        <v>1067</v>
      </c>
    </row>
    <row customHeight="1" ht="11.25">
      <c r="A115" s="5074" t="s">
        <v>2795</v>
      </c>
      <c r="B115" s="5074" t="s">
        <v>14</v>
      </c>
      <c r="C115" s="5074" t="s">
        <v>3122</v>
      </c>
      <c r="D115" s="5074" t="s">
        <v>3123</v>
      </c>
      <c r="E115" s="5074" t="s">
        <v>3124</v>
      </c>
      <c r="F115" s="5074" t="s">
        <v>3125</v>
      </c>
      <c r="G115" s="5074" t="s">
        <v>3126</v>
      </c>
      <c r="H115" s="5074" t="s">
        <v>18</v>
      </c>
      <c r="I115" s="5074" t="s">
        <v>1067</v>
      </c>
    </row>
    <row customHeight="1" ht="11.25">
      <c r="A116" s="5074" t="s">
        <v>2795</v>
      </c>
      <c r="B116" s="5074" t="s">
        <v>14</v>
      </c>
      <c r="C116" s="5074" t="s">
        <v>3127</v>
      </c>
      <c r="D116" s="5074" t="s">
        <v>3128</v>
      </c>
      <c r="E116" s="5074" t="s">
        <v>3129</v>
      </c>
      <c r="F116" s="5074" t="s">
        <v>3130</v>
      </c>
      <c r="G116" s="5074" t="s">
        <v>3131</v>
      </c>
      <c r="H116" s="5074" t="s">
        <v>18</v>
      </c>
      <c r="I116" s="5074" t="s">
        <v>1067</v>
      </c>
    </row>
    <row customHeight="1" ht="11.25">
      <c r="A117" s="5074" t="s">
        <v>2795</v>
      </c>
      <c r="B117" s="5074" t="s">
        <v>14</v>
      </c>
      <c r="C117" s="5074" t="s">
        <v>3132</v>
      </c>
      <c r="D117" s="5074" t="s">
        <v>3133</v>
      </c>
      <c r="E117" s="5074" t="s">
        <v>3134</v>
      </c>
      <c r="F117" s="5074" t="s">
        <v>3130</v>
      </c>
      <c r="G117" s="5074" t="s">
        <v>3135</v>
      </c>
      <c r="H117" s="5074" t="s">
        <v>18</v>
      </c>
      <c r="I117" s="5074" t="s">
        <v>1067</v>
      </c>
    </row>
    <row customHeight="1" ht="11.25">
      <c r="A118" s="5074" t="s">
        <v>2795</v>
      </c>
      <c r="B118" s="5074" t="s">
        <v>14</v>
      </c>
      <c r="C118" s="5074" t="s">
        <v>3136</v>
      </c>
      <c r="D118" s="5074" t="s">
        <v>3137</v>
      </c>
      <c r="E118" s="5074" t="s">
        <v>3138</v>
      </c>
      <c r="F118" s="5074" t="s">
        <v>3125</v>
      </c>
      <c r="G118" s="5074" t="s">
        <v>3139</v>
      </c>
      <c r="H118" s="5074" t="s">
        <v>18</v>
      </c>
      <c r="I118" s="5074" t="s">
        <v>1067</v>
      </c>
    </row>
    <row customHeight="1" ht="11.25">
      <c r="A119" s="5074" t="s">
        <v>2795</v>
      </c>
      <c r="B119" s="5074" t="s">
        <v>14</v>
      </c>
      <c r="C119" s="5074" t="s">
        <v>3140</v>
      </c>
      <c r="D119" s="5074" t="s">
        <v>3141</v>
      </c>
      <c r="E119" s="5074" t="s">
        <v>3142</v>
      </c>
      <c r="F119" s="5074" t="s">
        <v>3042</v>
      </c>
      <c r="G119" s="5074" t="s">
        <v>3143</v>
      </c>
      <c r="H119" s="5074" t="s">
        <v>18</v>
      </c>
      <c r="I119" s="5074" t="s">
        <v>1067</v>
      </c>
    </row>
    <row customHeight="1" ht="11.25">
      <c r="A120" s="5074" t="s">
        <v>2795</v>
      </c>
      <c r="B120" s="5074" t="s">
        <v>14</v>
      </c>
      <c r="C120" s="5074" t="s">
        <v>2875</v>
      </c>
      <c r="D120" s="5074" t="s">
        <v>47</v>
      </c>
      <c r="E120" s="5074" t="s">
        <v>50</v>
      </c>
      <c r="F120" s="5074" t="s">
        <v>52</v>
      </c>
      <c r="G120" s="5074" t="s">
        <v>2876</v>
      </c>
      <c r="H120" s="5074" t="s">
        <v>18</v>
      </c>
      <c r="I120" s="5074" t="s">
        <v>1067</v>
      </c>
    </row>
    <row customHeight="1" ht="11.25">
      <c r="A121" s="5074" t="s">
        <v>2795</v>
      </c>
      <c r="B121" s="5074" t="s">
        <v>14</v>
      </c>
      <c r="C121" s="5074" t="s">
        <v>3144</v>
      </c>
      <c r="D121" s="5074" t="s">
        <v>3145</v>
      </c>
      <c r="E121" s="5074" t="s">
        <v>3146</v>
      </c>
      <c r="F121" s="5074" t="s">
        <v>2861</v>
      </c>
      <c r="G121" s="5074" t="s">
        <v>3147</v>
      </c>
      <c r="H121" s="5074" t="s">
        <v>18</v>
      </c>
      <c r="I121" s="5074" t="s">
        <v>1067</v>
      </c>
    </row>
    <row customHeight="1" ht="11.25">
      <c r="A122" s="5074" t="s">
        <v>2795</v>
      </c>
      <c r="B122" s="5074" t="s">
        <v>14</v>
      </c>
      <c r="C122" s="5074" t="s">
        <v>3148</v>
      </c>
      <c r="D122" s="5074" t="s">
        <v>3149</v>
      </c>
      <c r="E122" s="5074" t="s">
        <v>3150</v>
      </c>
      <c r="F122" s="5074" t="s">
        <v>2990</v>
      </c>
      <c r="G122" s="5074" t="s">
        <v>3151</v>
      </c>
      <c r="H122" s="5074" t="s">
        <v>18</v>
      </c>
      <c r="I122" s="5074" t="s">
        <v>1067</v>
      </c>
    </row>
    <row customHeight="1" ht="11.25">
      <c r="A123" s="5074" t="s">
        <v>2795</v>
      </c>
      <c r="B123" s="5074" t="s">
        <v>14</v>
      </c>
      <c r="C123" s="5074" t="s">
        <v>3152</v>
      </c>
      <c r="D123" s="5074" t="s">
        <v>3153</v>
      </c>
      <c r="E123" s="5074" t="s">
        <v>3154</v>
      </c>
      <c r="F123" s="5074" t="s">
        <v>519</v>
      </c>
      <c r="G123" s="5074" t="s">
        <v>3155</v>
      </c>
      <c r="H123" s="5074" t="s">
        <v>18</v>
      </c>
      <c r="I123" s="5074" t="s">
        <v>1067</v>
      </c>
    </row>
    <row customHeight="1" ht="11.25">
      <c r="A124" s="5074" t="s">
        <v>2795</v>
      </c>
      <c r="B124" s="5074" t="s">
        <v>14</v>
      </c>
      <c r="C124" s="5074" t="s">
        <v>3156</v>
      </c>
      <c r="D124" s="5074" t="s">
        <v>3157</v>
      </c>
      <c r="E124" s="5074" t="s">
        <v>3158</v>
      </c>
      <c r="F124" s="5074" t="s">
        <v>3159</v>
      </c>
      <c r="G124" s="5074" t="s">
        <v>3160</v>
      </c>
      <c r="H124" s="5074" t="s">
        <v>18</v>
      </c>
      <c r="I124" s="5074" t="s">
        <v>1067</v>
      </c>
    </row>
    <row customHeight="1" ht="11.25">
      <c r="A125" s="5074" t="s">
        <v>2795</v>
      </c>
      <c r="B125" s="5074" t="s">
        <v>14</v>
      </c>
      <c r="C125" s="5074" t="s">
        <v>3161</v>
      </c>
      <c r="D125" s="5074" t="s">
        <v>3162</v>
      </c>
      <c r="E125" s="5074" t="s">
        <v>3163</v>
      </c>
      <c r="F125" s="5074" t="s">
        <v>3164</v>
      </c>
      <c r="G125" s="5074" t="s">
        <v>3165</v>
      </c>
      <c r="H125" s="5074" t="s">
        <v>18</v>
      </c>
      <c r="I125" s="5074" t="s">
        <v>1067</v>
      </c>
    </row>
    <row customHeight="1" ht="11.25">
      <c r="A126" s="5074" t="s">
        <v>2795</v>
      </c>
      <c r="B126" s="5074" t="s">
        <v>14</v>
      </c>
      <c r="C126" s="5074" t="s">
        <v>3166</v>
      </c>
      <c r="D126" s="5074" t="s">
        <v>3167</v>
      </c>
      <c r="E126" s="5074" t="s">
        <v>3168</v>
      </c>
      <c r="F126" s="5074" t="s">
        <v>3164</v>
      </c>
      <c r="G126" s="5074" t="s">
        <v>3169</v>
      </c>
      <c r="H126" s="5074" t="s">
        <v>18</v>
      </c>
      <c r="I126" s="5074" t="s">
        <v>1067</v>
      </c>
    </row>
    <row customHeight="1" ht="11.25">
      <c r="A127" s="5074" t="s">
        <v>2795</v>
      </c>
      <c r="B127" s="5074" t="s">
        <v>14</v>
      </c>
      <c r="C127" s="5074" t="s">
        <v>3170</v>
      </c>
      <c r="D127" s="5074" t="s">
        <v>3171</v>
      </c>
      <c r="E127" s="5074" t="s">
        <v>3172</v>
      </c>
      <c r="F127" s="5074" t="s">
        <v>3173</v>
      </c>
      <c r="G127" s="5074" t="s">
        <v>3174</v>
      </c>
      <c r="H127" s="5074" t="s">
        <v>18</v>
      </c>
      <c r="I127" s="5074" t="s">
        <v>1067</v>
      </c>
    </row>
    <row customHeight="1" ht="11.25">
      <c r="A128" s="5074" t="s">
        <v>2795</v>
      </c>
      <c r="B128" s="5074" t="s">
        <v>14</v>
      </c>
      <c r="C128" s="5074" t="s">
        <v>3175</v>
      </c>
      <c r="D128" s="5074" t="s">
        <v>3176</v>
      </c>
      <c r="E128" s="5074" t="s">
        <v>3177</v>
      </c>
      <c r="F128" s="5074" t="s">
        <v>3173</v>
      </c>
      <c r="G128" s="5074" t="s">
        <v>3178</v>
      </c>
      <c r="H128" s="5074" t="s">
        <v>18</v>
      </c>
      <c r="I128" s="5074" t="s">
        <v>1067</v>
      </c>
    </row>
    <row customHeight="1" ht="11.25">
      <c r="A129" s="5074" t="s">
        <v>2795</v>
      </c>
      <c r="B129" s="5074" t="s">
        <v>14</v>
      </c>
      <c r="C129" s="5074" t="s">
        <v>3179</v>
      </c>
      <c r="D129" s="5074" t="s">
        <v>3180</v>
      </c>
      <c r="E129" s="5074" t="s">
        <v>3181</v>
      </c>
      <c r="F129" s="5074" t="s">
        <v>52</v>
      </c>
      <c r="G129" s="5074" t="s">
        <v>3182</v>
      </c>
      <c r="H129" s="5074" t="s">
        <v>18</v>
      </c>
      <c r="I129" s="5074" t="s">
        <v>1067</v>
      </c>
    </row>
    <row customHeight="1" ht="11.25">
      <c r="A130" s="5074" t="s">
        <v>2795</v>
      </c>
      <c r="B130" s="5074" t="s">
        <v>14</v>
      </c>
      <c r="C130" s="5074" t="s">
        <v>3183</v>
      </c>
      <c r="D130" s="5074" t="s">
        <v>3184</v>
      </c>
      <c r="E130" s="5074" t="s">
        <v>3185</v>
      </c>
      <c r="F130" s="5074" t="s">
        <v>2922</v>
      </c>
      <c r="G130" s="5074" t="s">
        <v>3186</v>
      </c>
      <c r="H130" s="5074" t="s">
        <v>18</v>
      </c>
      <c r="I130" s="5074" t="s">
        <v>1067</v>
      </c>
    </row>
    <row customHeight="1" ht="11.25">
      <c r="A131" s="5074" t="s">
        <v>2795</v>
      </c>
      <c r="B131" s="5074" t="s">
        <v>14</v>
      </c>
      <c r="C131" s="5074" t="s">
        <v>3187</v>
      </c>
      <c r="D131" s="5074" t="s">
        <v>3188</v>
      </c>
      <c r="E131" s="5074" t="s">
        <v>3189</v>
      </c>
      <c r="F131" s="5074" t="s">
        <v>3125</v>
      </c>
      <c r="G131" s="5074" t="s">
        <v>3190</v>
      </c>
      <c r="H131" s="5074" t="s">
        <v>18</v>
      </c>
      <c r="I131" s="5074" t="s">
        <v>1067</v>
      </c>
    </row>
    <row customHeight="1" ht="11.25">
      <c r="A132" s="5074" t="s">
        <v>2795</v>
      </c>
      <c r="B132" s="5074" t="s">
        <v>14</v>
      </c>
      <c r="C132" s="5074" t="s">
        <v>3191</v>
      </c>
      <c r="D132" s="5074" t="s">
        <v>3192</v>
      </c>
      <c r="E132" s="5074" t="s">
        <v>3193</v>
      </c>
      <c r="F132" s="5074" t="s">
        <v>3173</v>
      </c>
      <c r="G132" s="5074" t="s">
        <v>3194</v>
      </c>
      <c r="H132" s="5074" t="s">
        <v>18</v>
      </c>
      <c r="I132" s="5074" t="s">
        <v>1067</v>
      </c>
    </row>
    <row customHeight="1" ht="11.25">
      <c r="A133" s="5074" t="s">
        <v>2795</v>
      </c>
      <c r="B133" s="5074" t="s">
        <v>14</v>
      </c>
      <c r="C133" s="5074" t="s">
        <v>2919</v>
      </c>
      <c r="D133" s="5074" t="s">
        <v>2920</v>
      </c>
      <c r="E133" s="5074" t="s">
        <v>2921</v>
      </c>
      <c r="F133" s="5074" t="s">
        <v>2922</v>
      </c>
      <c r="G133" s="5074" t="s">
        <v>2923</v>
      </c>
      <c r="H133" s="5074" t="s">
        <v>18</v>
      </c>
      <c r="I133" s="5074" t="s">
        <v>1067</v>
      </c>
    </row>
    <row customHeight="1" ht="11.25">
      <c r="A134" s="5074" t="s">
        <v>2795</v>
      </c>
      <c r="B134" s="5074" t="s">
        <v>14</v>
      </c>
      <c r="C134" s="5074" t="s">
        <v>3195</v>
      </c>
      <c r="D134" s="5074" t="s">
        <v>3196</v>
      </c>
      <c r="E134" s="5074" t="s">
        <v>3197</v>
      </c>
      <c r="F134" s="5074" t="s">
        <v>3130</v>
      </c>
      <c r="G134" s="5074" t="s">
        <v>3198</v>
      </c>
      <c r="H134" s="5074" t="s">
        <v>18</v>
      </c>
      <c r="I134" s="5074" t="s">
        <v>1067</v>
      </c>
    </row>
    <row customHeight="1" ht="11.25">
      <c r="A135" s="5074" t="s">
        <v>2795</v>
      </c>
      <c r="B135" s="5074" t="s">
        <v>14</v>
      </c>
      <c r="C135" s="5074" t="s">
        <v>3199</v>
      </c>
      <c r="D135" s="5074" t="s">
        <v>3200</v>
      </c>
      <c r="E135" s="5074" t="s">
        <v>3201</v>
      </c>
      <c r="F135" s="5074" t="s">
        <v>3202</v>
      </c>
      <c r="G135" s="5074" t="s">
        <v>3203</v>
      </c>
      <c r="H135" s="5074" t="s">
        <v>18</v>
      </c>
      <c r="I135" s="5074" t="s">
        <v>1067</v>
      </c>
    </row>
    <row customHeight="1" ht="11.25">
      <c r="A136" s="5074" t="s">
        <v>2795</v>
      </c>
      <c r="B136" s="5074" t="s">
        <v>14</v>
      </c>
      <c r="C136" s="5074" t="s">
        <v>3204</v>
      </c>
      <c r="D136" s="5074" t="s">
        <v>3200</v>
      </c>
      <c r="E136" s="5074" t="s">
        <v>3205</v>
      </c>
      <c r="F136" s="5074" t="s">
        <v>3125</v>
      </c>
      <c r="G136" s="5074" t="s">
        <v>3206</v>
      </c>
      <c r="H136" s="5074" t="s">
        <v>18</v>
      </c>
      <c r="I136" s="5074" t="s">
        <v>1067</v>
      </c>
    </row>
    <row customHeight="1" ht="11.25">
      <c r="A137" s="5074" t="s">
        <v>2795</v>
      </c>
      <c r="B137" s="5074" t="s">
        <v>14</v>
      </c>
      <c r="C137" s="5074" t="s">
        <v>3207</v>
      </c>
      <c r="D137" s="5074" t="s">
        <v>3208</v>
      </c>
      <c r="E137" s="5074" t="s">
        <v>3209</v>
      </c>
      <c r="F137" s="5074" t="s">
        <v>3173</v>
      </c>
      <c r="G137" s="5074" t="s">
        <v>3210</v>
      </c>
      <c r="H137" s="5074" t="s">
        <v>18</v>
      </c>
      <c r="I137" s="5074" t="s">
        <v>1067</v>
      </c>
    </row>
    <row customHeight="1" ht="11.25">
      <c r="A138" s="5074" t="s">
        <v>2795</v>
      </c>
      <c r="B138" s="5074" t="s">
        <v>14</v>
      </c>
      <c r="C138" s="5074" t="s">
        <v>3211</v>
      </c>
      <c r="D138" s="5074" t="s">
        <v>3212</v>
      </c>
      <c r="E138" s="5074" t="s">
        <v>3213</v>
      </c>
      <c r="F138" s="5074" t="s">
        <v>3125</v>
      </c>
      <c r="G138" s="5074" t="s">
        <v>3214</v>
      </c>
      <c r="H138" s="5074" t="s">
        <v>18</v>
      </c>
      <c r="I138" s="5074" t="s">
        <v>1067</v>
      </c>
    </row>
    <row customHeight="1" ht="11.25">
      <c r="A139" s="5074" t="s">
        <v>2795</v>
      </c>
      <c r="B139" s="5074" t="s">
        <v>14</v>
      </c>
      <c r="C139" s="5074" t="s">
        <v>3215</v>
      </c>
      <c r="D139" s="5074" t="s">
        <v>3216</v>
      </c>
      <c r="E139" s="5074" t="s">
        <v>3217</v>
      </c>
      <c r="F139" s="5074" t="s">
        <v>3173</v>
      </c>
      <c r="G139" s="5074" t="s">
        <v>3218</v>
      </c>
      <c r="H139" s="5074" t="s">
        <v>3219</v>
      </c>
      <c r="I139" s="5074" t="s">
        <v>1067</v>
      </c>
    </row>
    <row customHeight="1" ht="11.25">
      <c r="A140" s="5074" t="s">
        <v>2795</v>
      </c>
      <c r="B140" s="5074" t="s">
        <v>14</v>
      </c>
      <c r="C140" s="5074" t="s">
        <v>3220</v>
      </c>
      <c r="D140" s="5074" t="s">
        <v>3221</v>
      </c>
      <c r="E140" s="5074" t="s">
        <v>3222</v>
      </c>
      <c r="F140" s="5074" t="s">
        <v>2826</v>
      </c>
      <c r="G140" s="5074" t="s">
        <v>3223</v>
      </c>
      <c r="H140" s="5074" t="s">
        <v>18</v>
      </c>
      <c r="I140" s="5074" t="s">
        <v>1067</v>
      </c>
    </row>
    <row customHeight="1" ht="11.25">
      <c r="A141" s="5074" t="s">
        <v>2795</v>
      </c>
      <c r="B141" s="5074" t="s">
        <v>14</v>
      </c>
      <c r="C141" s="5074" t="s">
        <v>3224</v>
      </c>
      <c r="D141" s="5074" t="s">
        <v>3225</v>
      </c>
      <c r="E141" s="5074" t="s">
        <v>3226</v>
      </c>
      <c r="F141" s="5074" t="s">
        <v>2861</v>
      </c>
      <c r="G141" s="5074" t="s">
        <v>3227</v>
      </c>
      <c r="H141" s="5074" t="s">
        <v>18</v>
      </c>
      <c r="I141" s="5074" t="s">
        <v>1067</v>
      </c>
    </row>
    <row customHeight="1" ht="11.25">
      <c r="A142" s="5074" t="s">
        <v>2795</v>
      </c>
      <c r="B142" s="5074" t="s">
        <v>14</v>
      </c>
      <c r="C142" s="5074" t="s">
        <v>3228</v>
      </c>
      <c r="D142" s="5074" t="s">
        <v>3229</v>
      </c>
      <c r="E142" s="5074" t="s">
        <v>3230</v>
      </c>
      <c r="F142" s="5074" t="s">
        <v>2799</v>
      </c>
      <c r="G142" s="5074" t="s">
        <v>3231</v>
      </c>
      <c r="H142" s="5074" t="s">
        <v>18</v>
      </c>
      <c r="I142" s="5074" t="s">
        <v>1067</v>
      </c>
    </row>
    <row customHeight="1" ht="11.25">
      <c r="A143" s="5074" t="s">
        <v>2795</v>
      </c>
      <c r="B143" s="5074" t="s">
        <v>14</v>
      </c>
      <c r="C143" s="5074" t="s">
        <v>3232</v>
      </c>
      <c r="D143" s="5074" t="s">
        <v>3233</v>
      </c>
      <c r="E143" s="5074" t="s">
        <v>3234</v>
      </c>
      <c r="F143" s="5074" t="s">
        <v>3202</v>
      </c>
      <c r="G143" s="5074" t="s">
        <v>3235</v>
      </c>
      <c r="H143" s="5074" t="s">
        <v>18</v>
      </c>
      <c r="I143" s="5074" t="s">
        <v>1067</v>
      </c>
    </row>
    <row customHeight="1" ht="11.25">
      <c r="A144" s="5074" t="s">
        <v>2795</v>
      </c>
      <c r="B144" s="5074" t="s">
        <v>14</v>
      </c>
      <c r="C144" s="5074" t="s">
        <v>3236</v>
      </c>
      <c r="D144" s="5074" t="s">
        <v>3237</v>
      </c>
      <c r="E144" s="5074" t="s">
        <v>3238</v>
      </c>
      <c r="F144" s="5074" t="s">
        <v>3125</v>
      </c>
      <c r="G144" s="5074" t="s">
        <v>3239</v>
      </c>
      <c r="H144" s="5074" t="s">
        <v>18</v>
      </c>
      <c r="I144" s="5074" t="s">
        <v>1067</v>
      </c>
    </row>
    <row customHeight="1" ht="11.25">
      <c r="A145" s="5074" t="s">
        <v>2795</v>
      </c>
      <c r="B145" s="5074" t="s">
        <v>14</v>
      </c>
      <c r="C145" s="5074" t="s">
        <v>3240</v>
      </c>
      <c r="D145" s="5074" t="s">
        <v>3241</v>
      </c>
      <c r="E145" s="5074" t="s">
        <v>3242</v>
      </c>
      <c r="F145" s="5074" t="s">
        <v>3243</v>
      </c>
      <c r="G145" s="5074" t="s">
        <v>3244</v>
      </c>
      <c r="H145" s="5074" t="s">
        <v>18</v>
      </c>
      <c r="I145" s="5074" t="s">
        <v>1067</v>
      </c>
    </row>
    <row customHeight="1" ht="11.25">
      <c r="A146" s="5074" t="s">
        <v>2795</v>
      </c>
      <c r="B146" s="5074" t="s">
        <v>14</v>
      </c>
      <c r="C146" s="5074" t="s">
        <v>2939</v>
      </c>
      <c r="D146" s="5074" t="s">
        <v>2940</v>
      </c>
      <c r="E146" s="5074" t="s">
        <v>2941</v>
      </c>
      <c r="F146" s="5074" t="s">
        <v>2826</v>
      </c>
      <c r="G146" s="5074" t="s">
        <v>2942</v>
      </c>
      <c r="H146" s="5074" t="s">
        <v>18</v>
      </c>
      <c r="I146" s="5074" t="s">
        <v>1067</v>
      </c>
    </row>
    <row customHeight="1" ht="11.25">
      <c r="A147" s="5074" t="s">
        <v>2795</v>
      </c>
      <c r="B147" s="5074" t="s">
        <v>14</v>
      </c>
      <c r="C147" s="5074" t="s">
        <v>3245</v>
      </c>
      <c r="D147" s="5074" t="s">
        <v>3246</v>
      </c>
      <c r="E147" s="5074" t="s">
        <v>3247</v>
      </c>
      <c r="F147" s="5074" t="s">
        <v>2799</v>
      </c>
      <c r="G147" s="5074" t="s">
        <v>3248</v>
      </c>
      <c r="H147" s="5074" t="s">
        <v>18</v>
      </c>
      <c r="I147" s="5074" t="s">
        <v>1067</v>
      </c>
    </row>
    <row customHeight="1" ht="11.25">
      <c r="A148" s="5074" t="s">
        <v>2795</v>
      </c>
      <c r="B148" s="5074" t="s">
        <v>14</v>
      </c>
      <c r="C148" s="5074" t="s">
        <v>3249</v>
      </c>
      <c r="D148" s="5074" t="s">
        <v>3250</v>
      </c>
      <c r="E148" s="5074" t="s">
        <v>3251</v>
      </c>
      <c r="F148" s="5074" t="s">
        <v>3164</v>
      </c>
      <c r="G148" s="5074" t="s">
        <v>3252</v>
      </c>
      <c r="H148" s="5074" t="s">
        <v>18</v>
      </c>
      <c r="I148" s="5074" t="s">
        <v>1067</v>
      </c>
    </row>
    <row customHeight="1" ht="11.25">
      <c r="A149" s="5074" t="s">
        <v>2795</v>
      </c>
      <c r="B149" s="5074" t="s">
        <v>14</v>
      </c>
      <c r="C149" s="5074" t="s">
        <v>3253</v>
      </c>
      <c r="D149" s="5074" t="s">
        <v>3254</v>
      </c>
      <c r="E149" s="5074" t="s">
        <v>3255</v>
      </c>
      <c r="F149" s="5074" t="s">
        <v>3130</v>
      </c>
      <c r="G149" s="5074" t="s">
        <v>3256</v>
      </c>
      <c r="H149" s="5074" t="s">
        <v>3257</v>
      </c>
      <c r="I149" s="5074" t="s">
        <v>1067</v>
      </c>
    </row>
    <row customHeight="1" ht="11.25">
      <c r="A150" s="5074" t="s">
        <v>2795</v>
      </c>
      <c r="B150" s="5074" t="s">
        <v>14</v>
      </c>
      <c r="C150" s="5074" t="s">
        <v>3258</v>
      </c>
      <c r="D150" s="5074" t="s">
        <v>3259</v>
      </c>
      <c r="E150" s="5074" t="s">
        <v>3260</v>
      </c>
      <c r="F150" s="5074" t="s">
        <v>2861</v>
      </c>
      <c r="G150" s="5074" t="s">
        <v>3261</v>
      </c>
      <c r="H150" s="5074" t="s">
        <v>18</v>
      </c>
      <c r="I150" s="5074" t="s">
        <v>1067</v>
      </c>
    </row>
    <row customHeight="1" ht="11.25">
      <c r="A151" s="5074" t="s">
        <v>2795</v>
      </c>
      <c r="B151" s="5074" t="s">
        <v>14</v>
      </c>
      <c r="C151" s="5074" t="s">
        <v>3262</v>
      </c>
      <c r="D151" s="5074" t="s">
        <v>3263</v>
      </c>
      <c r="E151" s="5074" t="s">
        <v>3264</v>
      </c>
      <c r="F151" s="5074" t="s">
        <v>3159</v>
      </c>
      <c r="G151" s="5074" t="s">
        <v>3265</v>
      </c>
      <c r="H151" s="5074" t="s">
        <v>18</v>
      </c>
      <c r="I151" s="5074" t="s">
        <v>1067</v>
      </c>
    </row>
    <row customHeight="1" ht="11.25">
      <c r="A152" s="5074" t="s">
        <v>2795</v>
      </c>
      <c r="B152" s="5074" t="s">
        <v>14</v>
      </c>
      <c r="C152" s="5074" t="s">
        <v>3266</v>
      </c>
      <c r="D152" s="5074" t="s">
        <v>3267</v>
      </c>
      <c r="E152" s="5074" t="s">
        <v>3268</v>
      </c>
      <c r="F152" s="5074" t="s">
        <v>3243</v>
      </c>
      <c r="G152" s="5074" t="s">
        <v>18</v>
      </c>
      <c r="H152" s="5074" t="s">
        <v>18</v>
      </c>
      <c r="I152" s="5074" t="s">
        <v>1067</v>
      </c>
    </row>
    <row customHeight="1" ht="11.25">
      <c r="A153" s="5074" t="s">
        <v>2795</v>
      </c>
      <c r="B153" s="5074" t="s">
        <v>14</v>
      </c>
      <c r="C153" s="5074" t="s">
        <v>3269</v>
      </c>
      <c r="D153" s="5074" t="s">
        <v>3270</v>
      </c>
      <c r="E153" s="5074" t="s">
        <v>3271</v>
      </c>
      <c r="F153" s="5074" t="s">
        <v>2861</v>
      </c>
      <c r="G153" s="5074" t="s">
        <v>3261</v>
      </c>
      <c r="H153" s="5074" t="s">
        <v>18</v>
      </c>
      <c r="I153" s="5074" t="s">
        <v>1067</v>
      </c>
    </row>
    <row customHeight="1" ht="11.25">
      <c r="A154" s="5074" t="s">
        <v>2795</v>
      </c>
      <c r="B154" s="5074" t="s">
        <v>14</v>
      </c>
      <c r="C154" s="5074" t="s">
        <v>2968</v>
      </c>
      <c r="D154" s="5074" t="s">
        <v>2969</v>
      </c>
      <c r="E154" s="5074" t="s">
        <v>2970</v>
      </c>
      <c r="F154" s="5074" t="s">
        <v>2861</v>
      </c>
      <c r="G154" s="5074" t="s">
        <v>2971</v>
      </c>
      <c r="H154" s="5074" t="s">
        <v>18</v>
      </c>
      <c r="I154" s="5074" t="s">
        <v>1067</v>
      </c>
    </row>
    <row customHeight="1" ht="11.25">
      <c r="A155" s="5074" t="s">
        <v>2795</v>
      </c>
      <c r="B155" s="5074" t="s">
        <v>14</v>
      </c>
      <c r="C155" s="5074" t="s">
        <v>3272</v>
      </c>
      <c r="D155" s="5074" t="s">
        <v>3273</v>
      </c>
      <c r="E155" s="5074" t="s">
        <v>3274</v>
      </c>
      <c r="F155" s="5074" t="s">
        <v>3275</v>
      </c>
      <c r="G155" s="5074" t="s">
        <v>3276</v>
      </c>
      <c r="H155" s="5074" t="s">
        <v>18</v>
      </c>
      <c r="I155" s="5074" t="s">
        <v>1067</v>
      </c>
    </row>
    <row customHeight="1" ht="11.25">
      <c r="A156" s="5074" t="s">
        <v>2795</v>
      </c>
      <c r="B156" s="5074" t="s">
        <v>14</v>
      </c>
      <c r="C156" s="5074" t="s">
        <v>3277</v>
      </c>
      <c r="D156" s="5074" t="s">
        <v>3278</v>
      </c>
      <c r="E156" s="5074" t="s">
        <v>3279</v>
      </c>
      <c r="F156" s="5074" t="s">
        <v>3202</v>
      </c>
      <c r="G156" s="5074" t="s">
        <v>3280</v>
      </c>
      <c r="H156" s="5074" t="s">
        <v>18</v>
      </c>
      <c r="I156" s="5074" t="s">
        <v>1067</v>
      </c>
    </row>
    <row customHeight="1" ht="11.25">
      <c r="A157" s="5074" t="s">
        <v>2795</v>
      </c>
      <c r="B157" s="5074" t="s">
        <v>14</v>
      </c>
      <c r="C157" s="5074" t="s">
        <v>3281</v>
      </c>
      <c r="D157" s="5074" t="s">
        <v>3282</v>
      </c>
      <c r="E157" s="5074" t="s">
        <v>3283</v>
      </c>
      <c r="F157" s="5074" t="s">
        <v>2990</v>
      </c>
      <c r="G157" s="5074" t="s">
        <v>3284</v>
      </c>
      <c r="H157" s="5074" t="s">
        <v>18</v>
      </c>
      <c r="I157" s="5074" t="s">
        <v>1067</v>
      </c>
    </row>
    <row customHeight="1" ht="11.25">
      <c r="A158" s="5074" t="s">
        <v>2795</v>
      </c>
      <c r="B158" s="5074" t="s">
        <v>14</v>
      </c>
      <c r="C158" s="5074" t="s">
        <v>3285</v>
      </c>
      <c r="D158" s="5074" t="s">
        <v>3286</v>
      </c>
      <c r="E158" s="5074" t="s">
        <v>3287</v>
      </c>
      <c r="F158" s="5074" t="s">
        <v>2990</v>
      </c>
      <c r="G158" s="5074" t="s">
        <v>3288</v>
      </c>
      <c r="H158" s="5074" t="s">
        <v>18</v>
      </c>
      <c r="I158" s="5074" t="s">
        <v>1067</v>
      </c>
    </row>
    <row customHeight="1" ht="11.25">
      <c r="A159" s="5074" t="s">
        <v>2795</v>
      </c>
      <c r="B159" s="5074" t="s">
        <v>14</v>
      </c>
      <c r="C159" s="5074" t="s">
        <v>3289</v>
      </c>
      <c r="D159" s="5074" t="s">
        <v>3290</v>
      </c>
      <c r="E159" s="5074" t="s">
        <v>3291</v>
      </c>
      <c r="F159" s="5074" t="s">
        <v>52</v>
      </c>
      <c r="G159" s="5074" t="s">
        <v>3002</v>
      </c>
      <c r="H159" s="5074" t="s">
        <v>18</v>
      </c>
      <c r="I159" s="5074" t="s">
        <v>1067</v>
      </c>
    </row>
    <row customHeight="1" ht="11.25">
      <c r="A160" s="5074" t="s">
        <v>2795</v>
      </c>
      <c r="B160" s="5074" t="s">
        <v>14</v>
      </c>
      <c r="C160" s="5074" t="s">
        <v>3292</v>
      </c>
      <c r="D160" s="5074" t="s">
        <v>3293</v>
      </c>
      <c r="E160" s="5074" t="s">
        <v>3294</v>
      </c>
      <c r="F160" s="5074" t="s">
        <v>3159</v>
      </c>
      <c r="G160" s="5074" t="s">
        <v>3295</v>
      </c>
      <c r="H160" s="5074" t="s">
        <v>18</v>
      </c>
      <c r="I160" s="5074" t="s">
        <v>1067</v>
      </c>
    </row>
    <row customHeight="1" ht="11.25">
      <c r="A161" s="5074" t="s">
        <v>2795</v>
      </c>
      <c r="B161" s="5074" t="s">
        <v>14</v>
      </c>
      <c r="C161" s="5074" t="s">
        <v>3296</v>
      </c>
      <c r="D161" s="5074" t="s">
        <v>3297</v>
      </c>
      <c r="E161" s="5074" t="s">
        <v>3298</v>
      </c>
      <c r="F161" s="5074" t="s">
        <v>2847</v>
      </c>
      <c r="G161" s="5074" t="s">
        <v>3299</v>
      </c>
      <c r="H161" s="5074" t="s">
        <v>18</v>
      </c>
      <c r="I161" s="5074" t="s">
        <v>1067</v>
      </c>
    </row>
    <row customHeight="1" ht="11.25">
      <c r="A162" s="5074" t="s">
        <v>2795</v>
      </c>
      <c r="B162" s="5074" t="s">
        <v>14</v>
      </c>
      <c r="C162" s="5074" t="s">
        <v>3053</v>
      </c>
      <c r="D162" s="5074" t="s">
        <v>3054</v>
      </c>
      <c r="E162" s="5074" t="s">
        <v>3055</v>
      </c>
      <c r="F162" s="5074" t="s">
        <v>3056</v>
      </c>
      <c r="G162" s="5074" t="s">
        <v>3057</v>
      </c>
      <c r="H162" s="5074" t="s">
        <v>18</v>
      </c>
      <c r="I162" s="5074" t="s">
        <v>1067</v>
      </c>
    </row>
    <row customHeight="1" ht="11.25">
      <c r="A163" s="5074" t="s">
        <v>2795</v>
      </c>
      <c r="B163" s="5074" t="s">
        <v>14</v>
      </c>
      <c r="C163" s="5074" t="s">
        <v>18</v>
      </c>
      <c r="D163" s="5074" t="s">
        <v>3070</v>
      </c>
      <c r="E163" s="5074" t="s">
        <v>3071</v>
      </c>
      <c r="F163" s="5074" t="s">
        <v>3072</v>
      </c>
      <c r="G163" s="5074" t="s">
        <v>18</v>
      </c>
      <c r="H163" s="5074" t="s">
        <v>18</v>
      </c>
      <c r="I163" s="5074" t="s">
        <v>1067</v>
      </c>
    </row>
    <row customHeight="1" ht="11.25">
      <c r="A164" s="5074" t="s">
        <v>2795</v>
      </c>
      <c r="B164" s="5074" t="s">
        <v>14</v>
      </c>
      <c r="C164" s="5074" t="s">
        <v>3300</v>
      </c>
      <c r="D164" s="5074" t="s">
        <v>3301</v>
      </c>
      <c r="E164" s="5074" t="s">
        <v>3302</v>
      </c>
      <c r="F164" s="5074" t="s">
        <v>2861</v>
      </c>
      <c r="G164" s="5074" t="s">
        <v>3303</v>
      </c>
      <c r="H164" s="5074" t="s">
        <v>18</v>
      </c>
      <c r="I164" s="5074" t="s">
        <v>1067</v>
      </c>
    </row>
    <row customHeight="1" ht="11.25">
      <c r="A165" s="5074" t="s">
        <v>2795</v>
      </c>
      <c r="B165" s="5074" t="s">
        <v>14</v>
      </c>
      <c r="C165" s="5074" t="s">
        <v>3304</v>
      </c>
      <c r="D165" s="5074" t="s">
        <v>3305</v>
      </c>
      <c r="E165" s="5074" t="s">
        <v>3306</v>
      </c>
      <c r="F165" s="5074" t="s">
        <v>3164</v>
      </c>
      <c r="G165" s="5074" t="s">
        <v>3307</v>
      </c>
      <c r="H165" s="5074" t="s">
        <v>18</v>
      </c>
      <c r="I165" s="5074" t="s">
        <v>1067</v>
      </c>
    </row>
    <row customHeight="1" ht="11.25">
      <c r="A166" s="5074" t="s">
        <v>2795</v>
      </c>
      <c r="B166" s="5074" t="s">
        <v>14</v>
      </c>
      <c r="C166" s="5074" t="s">
        <v>3308</v>
      </c>
      <c r="D166" s="5074" t="s">
        <v>3309</v>
      </c>
      <c r="E166" s="5074" t="s">
        <v>3310</v>
      </c>
      <c r="F166" s="5074" t="s">
        <v>3130</v>
      </c>
      <c r="G166" s="5074" t="s">
        <v>3311</v>
      </c>
      <c r="H166" s="5074" t="s">
        <v>3312</v>
      </c>
      <c r="I166" s="5074" t="s">
        <v>1067</v>
      </c>
    </row>
    <row customHeight="1" ht="11.25">
      <c r="A167" s="5074" t="s">
        <v>2795</v>
      </c>
      <c r="B167" s="5074" t="s">
        <v>14</v>
      </c>
      <c r="C167" s="5074" t="s">
        <v>3313</v>
      </c>
      <c r="D167" s="5074" t="s">
        <v>3314</v>
      </c>
      <c r="E167" s="5074" t="s">
        <v>3315</v>
      </c>
      <c r="F167" s="5074" t="s">
        <v>3130</v>
      </c>
      <c r="G167" s="5074" t="s">
        <v>3316</v>
      </c>
      <c r="H167" s="5074" t="s">
        <v>18</v>
      </c>
      <c r="I167" s="5074" t="s">
        <v>1067</v>
      </c>
    </row>
    <row customHeight="1" ht="11.25">
      <c r="A168" s="5074" t="s">
        <v>2795</v>
      </c>
      <c r="B168" s="5074" t="s">
        <v>14</v>
      </c>
      <c r="C168" s="5074" t="s">
        <v>3317</v>
      </c>
      <c r="D168" s="5074" t="s">
        <v>3318</v>
      </c>
      <c r="E168" s="5074" t="s">
        <v>3319</v>
      </c>
      <c r="F168" s="5074" t="s">
        <v>3164</v>
      </c>
      <c r="G168" s="5074" t="s">
        <v>3320</v>
      </c>
      <c r="H168" s="5074" t="s">
        <v>18</v>
      </c>
      <c r="I168" s="5074" t="s">
        <v>1067</v>
      </c>
    </row>
    <row customHeight="1" ht="11.25">
      <c r="A169" s="5074" t="s">
        <v>2795</v>
      </c>
      <c r="B169" s="5074" t="s">
        <v>14</v>
      </c>
      <c r="C169" s="5074" t="s">
        <v>3078</v>
      </c>
      <c r="D169" s="5074" t="s">
        <v>3079</v>
      </c>
      <c r="E169" s="5074" t="s">
        <v>3080</v>
      </c>
      <c r="F169" s="5074" t="s">
        <v>3081</v>
      </c>
      <c r="G169" s="5074" t="s">
        <v>18</v>
      </c>
      <c r="H169" s="5074" t="s">
        <v>18</v>
      </c>
      <c r="I169" s="5074" t="s">
        <v>1067</v>
      </c>
    </row>
    <row customHeight="1" ht="11.25">
      <c r="A170" s="5074" t="s">
        <v>2795</v>
      </c>
      <c r="B170" s="5074" t="s">
        <v>14</v>
      </c>
      <c r="C170" s="5074" t="s">
        <v>3082</v>
      </c>
      <c r="D170" s="5074" t="s">
        <v>3083</v>
      </c>
      <c r="E170" s="5074" t="s">
        <v>3084</v>
      </c>
      <c r="F170" s="5074" t="s">
        <v>3085</v>
      </c>
      <c r="G170" s="5074" t="s">
        <v>3086</v>
      </c>
      <c r="H170" s="5074" t="s">
        <v>18</v>
      </c>
      <c r="I170" s="5074" t="s">
        <v>1067</v>
      </c>
    </row>
    <row customHeight="1" ht="11.25">
      <c r="A171" s="5074" t="s">
        <v>2795</v>
      </c>
      <c r="B171" s="5074" t="s">
        <v>14</v>
      </c>
      <c r="C171" s="5074" t="s">
        <v>3090</v>
      </c>
      <c r="D171" s="5074" t="s">
        <v>3091</v>
      </c>
      <c r="E171" s="5074" t="s">
        <v>3092</v>
      </c>
      <c r="F171" s="5074" t="s">
        <v>3093</v>
      </c>
      <c r="G171" s="5074" t="s">
        <v>2913</v>
      </c>
      <c r="H171" s="5074" t="s">
        <v>18</v>
      </c>
      <c r="I171" s="5074" t="s">
        <v>1067</v>
      </c>
    </row>
    <row customHeight="1" ht="11.25">
      <c r="A172" s="5074" t="s">
        <v>2795</v>
      </c>
      <c r="B172" s="5074" t="s">
        <v>14</v>
      </c>
      <c r="C172" s="5074" t="s">
        <v>3321</v>
      </c>
      <c r="D172" s="5074" t="s">
        <v>3322</v>
      </c>
      <c r="E172" s="5074" t="s">
        <v>3323</v>
      </c>
      <c r="F172" s="5074" t="s">
        <v>3159</v>
      </c>
      <c r="G172" s="5074" t="s">
        <v>3324</v>
      </c>
      <c r="H172" s="5074" t="s">
        <v>18</v>
      </c>
      <c r="I172" s="5074" t="s">
        <v>1067</v>
      </c>
    </row>
    <row customHeight="1" ht="11.25">
      <c r="A173" s="5074" t="s">
        <v>2795</v>
      </c>
      <c r="B173" s="5074" t="s">
        <v>14</v>
      </c>
      <c r="C173" s="5074" t="s">
        <v>3094</v>
      </c>
      <c r="D173" s="5074" t="s">
        <v>3095</v>
      </c>
      <c r="E173" s="5074" t="s">
        <v>3096</v>
      </c>
      <c r="F173" s="5074" t="s">
        <v>3097</v>
      </c>
      <c r="G173" s="5074" t="s">
        <v>3098</v>
      </c>
      <c r="H173" s="5074" t="s">
        <v>18</v>
      </c>
      <c r="I173" s="5074" t="s">
        <v>1067</v>
      </c>
    </row>
    <row customHeight="1" ht="11.25">
      <c r="A174" s="5074" t="s">
        <v>2795</v>
      </c>
      <c r="B174" s="5074" t="s">
        <v>14</v>
      </c>
      <c r="C174" s="5074" t="s">
        <v>3106</v>
      </c>
      <c r="D174" s="5074" t="s">
        <v>3107</v>
      </c>
      <c r="E174" s="5074" t="s">
        <v>3108</v>
      </c>
      <c r="F174" s="5074" t="s">
        <v>2804</v>
      </c>
      <c r="G174" s="5074" t="s">
        <v>3109</v>
      </c>
      <c r="H174" s="5074" t="s">
        <v>18</v>
      </c>
      <c r="I174" s="5074" t="s">
        <v>695</v>
      </c>
    </row>
    <row customHeight="1" ht="11.25">
      <c r="A175" s="5074" t="s">
        <v>2795</v>
      </c>
      <c r="B175" s="5074" t="s">
        <v>14</v>
      </c>
      <c r="C175" s="5074" t="s">
        <v>2806</v>
      </c>
      <c r="D175" s="5074" t="s">
        <v>2807</v>
      </c>
      <c r="E175" s="5074" t="s">
        <v>2808</v>
      </c>
      <c r="F175" s="5074" t="s">
        <v>2804</v>
      </c>
      <c r="G175" s="5074" t="s">
        <v>2809</v>
      </c>
      <c r="H175" s="5074" t="s">
        <v>18</v>
      </c>
      <c r="I175" s="5074" t="s">
        <v>695</v>
      </c>
    </row>
    <row customHeight="1" ht="11.25">
      <c r="A176" s="5074" t="s">
        <v>2795</v>
      </c>
      <c r="B176" s="5074" t="s">
        <v>14</v>
      </c>
      <c r="C176" s="5074" t="s">
        <v>2858</v>
      </c>
      <c r="D176" s="5074" t="s">
        <v>2859</v>
      </c>
      <c r="E176" s="5074" t="s">
        <v>2860</v>
      </c>
      <c r="F176" s="5074" t="s">
        <v>2861</v>
      </c>
      <c r="G176" s="5074" t="s">
        <v>2862</v>
      </c>
      <c r="H176" s="5074" t="s">
        <v>18</v>
      </c>
      <c r="I176" s="5074" t="s">
        <v>695</v>
      </c>
    </row>
    <row customHeight="1" ht="11.25">
      <c r="A177" s="5074" t="s">
        <v>2795</v>
      </c>
      <c r="B177" s="5074" t="s">
        <v>14</v>
      </c>
      <c r="C177" s="5074" t="s">
        <v>3132</v>
      </c>
      <c r="D177" s="5074" t="s">
        <v>3133</v>
      </c>
      <c r="E177" s="5074" t="s">
        <v>3134</v>
      </c>
      <c r="F177" s="5074" t="s">
        <v>3130</v>
      </c>
      <c r="G177" s="5074" t="s">
        <v>3135</v>
      </c>
      <c r="H177" s="5074" t="s">
        <v>18</v>
      </c>
      <c r="I177" s="5074" t="s">
        <v>695</v>
      </c>
    </row>
    <row customHeight="1" ht="11.25">
      <c r="A178" s="5074" t="s">
        <v>2795</v>
      </c>
      <c r="B178" s="5074" t="s">
        <v>14</v>
      </c>
      <c r="C178" s="5074" t="s">
        <v>3140</v>
      </c>
      <c r="D178" s="5074" t="s">
        <v>3141</v>
      </c>
      <c r="E178" s="5074" t="s">
        <v>3142</v>
      </c>
      <c r="F178" s="5074" t="s">
        <v>3042</v>
      </c>
      <c r="G178" s="5074" t="s">
        <v>3143</v>
      </c>
      <c r="H178" s="5074" t="s">
        <v>18</v>
      </c>
      <c r="I178" s="5074" t="s">
        <v>695</v>
      </c>
    </row>
    <row customHeight="1" ht="11.25">
      <c r="A179" s="5074" t="s">
        <v>2795</v>
      </c>
      <c r="B179" s="5074" t="s">
        <v>14</v>
      </c>
      <c r="C179" s="5074" t="s">
        <v>2875</v>
      </c>
      <c r="D179" s="5074" t="s">
        <v>47</v>
      </c>
      <c r="E179" s="5074" t="s">
        <v>50</v>
      </c>
      <c r="F179" s="5074" t="s">
        <v>52</v>
      </c>
      <c r="G179" s="5074" t="s">
        <v>2876</v>
      </c>
      <c r="H179" s="5074" t="s">
        <v>18</v>
      </c>
      <c r="I179" s="5074" t="s">
        <v>695</v>
      </c>
    </row>
    <row customHeight="1" ht="11.25">
      <c r="A180" s="5074" t="s">
        <v>2795</v>
      </c>
      <c r="B180" s="5074" t="s">
        <v>14</v>
      </c>
      <c r="C180" s="5074" t="s">
        <v>3325</v>
      </c>
      <c r="D180" s="5074" t="s">
        <v>3326</v>
      </c>
      <c r="E180" s="5074" t="s">
        <v>3327</v>
      </c>
      <c r="F180" s="5074" t="s">
        <v>52</v>
      </c>
      <c r="G180" s="5074" t="s">
        <v>3328</v>
      </c>
      <c r="H180" s="5074" t="s">
        <v>18</v>
      </c>
      <c r="I180" s="5074" t="s">
        <v>695</v>
      </c>
    </row>
    <row customHeight="1" ht="11.25">
      <c r="A181" s="5074" t="s">
        <v>2795</v>
      </c>
      <c r="B181" s="5074" t="s">
        <v>14</v>
      </c>
      <c r="C181" s="5074" t="s">
        <v>3148</v>
      </c>
      <c r="D181" s="5074" t="s">
        <v>3149</v>
      </c>
      <c r="E181" s="5074" t="s">
        <v>3150</v>
      </c>
      <c r="F181" s="5074" t="s">
        <v>2990</v>
      </c>
      <c r="G181" s="5074" t="s">
        <v>3151</v>
      </c>
      <c r="H181" s="5074" t="s">
        <v>18</v>
      </c>
      <c r="I181" s="5074" t="s">
        <v>695</v>
      </c>
    </row>
    <row customHeight="1" ht="11.25">
      <c r="A182" s="5074" t="s">
        <v>2795</v>
      </c>
      <c r="B182" s="5074" t="s">
        <v>14</v>
      </c>
      <c r="C182" s="5074" t="s">
        <v>3179</v>
      </c>
      <c r="D182" s="5074" t="s">
        <v>3180</v>
      </c>
      <c r="E182" s="5074" t="s">
        <v>3181</v>
      </c>
      <c r="F182" s="5074" t="s">
        <v>52</v>
      </c>
      <c r="G182" s="5074" t="s">
        <v>3182</v>
      </c>
      <c r="H182" s="5074" t="s">
        <v>18</v>
      </c>
      <c r="I182" s="5074" t="s">
        <v>695</v>
      </c>
    </row>
    <row customHeight="1" ht="11.25">
      <c r="A183" s="5074" t="s">
        <v>2795</v>
      </c>
      <c r="B183" s="5074" t="s">
        <v>14</v>
      </c>
      <c r="C183" s="5074" t="s">
        <v>3329</v>
      </c>
      <c r="D183" s="5074" t="s">
        <v>3330</v>
      </c>
      <c r="E183" s="5074" t="s">
        <v>3331</v>
      </c>
      <c r="F183" s="5074" t="s">
        <v>2922</v>
      </c>
      <c r="G183" s="5074" t="s">
        <v>3332</v>
      </c>
      <c r="H183" s="5074" t="s">
        <v>18</v>
      </c>
      <c r="I183" s="5074" t="s">
        <v>695</v>
      </c>
    </row>
    <row customHeight="1" ht="11.25">
      <c r="A184" s="5074" t="s">
        <v>2795</v>
      </c>
      <c r="B184" s="5074" t="s">
        <v>14</v>
      </c>
      <c r="C184" s="5074" t="s">
        <v>2939</v>
      </c>
      <c r="D184" s="5074" t="s">
        <v>2940</v>
      </c>
      <c r="E184" s="5074" t="s">
        <v>2941</v>
      </c>
      <c r="F184" s="5074" t="s">
        <v>2826</v>
      </c>
      <c r="G184" s="5074" t="s">
        <v>2942</v>
      </c>
      <c r="H184" s="5074" t="s">
        <v>18</v>
      </c>
      <c r="I184" s="5074" t="s">
        <v>695</v>
      </c>
    </row>
    <row customHeight="1" ht="11.25">
      <c r="A185" s="5074" t="s">
        <v>2795</v>
      </c>
      <c r="B185" s="5074" t="s">
        <v>14</v>
      </c>
      <c r="C185" s="5074" t="s">
        <v>3333</v>
      </c>
      <c r="D185" s="5074" t="s">
        <v>3334</v>
      </c>
      <c r="E185" s="5074" t="s">
        <v>3335</v>
      </c>
      <c r="F185" s="5074" t="s">
        <v>3336</v>
      </c>
      <c r="G185" s="5074" t="s">
        <v>18</v>
      </c>
      <c r="H185" s="5074" t="s">
        <v>18</v>
      </c>
      <c r="I185" s="5074" t="s">
        <v>695</v>
      </c>
    </row>
    <row customHeight="1" ht="11.25">
      <c r="A186" s="5074" t="s">
        <v>2795</v>
      </c>
      <c r="B186" s="5074" t="s">
        <v>14</v>
      </c>
      <c r="C186" s="5074" t="s">
        <v>3269</v>
      </c>
      <c r="D186" s="5074" t="s">
        <v>3270</v>
      </c>
      <c r="E186" s="5074" t="s">
        <v>3271</v>
      </c>
      <c r="F186" s="5074" t="s">
        <v>2861</v>
      </c>
      <c r="G186" s="5074" t="s">
        <v>3261</v>
      </c>
      <c r="H186" s="5074" t="s">
        <v>18</v>
      </c>
      <c r="I186" s="5074" t="s">
        <v>695</v>
      </c>
    </row>
    <row customHeight="1" ht="11.25">
      <c r="A187" s="5074" t="s">
        <v>2795</v>
      </c>
      <c r="B187" s="5074" t="s">
        <v>14</v>
      </c>
      <c r="C187" s="5074" t="s">
        <v>2968</v>
      </c>
      <c r="D187" s="5074" t="s">
        <v>2969</v>
      </c>
      <c r="E187" s="5074" t="s">
        <v>2970</v>
      </c>
      <c r="F187" s="5074" t="s">
        <v>2861</v>
      </c>
      <c r="G187" s="5074" t="s">
        <v>2971</v>
      </c>
      <c r="H187" s="5074" t="s">
        <v>18</v>
      </c>
      <c r="I187" s="5074" t="s">
        <v>695</v>
      </c>
    </row>
    <row customHeight="1" ht="11.25">
      <c r="A188" s="5074" t="s">
        <v>2795</v>
      </c>
      <c r="B188" s="5074" t="s">
        <v>14</v>
      </c>
      <c r="C188" s="5074" t="s">
        <v>3272</v>
      </c>
      <c r="D188" s="5074" t="s">
        <v>3273</v>
      </c>
      <c r="E188" s="5074" t="s">
        <v>3274</v>
      </c>
      <c r="F188" s="5074" t="s">
        <v>3275</v>
      </c>
      <c r="G188" s="5074" t="s">
        <v>3276</v>
      </c>
      <c r="H188" s="5074" t="s">
        <v>18</v>
      </c>
      <c r="I188" s="5074" t="s">
        <v>695</v>
      </c>
    </row>
    <row customHeight="1" ht="11.25">
      <c r="A189" s="5074" t="s">
        <v>2795</v>
      </c>
      <c r="B189" s="5074" t="s">
        <v>14</v>
      </c>
      <c r="C189" s="5074" t="s">
        <v>2972</v>
      </c>
      <c r="D189" s="5074" t="s">
        <v>2973</v>
      </c>
      <c r="E189" s="5074" t="s">
        <v>2974</v>
      </c>
      <c r="F189" s="5074" t="s">
        <v>2975</v>
      </c>
      <c r="G189" s="5074" t="s">
        <v>2976</v>
      </c>
      <c r="H189" s="5074" t="s">
        <v>18</v>
      </c>
      <c r="I189" s="5074" t="s">
        <v>695</v>
      </c>
    </row>
    <row customHeight="1" ht="11.25">
      <c r="A190" s="5074" t="s">
        <v>2795</v>
      </c>
      <c r="B190" s="5074" t="s">
        <v>14</v>
      </c>
      <c r="C190" s="5074" t="s">
        <v>3285</v>
      </c>
      <c r="D190" s="5074" t="s">
        <v>3286</v>
      </c>
      <c r="E190" s="5074" t="s">
        <v>3287</v>
      </c>
      <c r="F190" s="5074" t="s">
        <v>2990</v>
      </c>
      <c r="G190" s="5074" t="s">
        <v>3288</v>
      </c>
      <c r="H190" s="5074" t="s">
        <v>18</v>
      </c>
      <c r="I190" s="5074" t="s">
        <v>695</v>
      </c>
    </row>
    <row customHeight="1" ht="11.25">
      <c r="A191" s="5074" t="s">
        <v>2795</v>
      </c>
      <c r="B191" s="5074" t="s">
        <v>14</v>
      </c>
      <c r="C191" s="5074" t="s">
        <v>3289</v>
      </c>
      <c r="D191" s="5074" t="s">
        <v>3290</v>
      </c>
      <c r="E191" s="5074" t="s">
        <v>3291</v>
      </c>
      <c r="F191" s="5074" t="s">
        <v>52</v>
      </c>
      <c r="G191" s="5074" t="s">
        <v>3002</v>
      </c>
      <c r="H191" s="5074" t="s">
        <v>18</v>
      </c>
      <c r="I191" s="5074" t="s">
        <v>695</v>
      </c>
    </row>
    <row customHeight="1" ht="11.25">
      <c r="A192" s="5074" t="s">
        <v>2795</v>
      </c>
      <c r="B192" s="5074" t="s">
        <v>14</v>
      </c>
      <c r="C192" s="5074" t="s">
        <v>3337</v>
      </c>
      <c r="D192" s="5074" t="s">
        <v>3338</v>
      </c>
      <c r="E192" s="5074" t="s">
        <v>3339</v>
      </c>
      <c r="F192" s="5074" t="s">
        <v>2799</v>
      </c>
      <c r="G192" s="5074" t="s">
        <v>3340</v>
      </c>
      <c r="H192" s="5074" t="s">
        <v>18</v>
      </c>
      <c r="I192" s="5074" t="s">
        <v>695</v>
      </c>
    </row>
    <row customHeight="1" ht="11.25">
      <c r="A193" s="5074" t="s">
        <v>2795</v>
      </c>
      <c r="B193" s="5074" t="s">
        <v>14</v>
      </c>
      <c r="C193" s="5074" t="s">
        <v>3341</v>
      </c>
      <c r="D193" s="5074" t="s">
        <v>3342</v>
      </c>
      <c r="E193" s="5074" t="s">
        <v>3343</v>
      </c>
      <c r="F193" s="5074" t="s">
        <v>3042</v>
      </c>
      <c r="G193" s="5074" t="s">
        <v>3344</v>
      </c>
      <c r="H193" s="5074" t="s">
        <v>18</v>
      </c>
      <c r="I193" s="5074" t="s">
        <v>695</v>
      </c>
    </row>
    <row customHeight="1" ht="11.25">
      <c r="A194" s="5074" t="s">
        <v>2795</v>
      </c>
      <c r="B194" s="5074" t="s">
        <v>14</v>
      </c>
      <c r="C194" s="5074" t="s">
        <v>3345</v>
      </c>
      <c r="D194" s="5074" t="s">
        <v>3346</v>
      </c>
      <c r="E194" s="5074" t="s">
        <v>3347</v>
      </c>
      <c r="F194" s="5074" t="s">
        <v>3348</v>
      </c>
      <c r="G194" s="5074" t="s">
        <v>3349</v>
      </c>
      <c r="H194" s="5074" t="s">
        <v>18</v>
      </c>
      <c r="I194" s="5074" t="s">
        <v>695</v>
      </c>
    </row>
    <row customHeight="1" ht="11.25">
      <c r="A195" s="5074" t="s">
        <v>2795</v>
      </c>
      <c r="B195" s="5074" t="s">
        <v>14</v>
      </c>
      <c r="C195" s="5074" t="s">
        <v>3350</v>
      </c>
      <c r="D195" s="5074" t="s">
        <v>3351</v>
      </c>
      <c r="E195" s="5074" t="s">
        <v>3352</v>
      </c>
      <c r="F195" s="5074" t="s">
        <v>2861</v>
      </c>
      <c r="G195" s="5074" t="s">
        <v>3353</v>
      </c>
      <c r="H195" s="5074" t="s">
        <v>18</v>
      </c>
      <c r="I195" s="5074" t="s">
        <v>695</v>
      </c>
    </row>
    <row customHeight="1" ht="11.25">
      <c r="A196" s="5074" t="s">
        <v>2795</v>
      </c>
      <c r="B196" s="5074" t="s">
        <v>14</v>
      </c>
      <c r="C196" s="5074" t="s">
        <v>3044</v>
      </c>
      <c r="D196" s="5074" t="s">
        <v>3045</v>
      </c>
      <c r="E196" s="5074" t="s">
        <v>3046</v>
      </c>
      <c r="F196" s="5074" t="s">
        <v>3047</v>
      </c>
      <c r="G196" s="5074" t="s">
        <v>3048</v>
      </c>
      <c r="H196" s="5074" t="s">
        <v>18</v>
      </c>
      <c r="I196" s="5074" t="s">
        <v>695</v>
      </c>
    </row>
    <row customHeight="1" ht="11.25">
      <c r="A197" s="5074" t="s">
        <v>2795</v>
      </c>
      <c r="B197" s="5074" t="s">
        <v>14</v>
      </c>
      <c r="C197" s="5074" t="s">
        <v>3296</v>
      </c>
      <c r="D197" s="5074" t="s">
        <v>3297</v>
      </c>
      <c r="E197" s="5074" t="s">
        <v>3298</v>
      </c>
      <c r="F197" s="5074" t="s">
        <v>2847</v>
      </c>
      <c r="G197" s="5074" t="s">
        <v>3299</v>
      </c>
      <c r="H197" s="5074" t="s">
        <v>18</v>
      </c>
      <c r="I197" s="5074" t="s">
        <v>695</v>
      </c>
    </row>
    <row customHeight="1" ht="11.25">
      <c r="A198" s="5074" t="s">
        <v>2795</v>
      </c>
      <c r="B198" s="5074" t="s">
        <v>14</v>
      </c>
      <c r="C198" s="5074" t="s">
        <v>3053</v>
      </c>
      <c r="D198" s="5074" t="s">
        <v>3054</v>
      </c>
      <c r="E198" s="5074" t="s">
        <v>3055</v>
      </c>
      <c r="F198" s="5074" t="s">
        <v>3056</v>
      </c>
      <c r="G198" s="5074" t="s">
        <v>3057</v>
      </c>
      <c r="H198" s="5074" t="s">
        <v>18</v>
      </c>
      <c r="I198" s="5074" t="s">
        <v>695</v>
      </c>
    </row>
    <row customHeight="1" ht="11.25">
      <c r="A199" s="5074" t="s">
        <v>2795</v>
      </c>
      <c r="B199" s="5074" t="s">
        <v>14</v>
      </c>
      <c r="C199" s="5074" t="s">
        <v>18</v>
      </c>
      <c r="D199" s="5074" t="s">
        <v>3070</v>
      </c>
      <c r="E199" s="5074" t="s">
        <v>3071</v>
      </c>
      <c r="F199" s="5074" t="s">
        <v>3072</v>
      </c>
      <c r="G199" s="5074" t="s">
        <v>18</v>
      </c>
      <c r="H199" s="5074" t="s">
        <v>18</v>
      </c>
      <c r="I199" s="5074" t="s">
        <v>695</v>
      </c>
    </row>
    <row customHeight="1" ht="11.25">
      <c r="A200" s="5074" t="s">
        <v>2795</v>
      </c>
      <c r="B200" s="5074" t="s">
        <v>14</v>
      </c>
      <c r="C200" s="5074" t="s">
        <v>3078</v>
      </c>
      <c r="D200" s="5074" t="s">
        <v>3079</v>
      </c>
      <c r="E200" s="5074" t="s">
        <v>3080</v>
      </c>
      <c r="F200" s="5074" t="s">
        <v>3081</v>
      </c>
      <c r="G200" s="5074" t="s">
        <v>18</v>
      </c>
      <c r="H200" s="5074" t="s">
        <v>18</v>
      </c>
      <c r="I200" s="5074" t="s">
        <v>695</v>
      </c>
    </row>
    <row customHeight="1" ht="11.25">
      <c r="A201" s="5074" t="s">
        <v>2795</v>
      </c>
      <c r="B201" s="5074" t="s">
        <v>14</v>
      </c>
      <c r="C201" s="5074" t="s">
        <v>3082</v>
      </c>
      <c r="D201" s="5074" t="s">
        <v>3083</v>
      </c>
      <c r="E201" s="5074" t="s">
        <v>3084</v>
      </c>
      <c r="F201" s="5074" t="s">
        <v>3085</v>
      </c>
      <c r="G201" s="5074" t="s">
        <v>3086</v>
      </c>
      <c r="H201" s="5074" t="s">
        <v>18</v>
      </c>
      <c r="I201" s="5074" t="s">
        <v>695</v>
      </c>
    </row>
    <row customHeight="1" ht="11.25">
      <c r="A202" s="5074" t="s">
        <v>2795</v>
      </c>
      <c r="B202" s="5074" t="s">
        <v>14</v>
      </c>
      <c r="C202" s="5074" t="s">
        <v>3090</v>
      </c>
      <c r="D202" s="5074" t="s">
        <v>3091</v>
      </c>
      <c r="E202" s="5074" t="s">
        <v>3092</v>
      </c>
      <c r="F202" s="5074" t="s">
        <v>3093</v>
      </c>
      <c r="G202" s="5074" t="s">
        <v>2913</v>
      </c>
      <c r="H202" s="5074" t="s">
        <v>18</v>
      </c>
      <c r="I202" s="5074" t="s">
        <v>695</v>
      </c>
    </row>
    <row customHeight="1" ht="11.25">
      <c r="A203" s="5074" t="s">
        <v>2795</v>
      </c>
      <c r="B203" s="5074" t="s">
        <v>14</v>
      </c>
      <c r="C203" s="5074" t="s">
        <v>3094</v>
      </c>
      <c r="D203" s="5074" t="s">
        <v>3095</v>
      </c>
      <c r="E203" s="5074" t="s">
        <v>3096</v>
      </c>
      <c r="F203" s="5074" t="s">
        <v>3097</v>
      </c>
      <c r="G203" s="5074" t="s">
        <v>3098</v>
      </c>
      <c r="H203" s="5074" t="s">
        <v>18</v>
      </c>
      <c r="I203" s="5074" t="s">
        <v>695</v>
      </c>
    </row>
    <row customHeight="1" ht="11.25">
      <c r="A204" s="5074" t="s">
        <v>2795</v>
      </c>
      <c r="B204" s="5074" t="s">
        <v>14</v>
      </c>
      <c r="C204" s="5074" t="s">
        <v>2810</v>
      </c>
      <c r="D204" s="5074" t="s">
        <v>2811</v>
      </c>
      <c r="E204" s="5074" t="s">
        <v>2812</v>
      </c>
      <c r="F204" s="5074" t="s">
        <v>2813</v>
      </c>
      <c r="G204" s="5074" t="s">
        <v>2814</v>
      </c>
      <c r="H204" s="5074" t="s">
        <v>18</v>
      </c>
      <c r="I204" s="5074" t="s">
        <v>1097</v>
      </c>
    </row>
    <row customHeight="1" ht="11.25">
      <c r="A205" s="5074" t="s">
        <v>2795</v>
      </c>
      <c r="B205" s="5074" t="s">
        <v>14</v>
      </c>
      <c r="C205" s="5074" t="s">
        <v>3354</v>
      </c>
      <c r="D205" s="5074" t="s">
        <v>3355</v>
      </c>
      <c r="E205" s="5074" t="s">
        <v>3356</v>
      </c>
      <c r="F205" s="5074" t="s">
        <v>519</v>
      </c>
      <c r="G205" s="5074" t="s">
        <v>3357</v>
      </c>
      <c r="H205" s="5074" t="s">
        <v>18</v>
      </c>
      <c r="I205" s="5074" t="s">
        <v>1097</v>
      </c>
    </row>
    <row customHeight="1" ht="11.25">
      <c r="A206" s="5074" t="s">
        <v>2795</v>
      </c>
      <c r="B206" s="5074" t="s">
        <v>14</v>
      </c>
      <c r="C206" s="5074" t="s">
        <v>3358</v>
      </c>
      <c r="D206" s="5074" t="s">
        <v>3359</v>
      </c>
      <c r="E206" s="5074" t="s">
        <v>3360</v>
      </c>
      <c r="F206" s="5074" t="s">
        <v>519</v>
      </c>
      <c r="G206" s="5074" t="s">
        <v>3361</v>
      </c>
      <c r="H206" s="5074" t="s">
        <v>18</v>
      </c>
      <c r="I206" s="5074" t="s">
        <v>1097</v>
      </c>
    </row>
    <row customHeight="1" ht="11.25">
      <c r="A207" s="5074" t="s">
        <v>2795</v>
      </c>
      <c r="B207" s="5074" t="s">
        <v>14</v>
      </c>
      <c r="C207" s="5074" t="s">
        <v>3362</v>
      </c>
      <c r="D207" s="5074" t="s">
        <v>3363</v>
      </c>
      <c r="E207" s="5074" t="s">
        <v>3364</v>
      </c>
      <c r="F207" s="5074" t="s">
        <v>519</v>
      </c>
      <c r="G207" s="5074" t="s">
        <v>3365</v>
      </c>
      <c r="H207" s="5074" t="s">
        <v>18</v>
      </c>
      <c r="I207" s="5074" t="s">
        <v>1097</v>
      </c>
    </row>
    <row customHeight="1" ht="11.25">
      <c r="A208" s="5074" t="s">
        <v>2795</v>
      </c>
      <c r="B208" s="5074" t="s">
        <v>14</v>
      </c>
      <c r="C208" s="5074" t="s">
        <v>3366</v>
      </c>
      <c r="D208" s="5074" t="s">
        <v>3367</v>
      </c>
      <c r="E208" s="5074" t="s">
        <v>3368</v>
      </c>
      <c r="F208" s="5074" t="s">
        <v>519</v>
      </c>
      <c r="G208" s="5074" t="s">
        <v>18</v>
      </c>
      <c r="H208" s="5074" t="s">
        <v>18</v>
      </c>
      <c r="I208" s="5074" t="s">
        <v>1097</v>
      </c>
    </row>
    <row customHeight="1" ht="11.25">
      <c r="A209" s="5074" t="s">
        <v>2795</v>
      </c>
      <c r="B209" s="5074" t="s">
        <v>14</v>
      </c>
      <c r="C209" s="5074" t="s">
        <v>3369</v>
      </c>
      <c r="D209" s="5074" t="s">
        <v>3370</v>
      </c>
      <c r="E209" s="5074" t="s">
        <v>3371</v>
      </c>
      <c r="F209" s="5074" t="s">
        <v>519</v>
      </c>
      <c r="G209" s="5074" t="s">
        <v>3372</v>
      </c>
      <c r="H209" s="5074" t="s">
        <v>18</v>
      </c>
      <c r="I209" s="5074" t="s">
        <v>1097</v>
      </c>
    </row>
    <row customHeight="1" ht="11.25">
      <c r="A210" s="5074" t="s">
        <v>2795</v>
      </c>
      <c r="B210" s="5074" t="s">
        <v>14</v>
      </c>
      <c r="C210" s="5074" t="s">
        <v>3373</v>
      </c>
      <c r="D210" s="5074" t="s">
        <v>3374</v>
      </c>
      <c r="E210" s="5074" t="s">
        <v>3375</v>
      </c>
      <c r="F210" s="5074" t="s">
        <v>519</v>
      </c>
      <c r="G210" s="5074" t="s">
        <v>3376</v>
      </c>
      <c r="H210" s="5074" t="s">
        <v>18</v>
      </c>
      <c r="I210" s="5074" t="s">
        <v>1097</v>
      </c>
    </row>
    <row customHeight="1" ht="11.25">
      <c r="A211" s="5074" t="s">
        <v>2795</v>
      </c>
      <c r="B211" s="5074" t="s">
        <v>14</v>
      </c>
      <c r="C211" s="5074" t="s">
        <v>3377</v>
      </c>
      <c r="D211" s="5074" t="s">
        <v>3378</v>
      </c>
      <c r="E211" s="5074" t="s">
        <v>3379</v>
      </c>
      <c r="F211" s="5074" t="s">
        <v>519</v>
      </c>
      <c r="G211" s="5074" t="s">
        <v>3380</v>
      </c>
      <c r="H211" s="5074" t="s">
        <v>18</v>
      </c>
      <c r="I211" s="5074" t="s">
        <v>1097</v>
      </c>
    </row>
    <row customHeight="1" ht="11.25">
      <c r="A212" s="5074" t="s">
        <v>2795</v>
      </c>
      <c r="B212" s="5074" t="s">
        <v>14</v>
      </c>
      <c r="C212" s="5074" t="s">
        <v>3381</v>
      </c>
      <c r="D212" s="5074" t="s">
        <v>3382</v>
      </c>
      <c r="E212" s="5074" t="s">
        <v>3383</v>
      </c>
      <c r="F212" s="5074" t="s">
        <v>519</v>
      </c>
      <c r="G212" s="5074" t="s">
        <v>3357</v>
      </c>
      <c r="H212" s="5074" t="s">
        <v>18</v>
      </c>
      <c r="I212" s="5074" t="s">
        <v>1097</v>
      </c>
    </row>
    <row customHeight="1" ht="11.25">
      <c r="A213" s="5074" t="s">
        <v>2795</v>
      </c>
      <c r="B213" s="5074" t="s">
        <v>14</v>
      </c>
      <c r="C213" s="5074" t="s">
        <v>3384</v>
      </c>
      <c r="D213" s="5074" t="s">
        <v>3385</v>
      </c>
      <c r="E213" s="5074" t="s">
        <v>3386</v>
      </c>
      <c r="F213" s="5074" t="s">
        <v>519</v>
      </c>
      <c r="G213" s="5074" t="s">
        <v>3387</v>
      </c>
      <c r="H213" s="5074" t="s">
        <v>18</v>
      </c>
      <c r="I213" s="5074" t="s">
        <v>1097</v>
      </c>
    </row>
    <row customHeight="1" ht="11.25">
      <c r="A214" s="5074" t="s">
        <v>2795</v>
      </c>
      <c r="B214" s="5074" t="s">
        <v>14</v>
      </c>
      <c r="C214" s="5074" t="s">
        <v>3388</v>
      </c>
      <c r="D214" s="5074" t="s">
        <v>3389</v>
      </c>
      <c r="E214" s="5074" t="s">
        <v>3390</v>
      </c>
      <c r="F214" s="5074" t="s">
        <v>519</v>
      </c>
      <c r="G214" s="5074" t="s">
        <v>3391</v>
      </c>
      <c r="H214" s="5074" t="s">
        <v>18</v>
      </c>
      <c r="I214" s="5074" t="s">
        <v>1097</v>
      </c>
    </row>
    <row customHeight="1" ht="11.25">
      <c r="A215" s="5074" t="s">
        <v>2795</v>
      </c>
      <c r="B215" s="5074" t="s">
        <v>14</v>
      </c>
      <c r="C215" s="5074" t="s">
        <v>3392</v>
      </c>
      <c r="D215" s="5074" t="s">
        <v>3393</v>
      </c>
      <c r="E215" s="5074" t="s">
        <v>3394</v>
      </c>
      <c r="F215" s="5074" t="s">
        <v>3395</v>
      </c>
      <c r="G215" s="5074" t="s">
        <v>3396</v>
      </c>
      <c r="H215" s="5074" t="s">
        <v>18</v>
      </c>
      <c r="I215" s="5074" t="s">
        <v>1097</v>
      </c>
    </row>
    <row customHeight="1" ht="11.25">
      <c r="A216" s="5074" t="s">
        <v>2795</v>
      </c>
      <c r="B216" s="5074" t="s">
        <v>14</v>
      </c>
      <c r="C216" s="5074" t="s">
        <v>2929</v>
      </c>
      <c r="D216" s="5074" t="s">
        <v>2930</v>
      </c>
      <c r="E216" s="5074" t="s">
        <v>2931</v>
      </c>
      <c r="F216" s="5074" t="s">
        <v>2932</v>
      </c>
      <c r="G216" s="5074" t="s">
        <v>2933</v>
      </c>
      <c r="H216" s="5074" t="s">
        <v>18</v>
      </c>
      <c r="I216" s="5074" t="s">
        <v>1097</v>
      </c>
    </row>
    <row customHeight="1" ht="11.25">
      <c r="A217" s="5074" t="s">
        <v>2795</v>
      </c>
      <c r="B217" s="5074" t="s">
        <v>14</v>
      </c>
      <c r="C217" s="5074" t="s">
        <v>3397</v>
      </c>
      <c r="D217" s="5074" t="s">
        <v>3398</v>
      </c>
      <c r="E217" s="5074" t="s">
        <v>3399</v>
      </c>
      <c r="F217" s="5074" t="s">
        <v>2826</v>
      </c>
      <c r="G217" s="5074" t="s">
        <v>3400</v>
      </c>
      <c r="H217" s="5074" t="s">
        <v>18</v>
      </c>
      <c r="I217" s="5074" t="s">
        <v>1097</v>
      </c>
    </row>
    <row customHeight="1" ht="11.25">
      <c r="A218" s="5074" t="s">
        <v>2795</v>
      </c>
      <c r="B218" s="5074" t="s">
        <v>14</v>
      </c>
      <c r="C218" s="5074" t="s">
        <v>3401</v>
      </c>
      <c r="D218" s="5074" t="s">
        <v>3402</v>
      </c>
      <c r="E218" s="5074" t="s">
        <v>3403</v>
      </c>
      <c r="F218" s="5074" t="s">
        <v>2826</v>
      </c>
      <c r="G218" s="5074" t="s">
        <v>3404</v>
      </c>
      <c r="H218" s="5074" t="s">
        <v>18</v>
      </c>
      <c r="I218" s="5074" t="s">
        <v>1097</v>
      </c>
    </row>
    <row customHeight="1" ht="11.25">
      <c r="A219" s="5074" t="s">
        <v>2795</v>
      </c>
      <c r="B219" s="5074" t="s">
        <v>14</v>
      </c>
      <c r="C219" s="5074" t="s">
        <v>3405</v>
      </c>
      <c r="D219" s="5074" t="s">
        <v>3406</v>
      </c>
      <c r="E219" s="5074" t="s">
        <v>3407</v>
      </c>
      <c r="F219" s="5074" t="s">
        <v>2847</v>
      </c>
      <c r="G219" s="5074" t="s">
        <v>3408</v>
      </c>
      <c r="H219" s="5074" t="s">
        <v>18</v>
      </c>
      <c r="I219" s="5074" t="s">
        <v>1097</v>
      </c>
    </row>
    <row customHeight="1" ht="11.25">
      <c r="A220" s="5074" t="s">
        <v>2795</v>
      </c>
      <c r="B220" s="5074" t="s">
        <v>14</v>
      </c>
      <c r="C220" s="5074" t="s">
        <v>3409</v>
      </c>
      <c r="D220" s="5074" t="s">
        <v>3410</v>
      </c>
      <c r="E220" s="5074" t="s">
        <v>3411</v>
      </c>
      <c r="F220" s="5074" t="s">
        <v>3021</v>
      </c>
      <c r="G220" s="5074" t="s">
        <v>3412</v>
      </c>
      <c r="H220" s="5074" t="s">
        <v>18</v>
      </c>
      <c r="I220" s="5074" t="s">
        <v>1097</v>
      </c>
    </row>
    <row customHeight="1" ht="11.25">
      <c r="A221" s="5074" t="s">
        <v>2795</v>
      </c>
      <c r="B221" s="5074" t="s">
        <v>14</v>
      </c>
      <c r="C221" s="5074" t="s">
        <v>3413</v>
      </c>
      <c r="D221" s="5074" t="s">
        <v>3414</v>
      </c>
      <c r="E221" s="5074" t="s">
        <v>3415</v>
      </c>
      <c r="F221" s="5074" t="s">
        <v>2826</v>
      </c>
      <c r="G221" s="5074" t="s">
        <v>3416</v>
      </c>
      <c r="H221" s="5074" t="s">
        <v>18</v>
      </c>
      <c r="I221" s="5074" t="s">
        <v>1097</v>
      </c>
    </row>
    <row customHeight="1" ht="11.25">
      <c r="A222" s="5074" t="s">
        <v>2795</v>
      </c>
      <c r="B222" s="5074" t="s">
        <v>14</v>
      </c>
      <c r="C222" s="5074" t="s">
        <v>3417</v>
      </c>
      <c r="D222" s="5074" t="s">
        <v>3418</v>
      </c>
      <c r="E222" s="5074" t="s">
        <v>3419</v>
      </c>
      <c r="F222" s="5074" t="s">
        <v>2826</v>
      </c>
      <c r="G222" s="5074" t="s">
        <v>3420</v>
      </c>
      <c r="H222" s="5074" t="s">
        <v>18</v>
      </c>
      <c r="I222" s="5074" t="s">
        <v>1097</v>
      </c>
    </row>
    <row customHeight="1" ht="11.25">
      <c r="A223" s="5074" t="s">
        <v>2795</v>
      </c>
      <c r="B223" s="5074" t="s">
        <v>14</v>
      </c>
      <c r="C223" s="5074" t="s">
        <v>3421</v>
      </c>
      <c r="D223" s="5074" t="s">
        <v>3422</v>
      </c>
      <c r="E223" s="5074" t="s">
        <v>3423</v>
      </c>
      <c r="F223" s="5074" t="s">
        <v>2861</v>
      </c>
      <c r="G223" s="5074" t="s">
        <v>3424</v>
      </c>
      <c r="H223" s="5074" t="s">
        <v>18</v>
      </c>
      <c r="I223" s="5074" t="s">
        <v>1097</v>
      </c>
    </row>
    <row customHeight="1" ht="11.25">
      <c r="A224" s="5074" t="s">
        <v>2795</v>
      </c>
      <c r="B224" s="5074" t="s">
        <v>14</v>
      </c>
      <c r="C224" s="5074" t="s">
        <v>3425</v>
      </c>
      <c r="D224" s="5074" t="s">
        <v>3426</v>
      </c>
      <c r="E224" s="5074" t="s">
        <v>3427</v>
      </c>
      <c r="F224" s="5074" t="s">
        <v>2826</v>
      </c>
      <c r="G224" s="5074" t="s">
        <v>3428</v>
      </c>
      <c r="H224" s="5074" t="s">
        <v>18</v>
      </c>
      <c r="I224" s="5074" t="s">
        <v>1097</v>
      </c>
    </row>
    <row customHeight="1" ht="11.25">
      <c r="A225" s="5074" t="s">
        <v>2795</v>
      </c>
      <c r="B225" s="5074" t="s">
        <v>14</v>
      </c>
      <c r="C225" s="5074" t="s">
        <v>3429</v>
      </c>
      <c r="D225" s="5074" t="s">
        <v>3430</v>
      </c>
      <c r="E225" s="5074" t="s">
        <v>3431</v>
      </c>
      <c r="F225" s="5074" t="s">
        <v>2856</v>
      </c>
      <c r="G225" s="5074" t="s">
        <v>3432</v>
      </c>
      <c r="H225" s="5074" t="s">
        <v>18</v>
      </c>
      <c r="I225" s="5074" t="s">
        <v>1097</v>
      </c>
    </row>
    <row customHeight="1" ht="11.25">
      <c r="A226" s="5074" t="s">
        <v>2795</v>
      </c>
      <c r="B226" s="5074" t="s">
        <v>14</v>
      </c>
      <c r="C226" s="5074" t="s">
        <v>3433</v>
      </c>
      <c r="D226" s="5074" t="s">
        <v>3434</v>
      </c>
      <c r="E226" s="5074" t="s">
        <v>3435</v>
      </c>
      <c r="F226" s="5074" t="s">
        <v>3072</v>
      </c>
      <c r="G226" s="5074" t="s">
        <v>3436</v>
      </c>
      <c r="H226" s="5074" t="s">
        <v>18</v>
      </c>
      <c r="I226" s="5074" t="s">
        <v>1097</v>
      </c>
    </row>
    <row customHeight="1" ht="11.25">
      <c r="A227" s="5074" t="s">
        <v>2795</v>
      </c>
      <c r="B227" s="5074" t="s">
        <v>14</v>
      </c>
      <c r="C227" s="5074" t="s">
        <v>3437</v>
      </c>
      <c r="D227" s="5074" t="s">
        <v>3438</v>
      </c>
      <c r="E227" s="5074" t="s">
        <v>3439</v>
      </c>
      <c r="F227" s="5074" t="s">
        <v>52</v>
      </c>
      <c r="G227" s="5074" t="s">
        <v>3440</v>
      </c>
      <c r="H227" s="5074" t="s">
        <v>18</v>
      </c>
      <c r="I227" s="5074" t="s">
        <v>1097</v>
      </c>
    </row>
    <row customHeight="1" ht="11.25">
      <c r="A228" s="5074" t="s">
        <v>2795</v>
      </c>
      <c r="B228" s="5074" t="s">
        <v>14</v>
      </c>
      <c r="C228" s="5074" t="s">
        <v>3441</v>
      </c>
      <c r="D228" s="5074" t="s">
        <v>3442</v>
      </c>
      <c r="E228" s="5074" t="s">
        <v>3443</v>
      </c>
      <c r="F228" s="5074" t="s">
        <v>2847</v>
      </c>
      <c r="G228" s="5074" t="s">
        <v>3444</v>
      </c>
      <c r="H228" s="5074" t="s">
        <v>18</v>
      </c>
      <c r="I228" s="5074" t="s">
        <v>1097</v>
      </c>
    </row>
    <row customHeight="1" ht="11.25">
      <c r="A229" s="5074" t="s">
        <v>2795</v>
      </c>
      <c r="B229" s="5074" t="s">
        <v>14</v>
      </c>
      <c r="C229" s="5074" t="s">
        <v>3445</v>
      </c>
      <c r="D229" s="5074" t="s">
        <v>3446</v>
      </c>
      <c r="E229" s="5074" t="s">
        <v>3447</v>
      </c>
      <c r="F229" s="5074" t="s">
        <v>2847</v>
      </c>
      <c r="G229" s="5074" t="s">
        <v>3448</v>
      </c>
      <c r="H229" s="5074" t="s">
        <v>18</v>
      </c>
      <c r="I229" s="5074" t="s">
        <v>1097</v>
      </c>
    </row>
    <row customHeight="1" ht="11.25">
      <c r="A230" s="5074" t="s">
        <v>2795</v>
      </c>
      <c r="B230" s="5074" t="s">
        <v>14</v>
      </c>
      <c r="C230" s="5074" t="s">
        <v>3449</v>
      </c>
      <c r="D230" s="5074" t="s">
        <v>3450</v>
      </c>
      <c r="E230" s="5074" t="s">
        <v>3451</v>
      </c>
      <c r="F230" s="5074" t="s">
        <v>52</v>
      </c>
      <c r="G230" s="5074" t="s">
        <v>3452</v>
      </c>
      <c r="H230" s="5074" t="s">
        <v>18</v>
      </c>
      <c r="I230" s="5074" t="s">
        <v>1097</v>
      </c>
    </row>
    <row customHeight="1" ht="11.25">
      <c r="A231" s="5074" t="s">
        <v>2795</v>
      </c>
      <c r="B231" s="5074" t="s">
        <v>14</v>
      </c>
      <c r="C231" s="5074" t="s">
        <v>3453</v>
      </c>
      <c r="D231" s="5074" t="s">
        <v>3454</v>
      </c>
      <c r="E231" s="5074" t="s">
        <v>3455</v>
      </c>
      <c r="F231" s="5074" t="s">
        <v>2842</v>
      </c>
      <c r="G231" s="5074" t="s">
        <v>3456</v>
      </c>
      <c r="H231" s="5074" t="s">
        <v>18</v>
      </c>
      <c r="I231" s="5074" t="s">
        <v>1097</v>
      </c>
    </row>
    <row customHeight="1" ht="11.25">
      <c r="A232" s="5074" t="s">
        <v>2795</v>
      </c>
      <c r="B232" s="5074" t="s">
        <v>14</v>
      </c>
      <c r="C232" s="5074" t="s">
        <v>3457</v>
      </c>
      <c r="D232" s="5074" t="s">
        <v>3458</v>
      </c>
      <c r="E232" s="5074" t="s">
        <v>3459</v>
      </c>
      <c r="F232" s="5074" t="s">
        <v>2826</v>
      </c>
      <c r="G232" s="5074" t="s">
        <v>3460</v>
      </c>
      <c r="H232" s="5074" t="s">
        <v>18</v>
      </c>
      <c r="I232" s="5074" t="s">
        <v>1097</v>
      </c>
    </row>
    <row customHeight="1" ht="11.25">
      <c r="A233" s="5074" t="s">
        <v>2795</v>
      </c>
      <c r="B233" s="5074" t="s">
        <v>14</v>
      </c>
      <c r="C233" s="5074" t="s">
        <v>3461</v>
      </c>
      <c r="D233" s="5074" t="s">
        <v>3462</v>
      </c>
      <c r="E233" s="5074" t="s">
        <v>3463</v>
      </c>
      <c r="F233" s="5074" t="s">
        <v>2861</v>
      </c>
      <c r="G233" s="5074" t="s">
        <v>3464</v>
      </c>
      <c r="H233" s="5074" t="s">
        <v>18</v>
      </c>
      <c r="I233" s="5074" t="s">
        <v>1097</v>
      </c>
    </row>
    <row customHeight="1" ht="11.25">
      <c r="A234" s="5074" t="s">
        <v>2795</v>
      </c>
      <c r="B234" s="5074" t="s">
        <v>14</v>
      </c>
      <c r="C234" s="5074" t="s">
        <v>3465</v>
      </c>
      <c r="D234" s="5074" t="s">
        <v>3466</v>
      </c>
      <c r="E234" s="5074" t="s">
        <v>3467</v>
      </c>
      <c r="F234" s="5074" t="s">
        <v>3021</v>
      </c>
      <c r="G234" s="5074" t="s">
        <v>3468</v>
      </c>
      <c r="H234" s="5074" t="s">
        <v>18</v>
      </c>
      <c r="I234" s="5074" t="s">
        <v>1097</v>
      </c>
    </row>
    <row customHeight="1" ht="11.25">
      <c r="A235" s="5074" t="s">
        <v>2795</v>
      </c>
      <c r="B235" s="5074" t="s">
        <v>14</v>
      </c>
      <c r="C235" s="5074" t="s">
        <v>3469</v>
      </c>
      <c r="D235" s="5074" t="s">
        <v>3470</v>
      </c>
      <c r="E235" s="5074" t="s">
        <v>3471</v>
      </c>
      <c r="F235" s="5074" t="s">
        <v>3472</v>
      </c>
      <c r="G235" s="5074" t="s">
        <v>3473</v>
      </c>
      <c r="H235" s="5074" t="s">
        <v>18</v>
      </c>
      <c r="I235" s="5074" t="s">
        <v>1097</v>
      </c>
    </row>
    <row customHeight="1" ht="11.25">
      <c r="A236" s="5074" t="s">
        <v>2795</v>
      </c>
      <c r="B236" s="5074" t="s">
        <v>14</v>
      </c>
      <c r="C236" s="5074" t="s">
        <v>3474</v>
      </c>
      <c r="D236" s="5074" t="s">
        <v>3475</v>
      </c>
      <c r="E236" s="5074" t="s">
        <v>3476</v>
      </c>
      <c r="F236" s="5074" t="s">
        <v>2856</v>
      </c>
      <c r="G236" s="5074" t="s">
        <v>3477</v>
      </c>
      <c r="H236" s="5074" t="s">
        <v>18</v>
      </c>
      <c r="I236" s="5074" t="s">
        <v>1097</v>
      </c>
    </row>
    <row customHeight="1" ht="11.25">
      <c r="A237" s="5074" t="s">
        <v>2795</v>
      </c>
      <c r="B237" s="5074" t="s">
        <v>14</v>
      </c>
      <c r="C237" s="5074" t="s">
        <v>3478</v>
      </c>
      <c r="D237" s="5074" t="s">
        <v>3479</v>
      </c>
      <c r="E237" s="5074" t="s">
        <v>3480</v>
      </c>
      <c r="F237" s="5074" t="s">
        <v>3072</v>
      </c>
      <c r="G237" s="5074" t="s">
        <v>3481</v>
      </c>
      <c r="H237" s="5074" t="s">
        <v>18</v>
      </c>
      <c r="I237" s="5074" t="s">
        <v>1097</v>
      </c>
    </row>
    <row customHeight="1" ht="11.25">
      <c r="A238" s="5074" t="s">
        <v>2795</v>
      </c>
      <c r="B238" s="5074" t="s">
        <v>14</v>
      </c>
      <c r="C238" s="5074" t="s">
        <v>3482</v>
      </c>
      <c r="D238" s="5074" t="s">
        <v>3483</v>
      </c>
      <c r="E238" s="5074" t="s">
        <v>3484</v>
      </c>
      <c r="F238" s="5074" t="s">
        <v>3485</v>
      </c>
      <c r="G238" s="5074" t="s">
        <v>3486</v>
      </c>
      <c r="H238" s="5074" t="s">
        <v>18</v>
      </c>
      <c r="I238" s="5074" t="s">
        <v>1097</v>
      </c>
    </row>
    <row customHeight="1" ht="11.25">
      <c r="A239" s="5074" t="s">
        <v>2795</v>
      </c>
      <c r="B239" s="5074" t="s">
        <v>14</v>
      </c>
      <c r="C239" s="5074" t="s">
        <v>3487</v>
      </c>
      <c r="D239" s="5074" t="s">
        <v>3488</v>
      </c>
      <c r="E239" s="5074" t="s">
        <v>3489</v>
      </c>
      <c r="F239" s="5074" t="s">
        <v>3125</v>
      </c>
      <c r="G239" s="5074" t="s">
        <v>3490</v>
      </c>
      <c r="H239" s="5074" t="s">
        <v>18</v>
      </c>
      <c r="I239" s="5074" t="s">
        <v>1097</v>
      </c>
    </row>
    <row customHeight="1" ht="11.25">
      <c r="A240" s="5074" t="s">
        <v>2795</v>
      </c>
      <c r="B240" s="5074" t="s">
        <v>14</v>
      </c>
      <c r="C240" s="5074" t="s">
        <v>3491</v>
      </c>
      <c r="D240" s="5074" t="s">
        <v>3492</v>
      </c>
      <c r="E240" s="5074" t="s">
        <v>3493</v>
      </c>
      <c r="F240" s="5074" t="s">
        <v>3021</v>
      </c>
      <c r="G240" s="5074" t="s">
        <v>3494</v>
      </c>
      <c r="H240" s="5074" t="s">
        <v>18</v>
      </c>
      <c r="I240" s="5074" t="s">
        <v>1097</v>
      </c>
    </row>
    <row customHeight="1" ht="11.25">
      <c r="A241" s="5074" t="s">
        <v>2795</v>
      </c>
      <c r="B241" s="5074" t="s">
        <v>14</v>
      </c>
      <c r="C241" s="5074" t="s">
        <v>3495</v>
      </c>
      <c r="D241" s="5074" t="s">
        <v>3496</v>
      </c>
      <c r="E241" s="5074" t="s">
        <v>3497</v>
      </c>
      <c r="F241" s="5074" t="s">
        <v>3021</v>
      </c>
      <c r="G241" s="5074" t="s">
        <v>3498</v>
      </c>
      <c r="H241" s="5074" t="s">
        <v>18</v>
      </c>
      <c r="I241" s="5074" t="s">
        <v>1097</v>
      </c>
    </row>
    <row customHeight="1" ht="11.25">
      <c r="A242" s="5074" t="s">
        <v>2795</v>
      </c>
      <c r="B242" s="5074" t="s">
        <v>14</v>
      </c>
      <c r="C242" s="5074" t="s">
        <v>3499</v>
      </c>
      <c r="D242" s="5074" t="s">
        <v>3500</v>
      </c>
      <c r="E242" s="5074" t="s">
        <v>3501</v>
      </c>
      <c r="F242" s="5074" t="s">
        <v>2856</v>
      </c>
      <c r="G242" s="5074" t="s">
        <v>3460</v>
      </c>
      <c r="H242" s="5074" t="s">
        <v>18</v>
      </c>
      <c r="I242" s="5074" t="s">
        <v>1097</v>
      </c>
    </row>
    <row customHeight="1" ht="11.25">
      <c r="A243" s="5074" t="s">
        <v>2795</v>
      </c>
      <c r="B243" s="5074" t="s">
        <v>14</v>
      </c>
      <c r="C243" s="5074" t="s">
        <v>3502</v>
      </c>
      <c r="D243" s="5074" t="s">
        <v>3503</v>
      </c>
      <c r="E243" s="5074" t="s">
        <v>3504</v>
      </c>
      <c r="F243" s="5074" t="s">
        <v>2856</v>
      </c>
      <c r="G243" s="5074" t="s">
        <v>3505</v>
      </c>
      <c r="H243" s="5074" t="s">
        <v>18</v>
      </c>
      <c r="I243" s="5074" t="s">
        <v>1097</v>
      </c>
    </row>
    <row customHeight="1" ht="11.25">
      <c r="A244" s="5074" t="s">
        <v>2795</v>
      </c>
      <c r="B244" s="5074" t="s">
        <v>14</v>
      </c>
      <c r="C244" s="5074" t="s">
        <v>3506</v>
      </c>
      <c r="D244" s="5074" t="s">
        <v>3507</v>
      </c>
      <c r="E244" s="5074" t="s">
        <v>3508</v>
      </c>
      <c r="F244" s="5074" t="s">
        <v>2813</v>
      </c>
      <c r="G244" s="5074" t="s">
        <v>3460</v>
      </c>
      <c r="H244" s="5074" t="s">
        <v>18</v>
      </c>
      <c r="I244" s="5074" t="s">
        <v>1097</v>
      </c>
    </row>
    <row customHeight="1" ht="11.25">
      <c r="A245" s="5074" t="s">
        <v>2795</v>
      </c>
      <c r="B245" s="5074" t="s">
        <v>14</v>
      </c>
      <c r="C245" s="5074" t="s">
        <v>3509</v>
      </c>
      <c r="D245" s="5074" t="s">
        <v>3510</v>
      </c>
      <c r="E245" s="5074" t="s">
        <v>3511</v>
      </c>
      <c r="F245" s="5074" t="s">
        <v>2826</v>
      </c>
      <c r="G245" s="5074" t="s">
        <v>3512</v>
      </c>
      <c r="H245" s="5074" t="s">
        <v>18</v>
      </c>
      <c r="I245" s="5074" t="s">
        <v>1097</v>
      </c>
    </row>
    <row customHeight="1" ht="11.25">
      <c r="A246" s="5074" t="s">
        <v>2795</v>
      </c>
      <c r="B246" s="5074" t="s">
        <v>14</v>
      </c>
      <c r="C246" s="5074" t="s">
        <v>3513</v>
      </c>
      <c r="D246" s="5074" t="s">
        <v>3514</v>
      </c>
      <c r="E246" s="5074" t="s">
        <v>3515</v>
      </c>
      <c r="F246" s="5074" t="s">
        <v>2937</v>
      </c>
      <c r="G246" s="5074" t="s">
        <v>3516</v>
      </c>
      <c r="H246" s="5074" t="s">
        <v>18</v>
      </c>
      <c r="I246" s="5074" t="s">
        <v>1097</v>
      </c>
    </row>
    <row customHeight="1" ht="11.25">
      <c r="A247" s="5074" t="s">
        <v>2795</v>
      </c>
      <c r="B247" s="5074" t="s">
        <v>14</v>
      </c>
      <c r="C247" s="5074" t="s">
        <v>3517</v>
      </c>
      <c r="D247" s="5074" t="s">
        <v>3518</v>
      </c>
      <c r="E247" s="5074" t="s">
        <v>3519</v>
      </c>
      <c r="F247" s="5074" t="s">
        <v>3520</v>
      </c>
      <c r="G247" s="5074" t="s">
        <v>3521</v>
      </c>
      <c r="H247" s="5074" t="s">
        <v>18</v>
      </c>
      <c r="I247" s="5074" t="s">
        <v>1097</v>
      </c>
    </row>
    <row customHeight="1" ht="11.25">
      <c r="A248" s="5074" t="s">
        <v>2795</v>
      </c>
      <c r="B248" s="5074" t="s">
        <v>14</v>
      </c>
      <c r="C248" s="5074" t="s">
        <v>18</v>
      </c>
      <c r="D248" s="5074" t="s">
        <v>3070</v>
      </c>
      <c r="E248" s="5074" t="s">
        <v>3071</v>
      </c>
      <c r="F248" s="5074" t="s">
        <v>3072</v>
      </c>
      <c r="G248" s="5074" t="s">
        <v>18</v>
      </c>
      <c r="H248" s="5074" t="s">
        <v>18</v>
      </c>
      <c r="I248" s="5074" t="s">
        <v>1097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4A113-F02A-482E-2026-3EA8B3A8CC61}" mc:Ignorable="x14ac xr xr2 xr3">
  <sheetPr>
    <tabColor rgb="FFFFCC99"/>
  </sheetPr>
  <dimension ref="A1:G356"/>
  <sheetViews>
    <sheetView topLeftCell="A1" showGridLines="0" workbookViewId="0">
      <selection activeCell="A1" sqref="A1"/>
    </sheetView>
  </sheetViews>
  <sheetFormatPr customHeight="1" defaultRowHeight="11.25"/>
  <cols>
    <col min="1" max="1" style="4015" width="9.140625"/>
  </cols>
  <sheetData>
    <row customHeight="1" ht="11.25">
      <c r="A1" s="373" t="s">
        <v>3522</v>
      </c>
      <c r="B1" s="48" t="s">
        <v>3523</v>
      </c>
      <c r="C1" s="48" t="s">
        <v>3524</v>
      </c>
      <c r="D1" s="48" t="s">
        <v>3525</v>
      </c>
      <c r="E1" s="0" t="s">
        <v>3526</v>
      </c>
      <c r="F1" s="0" t="s">
        <v>3527</v>
      </c>
      <c r="G1" s="0" t="s">
        <v>3528</v>
      </c>
    </row>
    <row customHeight="1" ht="11.25">
      <c r="A2" s="373" t="s">
        <v>14</v>
      </c>
      <c r="B2" s="0" t="s">
        <v>160</v>
      </c>
      <c r="C2" s="0" t="s">
        <v>161</v>
      </c>
      <c r="D2" s="0" t="s">
        <v>160</v>
      </c>
      <c r="E2" s="0" t="s">
        <v>161</v>
      </c>
      <c r="F2" s="0" t="s">
        <v>3529</v>
      </c>
      <c r="G2" s="0" t="s">
        <v>159</v>
      </c>
    </row>
    <row customHeight="1" ht="11.25">
      <c r="A3" s="373" t="s">
        <v>14</v>
      </c>
      <c r="B3" s="0" t="s">
        <v>3530</v>
      </c>
      <c r="C3" s="0" t="s">
        <v>3531</v>
      </c>
      <c r="D3" s="0" t="s">
        <v>3530</v>
      </c>
      <c r="E3" s="0" t="s">
        <v>3531</v>
      </c>
      <c r="F3" s="0" t="s">
        <v>3532</v>
      </c>
      <c r="G3" s="0" t="s">
        <v>102</v>
      </c>
    </row>
    <row customHeight="1" ht="11.25">
      <c r="A4" s="373" t="s">
        <v>14</v>
      </c>
      <c r="B4" s="0" t="s">
        <v>3530</v>
      </c>
      <c r="C4" s="0" t="s">
        <v>3531</v>
      </c>
      <c r="D4" s="0" t="s">
        <v>3533</v>
      </c>
      <c r="E4" s="0" t="s">
        <v>3534</v>
      </c>
      <c r="F4" s="0" t="s">
        <v>3535</v>
      </c>
      <c r="G4" s="0" t="s">
        <v>90</v>
      </c>
    </row>
    <row customHeight="1" ht="11.25">
      <c r="A5" s="373" t="s">
        <v>14</v>
      </c>
      <c r="B5" s="0" t="s">
        <v>3530</v>
      </c>
      <c r="C5" s="0" t="s">
        <v>3531</v>
      </c>
      <c r="D5" s="0" t="s">
        <v>3536</v>
      </c>
      <c r="E5" s="0" t="s">
        <v>3537</v>
      </c>
      <c r="F5" s="0" t="s">
        <v>3535</v>
      </c>
      <c r="G5" s="0" t="s">
        <v>91</v>
      </c>
    </row>
    <row customHeight="1" ht="11.25">
      <c r="A6" s="373" t="s">
        <v>14</v>
      </c>
      <c r="B6" s="0" t="s">
        <v>3530</v>
      </c>
      <c r="C6" s="0" t="s">
        <v>3531</v>
      </c>
      <c r="D6" s="0" t="s">
        <v>3538</v>
      </c>
      <c r="E6" s="0" t="s">
        <v>3539</v>
      </c>
      <c r="F6" s="0" t="s">
        <v>3535</v>
      </c>
      <c r="G6" s="0" t="s">
        <v>113</v>
      </c>
    </row>
    <row customHeight="1" ht="11.25">
      <c r="A7" s="373" t="s">
        <v>14</v>
      </c>
      <c r="B7" s="0" t="s">
        <v>3530</v>
      </c>
      <c r="C7" s="0" t="s">
        <v>3531</v>
      </c>
      <c r="D7" s="0" t="s">
        <v>3540</v>
      </c>
      <c r="E7" s="0" t="s">
        <v>3541</v>
      </c>
      <c r="F7" s="0" t="s">
        <v>3535</v>
      </c>
      <c r="G7" s="0" t="s">
        <v>92</v>
      </c>
    </row>
    <row customHeight="1" ht="11.25">
      <c r="A8" s="373" t="s">
        <v>14</v>
      </c>
      <c r="B8" s="0" t="s">
        <v>3530</v>
      </c>
      <c r="C8" s="0" t="s">
        <v>3531</v>
      </c>
      <c r="D8" s="0" t="s">
        <v>3542</v>
      </c>
      <c r="E8" s="0" t="s">
        <v>3543</v>
      </c>
      <c r="F8" s="0" t="s">
        <v>3535</v>
      </c>
      <c r="G8" s="0" t="s">
        <v>93</v>
      </c>
    </row>
    <row customHeight="1" ht="11.25">
      <c r="A9" s="373" t="s">
        <v>14</v>
      </c>
      <c r="B9" s="0" t="s">
        <v>3530</v>
      </c>
      <c r="C9" s="0" t="s">
        <v>3531</v>
      </c>
      <c r="D9" s="0" t="s">
        <v>3544</v>
      </c>
      <c r="E9" s="0" t="s">
        <v>3545</v>
      </c>
      <c r="F9" s="0" t="s">
        <v>3535</v>
      </c>
      <c r="G9" s="0" t="s">
        <v>123</v>
      </c>
    </row>
    <row customHeight="1" ht="11.25">
      <c r="A10" s="373" t="s">
        <v>14</v>
      </c>
      <c r="B10" s="0" t="s">
        <v>3530</v>
      </c>
      <c r="C10" s="0" t="s">
        <v>3531</v>
      </c>
      <c r="D10" s="0" t="s">
        <v>3546</v>
      </c>
      <c r="E10" s="0" t="s">
        <v>3547</v>
      </c>
      <c r="F10" s="0" t="s">
        <v>3535</v>
      </c>
      <c r="G10" s="0" t="s">
        <v>127</v>
      </c>
    </row>
    <row customHeight="1" ht="11.25">
      <c r="A11" s="373" t="s">
        <v>14</v>
      </c>
      <c r="B11" s="0" t="s">
        <v>3530</v>
      </c>
      <c r="C11" s="0" t="s">
        <v>3531</v>
      </c>
      <c r="D11" s="0" t="s">
        <v>3548</v>
      </c>
      <c r="E11" s="0" t="s">
        <v>3549</v>
      </c>
      <c r="F11" s="0" t="s">
        <v>3535</v>
      </c>
      <c r="G11" s="0" t="s">
        <v>131</v>
      </c>
    </row>
    <row customHeight="1" ht="11.25">
      <c r="A12" s="373" t="s">
        <v>14</v>
      </c>
      <c r="B12" s="0" t="s">
        <v>140</v>
      </c>
      <c r="C12" s="0" t="s">
        <v>141</v>
      </c>
      <c r="D12" s="0" t="s">
        <v>140</v>
      </c>
      <c r="E12" s="0" t="s">
        <v>141</v>
      </c>
      <c r="F12" s="0" t="s">
        <v>3529</v>
      </c>
      <c r="G12" s="0" t="s">
        <v>135</v>
      </c>
    </row>
    <row customHeight="1" ht="11.25">
      <c r="A13" s="373" t="s">
        <v>14</v>
      </c>
      <c r="B13" s="0" t="s">
        <v>3550</v>
      </c>
      <c r="C13" s="0" t="s">
        <v>3551</v>
      </c>
      <c r="D13" s="0" t="s">
        <v>3550</v>
      </c>
      <c r="E13" s="0" t="s">
        <v>3551</v>
      </c>
      <c r="F13" s="0" t="s">
        <v>3532</v>
      </c>
      <c r="G13" s="0" t="s">
        <v>139</v>
      </c>
    </row>
    <row customHeight="1" ht="11.25">
      <c r="A14" s="373" t="s">
        <v>14</v>
      </c>
      <c r="B14" s="0" t="s">
        <v>3550</v>
      </c>
      <c r="C14" s="0" t="s">
        <v>3551</v>
      </c>
      <c r="D14" s="0" t="s">
        <v>3552</v>
      </c>
      <c r="E14" s="0" t="s">
        <v>3553</v>
      </c>
      <c r="F14" s="0" t="s">
        <v>3535</v>
      </c>
      <c r="G14" s="0" t="s">
        <v>142</v>
      </c>
    </row>
    <row customHeight="1" ht="11.25">
      <c r="A15" s="373" t="s">
        <v>14</v>
      </c>
      <c r="B15" s="0" t="s">
        <v>3550</v>
      </c>
      <c r="C15" s="0" t="s">
        <v>3551</v>
      </c>
      <c r="D15" s="0" t="s">
        <v>3554</v>
      </c>
      <c r="E15" s="0" t="s">
        <v>3555</v>
      </c>
      <c r="F15" s="0" t="s">
        <v>3535</v>
      </c>
      <c r="G15" s="0" t="s">
        <v>146</v>
      </c>
    </row>
    <row customHeight="1" ht="11.25">
      <c r="A16" s="373" t="s">
        <v>14</v>
      </c>
      <c r="B16" s="0" t="s">
        <v>3550</v>
      </c>
      <c r="C16" s="0" t="s">
        <v>3551</v>
      </c>
      <c r="D16" s="0" t="s">
        <v>3556</v>
      </c>
      <c r="E16" s="0" t="s">
        <v>3557</v>
      </c>
      <c r="F16" s="0" t="s">
        <v>3535</v>
      </c>
      <c r="G16" s="0" t="s">
        <v>150</v>
      </c>
    </row>
    <row customHeight="1" ht="11.25">
      <c r="A17" s="373" t="s">
        <v>14</v>
      </c>
      <c r="B17" s="0" t="s">
        <v>3550</v>
      </c>
      <c r="C17" s="0" t="s">
        <v>3551</v>
      </c>
      <c r="D17" s="0" t="s">
        <v>3558</v>
      </c>
      <c r="E17" s="0" t="s">
        <v>3559</v>
      </c>
      <c r="F17" s="0" t="s">
        <v>3535</v>
      </c>
      <c r="G17" s="0" t="s">
        <v>154</v>
      </c>
    </row>
    <row customHeight="1" ht="11.25">
      <c r="A18" s="373" t="s">
        <v>14</v>
      </c>
      <c r="B18" s="0" t="s">
        <v>3550</v>
      </c>
      <c r="C18" s="0" t="s">
        <v>3551</v>
      </c>
      <c r="D18" s="0" t="s">
        <v>3560</v>
      </c>
      <c r="E18" s="0" t="s">
        <v>3561</v>
      </c>
      <c r="F18" s="0" t="s">
        <v>3535</v>
      </c>
      <c r="G18" s="0" t="s">
        <v>158</v>
      </c>
    </row>
    <row customHeight="1" ht="11.25">
      <c r="A19" s="373" t="s">
        <v>14</v>
      </c>
      <c r="B19" s="0" t="s">
        <v>3550</v>
      </c>
      <c r="C19" s="0" t="s">
        <v>3551</v>
      </c>
      <c r="D19" s="0" t="s">
        <v>3562</v>
      </c>
      <c r="E19" s="0" t="s">
        <v>3563</v>
      </c>
      <c r="F19" s="0" t="s">
        <v>3535</v>
      </c>
      <c r="G19" s="0" t="s">
        <v>162</v>
      </c>
    </row>
    <row customHeight="1" ht="11.25">
      <c r="A20" s="373" t="s">
        <v>14</v>
      </c>
      <c r="B20" s="0" t="s">
        <v>3550</v>
      </c>
      <c r="C20" s="0" t="s">
        <v>3551</v>
      </c>
      <c r="D20" s="0" t="s">
        <v>3564</v>
      </c>
      <c r="E20" s="0" t="s">
        <v>3565</v>
      </c>
      <c r="F20" s="0" t="s">
        <v>3535</v>
      </c>
      <c r="G20" s="0" t="s">
        <v>166</v>
      </c>
    </row>
    <row customHeight="1" ht="11.25">
      <c r="A21" s="373" t="s">
        <v>14</v>
      </c>
      <c r="B21" s="0" t="s">
        <v>3550</v>
      </c>
      <c r="C21" s="0" t="s">
        <v>3551</v>
      </c>
      <c r="D21" s="0" t="s">
        <v>3566</v>
      </c>
      <c r="E21" s="0" t="s">
        <v>3567</v>
      </c>
      <c r="F21" s="0" t="s">
        <v>3535</v>
      </c>
      <c r="G21" s="0" t="s">
        <v>170</v>
      </c>
    </row>
    <row customHeight="1" ht="11.25">
      <c r="A22" s="373" t="s">
        <v>14</v>
      </c>
      <c r="B22" s="0" t="s">
        <v>3550</v>
      </c>
      <c r="C22" s="0" t="s">
        <v>3551</v>
      </c>
      <c r="D22" s="0" t="s">
        <v>3568</v>
      </c>
      <c r="E22" s="0" t="s">
        <v>3569</v>
      </c>
      <c r="F22" s="0" t="s">
        <v>3535</v>
      </c>
      <c r="G22" s="0" t="s">
        <v>174</v>
      </c>
    </row>
    <row customHeight="1" ht="11.25">
      <c r="A23" s="373" t="s">
        <v>14</v>
      </c>
      <c r="B23" s="0" t="s">
        <v>3550</v>
      </c>
      <c r="C23" s="0" t="s">
        <v>3551</v>
      </c>
      <c r="D23" s="0" t="s">
        <v>3570</v>
      </c>
      <c r="E23" s="0" t="s">
        <v>3571</v>
      </c>
      <c r="F23" s="0" t="s">
        <v>3535</v>
      </c>
      <c r="G23" s="0" t="s">
        <v>178</v>
      </c>
    </row>
    <row customHeight="1" ht="11.25">
      <c r="A24" s="373" t="s">
        <v>14</v>
      </c>
      <c r="B24" s="0" t="s">
        <v>3550</v>
      </c>
      <c r="C24" s="0" t="s">
        <v>3551</v>
      </c>
      <c r="D24" s="0" t="s">
        <v>3572</v>
      </c>
      <c r="E24" s="0" t="s">
        <v>3573</v>
      </c>
      <c r="F24" s="0" t="s">
        <v>3535</v>
      </c>
      <c r="G24" s="0" t="s">
        <v>182</v>
      </c>
    </row>
    <row customHeight="1" ht="11.25">
      <c r="A25" s="373" t="s">
        <v>14</v>
      </c>
      <c r="B25" s="0" t="s">
        <v>176</v>
      </c>
      <c r="C25" s="0" t="s">
        <v>177</v>
      </c>
      <c r="D25" s="0" t="s">
        <v>176</v>
      </c>
      <c r="E25" s="0" t="s">
        <v>177</v>
      </c>
      <c r="F25" s="0" t="s">
        <v>3529</v>
      </c>
      <c r="G25" s="0" t="s">
        <v>175</v>
      </c>
    </row>
    <row customHeight="1" ht="11.25">
      <c r="A26" s="373" t="s">
        <v>14</v>
      </c>
      <c r="B26" s="0" t="s">
        <v>3574</v>
      </c>
      <c r="C26" s="0" t="s">
        <v>3575</v>
      </c>
      <c r="D26" s="0" t="s">
        <v>3576</v>
      </c>
      <c r="E26" s="0" t="s">
        <v>3577</v>
      </c>
      <c r="F26" s="0" t="s">
        <v>3535</v>
      </c>
      <c r="G26" s="0" t="s">
        <v>189</v>
      </c>
    </row>
    <row customHeight="1" ht="11.25">
      <c r="A27" s="373" t="s">
        <v>14</v>
      </c>
      <c r="B27" s="0" t="s">
        <v>3574</v>
      </c>
      <c r="C27" s="0" t="s">
        <v>3575</v>
      </c>
      <c r="D27" s="0" t="s">
        <v>3574</v>
      </c>
      <c r="E27" s="0" t="s">
        <v>3575</v>
      </c>
      <c r="F27" s="0" t="s">
        <v>3532</v>
      </c>
      <c r="G27" s="0" t="s">
        <v>193</v>
      </c>
    </row>
    <row customHeight="1" ht="11.25">
      <c r="A28" s="373" t="s">
        <v>14</v>
      </c>
      <c r="B28" s="0" t="s">
        <v>3574</v>
      </c>
      <c r="C28" s="0" t="s">
        <v>3575</v>
      </c>
      <c r="D28" s="0" t="s">
        <v>3578</v>
      </c>
      <c r="E28" s="0" t="s">
        <v>3579</v>
      </c>
      <c r="F28" s="0" t="s">
        <v>3535</v>
      </c>
      <c r="G28" s="0" t="s">
        <v>197</v>
      </c>
    </row>
    <row customHeight="1" ht="11.25">
      <c r="A29" s="373" t="s">
        <v>14</v>
      </c>
      <c r="B29" s="0" t="s">
        <v>3574</v>
      </c>
      <c r="C29" s="0" t="s">
        <v>3575</v>
      </c>
      <c r="D29" s="0" t="s">
        <v>3580</v>
      </c>
      <c r="E29" s="0" t="s">
        <v>3581</v>
      </c>
      <c r="F29" s="0" t="s">
        <v>3535</v>
      </c>
      <c r="G29" s="0" t="s">
        <v>201</v>
      </c>
    </row>
    <row customHeight="1" ht="11.25">
      <c r="A30" s="373" t="s">
        <v>14</v>
      </c>
      <c r="B30" s="0" t="s">
        <v>3574</v>
      </c>
      <c r="C30" s="0" t="s">
        <v>3575</v>
      </c>
      <c r="D30" s="0" t="s">
        <v>3582</v>
      </c>
      <c r="E30" s="0" t="s">
        <v>3583</v>
      </c>
      <c r="F30" s="0" t="s">
        <v>3535</v>
      </c>
      <c r="G30" s="0" t="s">
        <v>205</v>
      </c>
    </row>
    <row customHeight="1" ht="11.25">
      <c r="A31" s="373" t="s">
        <v>14</v>
      </c>
      <c r="B31" s="0" t="s">
        <v>3574</v>
      </c>
      <c r="C31" s="0" t="s">
        <v>3575</v>
      </c>
      <c r="D31" s="0" t="s">
        <v>3584</v>
      </c>
      <c r="E31" s="0" t="s">
        <v>3585</v>
      </c>
      <c r="F31" s="0" t="s">
        <v>3535</v>
      </c>
      <c r="G31" s="0" t="s">
        <v>210</v>
      </c>
    </row>
    <row customHeight="1" ht="11.25">
      <c r="A32" s="373" t="s">
        <v>14</v>
      </c>
      <c r="B32" s="0" t="s">
        <v>3574</v>
      </c>
      <c r="C32" s="0" t="s">
        <v>3575</v>
      </c>
      <c r="D32" s="0" t="s">
        <v>3586</v>
      </c>
      <c r="E32" s="0" t="s">
        <v>3587</v>
      </c>
      <c r="F32" s="0" t="s">
        <v>3535</v>
      </c>
      <c r="G32" s="0" t="s">
        <v>1058</v>
      </c>
    </row>
    <row customHeight="1" ht="11.25">
      <c r="A33" s="373" t="s">
        <v>14</v>
      </c>
      <c r="B33" s="0" t="s">
        <v>3574</v>
      </c>
      <c r="C33" s="0" t="s">
        <v>3575</v>
      </c>
      <c r="D33" s="0" t="s">
        <v>3588</v>
      </c>
      <c r="E33" s="0" t="s">
        <v>3589</v>
      </c>
      <c r="F33" s="0" t="s">
        <v>3535</v>
      </c>
      <c r="G33" s="0" t="s">
        <v>1060</v>
      </c>
    </row>
    <row customHeight="1" ht="11.25">
      <c r="A34" s="373" t="s">
        <v>14</v>
      </c>
      <c r="B34" s="0" t="s">
        <v>3574</v>
      </c>
      <c r="C34" s="0" t="s">
        <v>3575</v>
      </c>
      <c r="D34" s="0" t="s">
        <v>3590</v>
      </c>
      <c r="E34" s="0" t="s">
        <v>3591</v>
      </c>
      <c r="F34" s="0" t="s">
        <v>3535</v>
      </c>
      <c r="G34" s="0" t="s">
        <v>1062</v>
      </c>
    </row>
    <row customHeight="1" ht="11.25">
      <c r="A35" s="373" t="s">
        <v>14</v>
      </c>
      <c r="B35" s="0" t="s">
        <v>3574</v>
      </c>
      <c r="C35" s="0" t="s">
        <v>3575</v>
      </c>
      <c r="D35" s="0" t="s">
        <v>3592</v>
      </c>
      <c r="E35" s="0" t="s">
        <v>3593</v>
      </c>
      <c r="F35" s="0" t="s">
        <v>3535</v>
      </c>
      <c r="G35" s="0" t="s">
        <v>1068</v>
      </c>
    </row>
    <row customHeight="1" ht="11.25">
      <c r="A36" s="373" t="s">
        <v>14</v>
      </c>
      <c r="B36" s="0" t="s">
        <v>3574</v>
      </c>
      <c r="C36" s="0" t="s">
        <v>3575</v>
      </c>
      <c r="D36" s="0" t="s">
        <v>3594</v>
      </c>
      <c r="E36" s="0" t="s">
        <v>3595</v>
      </c>
      <c r="F36" s="0" t="s">
        <v>3535</v>
      </c>
      <c r="G36" s="0" t="s">
        <v>1073</v>
      </c>
    </row>
    <row customHeight="1" ht="11.25">
      <c r="A37" s="373" t="s">
        <v>14</v>
      </c>
      <c r="B37" s="0" t="s">
        <v>3574</v>
      </c>
      <c r="C37" s="0" t="s">
        <v>3575</v>
      </c>
      <c r="D37" s="0" t="s">
        <v>3596</v>
      </c>
      <c r="E37" s="0" t="s">
        <v>3597</v>
      </c>
      <c r="F37" s="0" t="s">
        <v>3535</v>
      </c>
      <c r="G37" s="0" t="s">
        <v>1077</v>
      </c>
    </row>
    <row customHeight="1" ht="11.25">
      <c r="A38" s="373" t="s">
        <v>14</v>
      </c>
      <c r="B38" s="0" t="s">
        <v>118</v>
      </c>
      <c r="C38" s="0" t="s">
        <v>119</v>
      </c>
      <c r="D38" s="0" t="s">
        <v>118</v>
      </c>
      <c r="E38" s="0" t="s">
        <v>119</v>
      </c>
      <c r="F38" s="0" t="s">
        <v>3529</v>
      </c>
      <c r="G38" s="0" t="s">
        <v>117</v>
      </c>
    </row>
    <row customHeight="1" ht="11.25">
      <c r="A39" s="373" t="s">
        <v>14</v>
      </c>
      <c r="B39" s="0" t="s">
        <v>3598</v>
      </c>
      <c r="C39" s="0" t="s">
        <v>3599</v>
      </c>
      <c r="D39" s="0" t="s">
        <v>3598</v>
      </c>
      <c r="E39" s="0" t="s">
        <v>3599</v>
      </c>
      <c r="F39" s="0" t="s">
        <v>3532</v>
      </c>
      <c r="G39" s="0" t="s">
        <v>1091</v>
      </c>
    </row>
    <row customHeight="1" ht="11.25">
      <c r="A40" s="373" t="s">
        <v>14</v>
      </c>
      <c r="B40" s="0" t="s">
        <v>3598</v>
      </c>
      <c r="C40" s="0" t="s">
        <v>3599</v>
      </c>
      <c r="D40" s="0" t="s">
        <v>3600</v>
      </c>
      <c r="E40" s="0" t="s">
        <v>3601</v>
      </c>
      <c r="F40" s="0" t="s">
        <v>3535</v>
      </c>
      <c r="G40" s="0" t="s">
        <v>1098</v>
      </c>
    </row>
    <row customHeight="1" ht="11.25">
      <c r="A41" s="373" t="s">
        <v>14</v>
      </c>
      <c r="B41" s="0" t="s">
        <v>3598</v>
      </c>
      <c r="C41" s="0" t="s">
        <v>3599</v>
      </c>
      <c r="D41" s="0" t="s">
        <v>3602</v>
      </c>
      <c r="E41" s="0" t="s">
        <v>3603</v>
      </c>
      <c r="F41" s="0" t="s">
        <v>3535</v>
      </c>
      <c r="G41" s="0" t="s">
        <v>1104</v>
      </c>
    </row>
    <row customHeight="1" ht="11.25">
      <c r="A42" s="373" t="s">
        <v>14</v>
      </c>
      <c r="B42" s="0" t="s">
        <v>3598</v>
      </c>
      <c r="C42" s="0" t="s">
        <v>3599</v>
      </c>
      <c r="D42" s="0" t="s">
        <v>3604</v>
      </c>
      <c r="E42" s="0" t="s">
        <v>3605</v>
      </c>
      <c r="F42" s="0" t="s">
        <v>3535</v>
      </c>
      <c r="G42" s="0" t="s">
        <v>1109</v>
      </c>
    </row>
    <row customHeight="1" ht="11.25">
      <c r="A43" s="373" t="s">
        <v>14</v>
      </c>
      <c r="B43" s="0" t="s">
        <v>3598</v>
      </c>
      <c r="C43" s="0" t="s">
        <v>3599</v>
      </c>
      <c r="D43" s="0" t="s">
        <v>3606</v>
      </c>
      <c r="E43" s="0" t="s">
        <v>3607</v>
      </c>
      <c r="F43" s="0" t="s">
        <v>3535</v>
      </c>
      <c r="G43" s="0" t="s">
        <v>1116</v>
      </c>
    </row>
    <row customHeight="1" ht="11.25">
      <c r="A44" s="373" t="s">
        <v>14</v>
      </c>
      <c r="B44" s="0" t="s">
        <v>3598</v>
      </c>
      <c r="C44" s="0" t="s">
        <v>3599</v>
      </c>
      <c r="D44" s="0" t="s">
        <v>3608</v>
      </c>
      <c r="E44" s="0" t="s">
        <v>3609</v>
      </c>
      <c r="F44" s="0" t="s">
        <v>3535</v>
      </c>
      <c r="G44" s="0" t="s">
        <v>1125</v>
      </c>
    </row>
    <row customHeight="1" ht="11.25">
      <c r="A45" s="373" t="s">
        <v>14</v>
      </c>
      <c r="B45" s="0" t="s">
        <v>3598</v>
      </c>
      <c r="C45" s="0" t="s">
        <v>3599</v>
      </c>
      <c r="D45" s="0" t="s">
        <v>3610</v>
      </c>
      <c r="E45" s="0" t="s">
        <v>3611</v>
      </c>
      <c r="F45" s="0" t="s">
        <v>3535</v>
      </c>
      <c r="G45" s="0" t="s">
        <v>1131</v>
      </c>
    </row>
    <row customHeight="1" ht="11.25">
      <c r="A46" s="373" t="s">
        <v>14</v>
      </c>
      <c r="B46" s="0" t="s">
        <v>3598</v>
      </c>
      <c r="C46" s="0" t="s">
        <v>3599</v>
      </c>
      <c r="D46" s="0" t="s">
        <v>3612</v>
      </c>
      <c r="E46" s="0" t="s">
        <v>3613</v>
      </c>
      <c r="F46" s="0" t="s">
        <v>3535</v>
      </c>
      <c r="G46" s="0" t="s">
        <v>1135</v>
      </c>
    </row>
    <row customHeight="1" ht="11.25">
      <c r="A47" s="373" t="s">
        <v>14</v>
      </c>
      <c r="B47" s="0" t="s">
        <v>3598</v>
      </c>
      <c r="C47" s="0" t="s">
        <v>3599</v>
      </c>
      <c r="D47" s="0" t="s">
        <v>3614</v>
      </c>
      <c r="E47" s="0" t="s">
        <v>3615</v>
      </c>
      <c r="F47" s="0" t="s">
        <v>3535</v>
      </c>
      <c r="G47" s="0" t="s">
        <v>1142</v>
      </c>
    </row>
    <row customHeight="1" ht="11.25">
      <c r="A48" s="373" t="s">
        <v>14</v>
      </c>
      <c r="B48" s="0" t="s">
        <v>168</v>
      </c>
      <c r="C48" s="0" t="s">
        <v>169</v>
      </c>
      <c r="D48" s="0" t="s">
        <v>168</v>
      </c>
      <c r="E48" s="0" t="s">
        <v>169</v>
      </c>
      <c r="F48" s="0" t="s">
        <v>3616</v>
      </c>
      <c r="G48" s="0" t="s">
        <v>167</v>
      </c>
    </row>
    <row customHeight="1" ht="11.25">
      <c r="A49" s="373" t="s">
        <v>14</v>
      </c>
      <c r="B49" s="0" t="s">
        <v>3617</v>
      </c>
      <c r="C49" s="0" t="s">
        <v>3618</v>
      </c>
      <c r="D49" s="0" t="s">
        <v>3619</v>
      </c>
      <c r="E49" s="0" t="s">
        <v>3620</v>
      </c>
      <c r="F49" s="0" t="s">
        <v>3535</v>
      </c>
      <c r="G49" s="0" t="s">
        <v>1153</v>
      </c>
    </row>
    <row customHeight="1" ht="11.25">
      <c r="A50" s="373" t="s">
        <v>14</v>
      </c>
      <c r="B50" s="0" t="s">
        <v>3617</v>
      </c>
      <c r="C50" s="0" t="s">
        <v>3618</v>
      </c>
      <c r="D50" s="0" t="s">
        <v>3621</v>
      </c>
      <c r="E50" s="0" t="s">
        <v>3622</v>
      </c>
      <c r="F50" s="0" t="s">
        <v>3535</v>
      </c>
      <c r="G50" s="0" t="s">
        <v>1158</v>
      </c>
    </row>
    <row customHeight="1" ht="11.25">
      <c r="A51" s="373" t="s">
        <v>14</v>
      </c>
      <c r="B51" s="0" t="s">
        <v>3617</v>
      </c>
      <c r="C51" s="0" t="s">
        <v>3618</v>
      </c>
      <c r="D51" s="0" t="s">
        <v>3623</v>
      </c>
      <c r="E51" s="0" t="s">
        <v>3624</v>
      </c>
      <c r="F51" s="0" t="s">
        <v>3535</v>
      </c>
      <c r="G51" s="0" t="s">
        <v>1163</v>
      </c>
    </row>
    <row customHeight="1" ht="11.25">
      <c r="A52" s="373" t="s">
        <v>14</v>
      </c>
      <c r="B52" s="0" t="s">
        <v>3617</v>
      </c>
      <c r="C52" s="0" t="s">
        <v>3618</v>
      </c>
      <c r="D52" s="0" t="s">
        <v>3617</v>
      </c>
      <c r="E52" s="0" t="s">
        <v>3618</v>
      </c>
      <c r="F52" s="0" t="s">
        <v>3532</v>
      </c>
      <c r="G52" s="0" t="s">
        <v>1167</v>
      </c>
    </row>
    <row customHeight="1" ht="11.25">
      <c r="A53" s="373" t="s">
        <v>14</v>
      </c>
      <c r="B53" s="0" t="s">
        <v>3617</v>
      </c>
      <c r="C53" s="0" t="s">
        <v>3618</v>
      </c>
      <c r="D53" s="0" t="s">
        <v>3625</v>
      </c>
      <c r="E53" s="0" t="s">
        <v>3626</v>
      </c>
      <c r="F53" s="0" t="s">
        <v>3627</v>
      </c>
      <c r="G53" s="0" t="s">
        <v>1169</v>
      </c>
    </row>
    <row customHeight="1" ht="11.25">
      <c r="A54" s="373" t="s">
        <v>14</v>
      </c>
      <c r="B54" s="0" t="s">
        <v>3617</v>
      </c>
      <c r="C54" s="0" t="s">
        <v>3618</v>
      </c>
      <c r="D54" s="0" t="s">
        <v>3628</v>
      </c>
      <c r="E54" s="0" t="s">
        <v>3629</v>
      </c>
      <c r="F54" s="0" t="s">
        <v>3535</v>
      </c>
      <c r="G54" s="0" t="s">
        <v>1172</v>
      </c>
    </row>
    <row customHeight="1" ht="11.25">
      <c r="A55" s="373" t="s">
        <v>14</v>
      </c>
      <c r="B55" s="0" t="s">
        <v>3617</v>
      </c>
      <c r="C55" s="0" t="s">
        <v>3618</v>
      </c>
      <c r="D55" s="0" t="s">
        <v>3630</v>
      </c>
      <c r="E55" s="0" t="s">
        <v>3631</v>
      </c>
      <c r="F55" s="0" t="s">
        <v>3535</v>
      </c>
      <c r="G55" s="0" t="s">
        <v>1176</v>
      </c>
    </row>
    <row customHeight="1" ht="11.25">
      <c r="A56" s="373" t="s">
        <v>14</v>
      </c>
      <c r="B56" s="0" t="s">
        <v>3617</v>
      </c>
      <c r="C56" s="0" t="s">
        <v>3618</v>
      </c>
      <c r="D56" s="0" t="s">
        <v>3632</v>
      </c>
      <c r="E56" s="0" t="s">
        <v>3633</v>
      </c>
      <c r="F56" s="0" t="s">
        <v>3535</v>
      </c>
      <c r="G56" s="0" t="s">
        <v>1179</v>
      </c>
    </row>
    <row customHeight="1" ht="11.25">
      <c r="A57" s="373" t="s">
        <v>14</v>
      </c>
      <c r="B57" s="0" t="s">
        <v>3617</v>
      </c>
      <c r="C57" s="0" t="s">
        <v>3618</v>
      </c>
      <c r="D57" s="0" t="s">
        <v>3634</v>
      </c>
      <c r="E57" s="0" t="s">
        <v>3635</v>
      </c>
      <c r="F57" s="0" t="s">
        <v>3535</v>
      </c>
      <c r="G57" s="0" t="s">
        <v>1182</v>
      </c>
    </row>
    <row customHeight="1" ht="11.25">
      <c r="A58" s="373" t="s">
        <v>14</v>
      </c>
      <c r="B58" s="0" t="s">
        <v>3617</v>
      </c>
      <c r="C58" s="0" t="s">
        <v>3618</v>
      </c>
      <c r="D58" s="0" t="s">
        <v>3636</v>
      </c>
      <c r="E58" s="0" t="s">
        <v>3637</v>
      </c>
      <c r="F58" s="0" t="s">
        <v>3535</v>
      </c>
      <c r="G58" s="0" t="s">
        <v>1185</v>
      </c>
    </row>
    <row customHeight="1" ht="11.25">
      <c r="A59" s="373" t="s">
        <v>14</v>
      </c>
      <c r="B59" s="0" t="s">
        <v>3617</v>
      </c>
      <c r="C59" s="0" t="s">
        <v>3618</v>
      </c>
      <c r="D59" s="0" t="s">
        <v>3638</v>
      </c>
      <c r="E59" s="0" t="s">
        <v>3639</v>
      </c>
      <c r="F59" s="0" t="s">
        <v>3535</v>
      </c>
      <c r="G59" s="0" t="s">
        <v>1189</v>
      </c>
    </row>
    <row customHeight="1" ht="11.25">
      <c r="A60" s="373" t="s">
        <v>14</v>
      </c>
      <c r="B60" s="0" t="s">
        <v>3617</v>
      </c>
      <c r="C60" s="0" t="s">
        <v>3618</v>
      </c>
      <c r="D60" s="0" t="s">
        <v>3640</v>
      </c>
      <c r="E60" s="0" t="s">
        <v>3641</v>
      </c>
      <c r="F60" s="0" t="s">
        <v>3535</v>
      </c>
      <c r="G60" s="0" t="s">
        <v>1192</v>
      </c>
    </row>
    <row customHeight="1" ht="11.25">
      <c r="A61" s="373" t="s">
        <v>14</v>
      </c>
      <c r="B61" s="0" t="s">
        <v>3617</v>
      </c>
      <c r="C61" s="0" t="s">
        <v>3618</v>
      </c>
      <c r="D61" s="0" t="s">
        <v>3642</v>
      </c>
      <c r="E61" s="0" t="s">
        <v>3643</v>
      </c>
      <c r="F61" s="0" t="s">
        <v>3535</v>
      </c>
      <c r="G61" s="0" t="s">
        <v>3644</v>
      </c>
    </row>
    <row customHeight="1" ht="11.25">
      <c r="A62" s="373" t="s">
        <v>14</v>
      </c>
      <c r="B62" s="0" t="s">
        <v>3617</v>
      </c>
      <c r="C62" s="0" t="s">
        <v>3618</v>
      </c>
      <c r="D62" s="0" t="s">
        <v>2004</v>
      </c>
      <c r="E62" s="0" t="s">
        <v>3645</v>
      </c>
      <c r="F62" s="0" t="s">
        <v>3535</v>
      </c>
      <c r="G62" s="0" t="s">
        <v>3646</v>
      </c>
    </row>
    <row customHeight="1" ht="11.25">
      <c r="A63" s="373" t="s">
        <v>14</v>
      </c>
      <c r="B63" s="0" t="s">
        <v>3617</v>
      </c>
      <c r="C63" s="0" t="s">
        <v>3618</v>
      </c>
      <c r="D63" s="0" t="s">
        <v>3647</v>
      </c>
      <c r="E63" s="0" t="s">
        <v>3648</v>
      </c>
      <c r="F63" s="0" t="s">
        <v>3535</v>
      </c>
      <c r="G63" s="0" t="s">
        <v>3649</v>
      </c>
    </row>
    <row customHeight="1" ht="11.25">
      <c r="A64" s="373" t="s">
        <v>14</v>
      </c>
      <c r="B64" s="0" t="s">
        <v>121</v>
      </c>
      <c r="C64" s="0" t="s">
        <v>122</v>
      </c>
      <c r="D64" s="0" t="s">
        <v>121</v>
      </c>
      <c r="E64" s="0" t="s">
        <v>122</v>
      </c>
      <c r="F64" s="0" t="s">
        <v>3529</v>
      </c>
      <c r="G64" s="0" t="s">
        <v>120</v>
      </c>
    </row>
    <row customHeight="1" ht="11.25">
      <c r="A65" s="373" t="s">
        <v>14</v>
      </c>
      <c r="B65" s="0" t="s">
        <v>3650</v>
      </c>
      <c r="C65" s="0" t="s">
        <v>3651</v>
      </c>
      <c r="D65" s="0" t="s">
        <v>3652</v>
      </c>
      <c r="E65" s="0" t="s">
        <v>3653</v>
      </c>
      <c r="F65" s="0" t="s">
        <v>3535</v>
      </c>
      <c r="G65" s="0" t="s">
        <v>3654</v>
      </c>
    </row>
    <row customHeight="1" ht="11.25">
      <c r="A66" s="373" t="s">
        <v>14</v>
      </c>
      <c r="B66" s="0" t="s">
        <v>3650</v>
      </c>
      <c r="C66" s="0" t="s">
        <v>3651</v>
      </c>
      <c r="D66" s="0" t="s">
        <v>3650</v>
      </c>
      <c r="E66" s="0" t="s">
        <v>3651</v>
      </c>
      <c r="F66" s="0" t="s">
        <v>3532</v>
      </c>
      <c r="G66" s="0" t="s">
        <v>3655</v>
      </c>
    </row>
    <row customHeight="1" ht="11.25">
      <c r="A67" s="373" t="s">
        <v>14</v>
      </c>
      <c r="B67" s="0" t="s">
        <v>3650</v>
      </c>
      <c r="C67" s="0" t="s">
        <v>3651</v>
      </c>
      <c r="D67" s="0" t="s">
        <v>3656</v>
      </c>
      <c r="E67" s="0" t="s">
        <v>3657</v>
      </c>
      <c r="F67" s="0" t="s">
        <v>3627</v>
      </c>
      <c r="G67" s="0" t="s">
        <v>1408</v>
      </c>
    </row>
    <row customHeight="1" ht="11.25">
      <c r="A68" s="373" t="s">
        <v>14</v>
      </c>
      <c r="B68" s="0" t="s">
        <v>3650</v>
      </c>
      <c r="C68" s="0" t="s">
        <v>3651</v>
      </c>
      <c r="D68" s="0" t="s">
        <v>3658</v>
      </c>
      <c r="E68" s="0" t="s">
        <v>3659</v>
      </c>
      <c r="F68" s="0" t="s">
        <v>3535</v>
      </c>
      <c r="G68" s="0" t="s">
        <v>3660</v>
      </c>
    </row>
    <row customHeight="1" ht="11.25">
      <c r="A69" s="373" t="s">
        <v>14</v>
      </c>
      <c r="B69" s="0" t="s">
        <v>3650</v>
      </c>
      <c r="C69" s="0" t="s">
        <v>3651</v>
      </c>
      <c r="D69" s="0" t="s">
        <v>3661</v>
      </c>
      <c r="E69" s="0" t="s">
        <v>3662</v>
      </c>
      <c r="F69" s="0" t="s">
        <v>3535</v>
      </c>
      <c r="G69" s="0" t="s">
        <v>1645</v>
      </c>
    </row>
    <row customHeight="1" ht="11.25">
      <c r="A70" s="373" t="s">
        <v>14</v>
      </c>
      <c r="B70" s="0" t="s">
        <v>3650</v>
      </c>
      <c r="C70" s="0" t="s">
        <v>3651</v>
      </c>
      <c r="D70" s="0" t="s">
        <v>3663</v>
      </c>
      <c r="E70" s="0" t="s">
        <v>3664</v>
      </c>
      <c r="F70" s="0" t="s">
        <v>3535</v>
      </c>
      <c r="G70" s="0" t="s">
        <v>3665</v>
      </c>
    </row>
    <row customHeight="1" ht="11.25">
      <c r="A71" s="373" t="s">
        <v>14</v>
      </c>
      <c r="B71" s="0" t="s">
        <v>3650</v>
      </c>
      <c r="C71" s="0" t="s">
        <v>3651</v>
      </c>
      <c r="D71" s="0" t="s">
        <v>3666</v>
      </c>
      <c r="E71" s="0" t="s">
        <v>3667</v>
      </c>
      <c r="F71" s="0" t="s">
        <v>3535</v>
      </c>
      <c r="G71" s="0" t="s">
        <v>3668</v>
      </c>
    </row>
    <row customHeight="1" ht="11.25">
      <c r="A72" s="373" t="s">
        <v>14</v>
      </c>
      <c r="B72" s="0" t="s">
        <v>3650</v>
      </c>
      <c r="C72" s="0" t="s">
        <v>3651</v>
      </c>
      <c r="D72" s="0" t="s">
        <v>3669</v>
      </c>
      <c r="E72" s="0" t="s">
        <v>3670</v>
      </c>
      <c r="F72" s="0" t="s">
        <v>3535</v>
      </c>
      <c r="G72" s="0" t="s">
        <v>3671</v>
      </c>
    </row>
    <row customHeight="1" ht="11.25">
      <c r="A73" s="373" t="s">
        <v>14</v>
      </c>
      <c r="B73" s="0" t="s">
        <v>3650</v>
      </c>
      <c r="C73" s="0" t="s">
        <v>3651</v>
      </c>
      <c r="D73" s="0" t="s">
        <v>3672</v>
      </c>
      <c r="E73" s="0" t="s">
        <v>3673</v>
      </c>
      <c r="F73" s="0" t="s">
        <v>3535</v>
      </c>
      <c r="G73" s="0" t="s">
        <v>3674</v>
      </c>
    </row>
    <row customHeight="1" ht="11.25">
      <c r="A74" s="373" t="s">
        <v>14</v>
      </c>
      <c r="B74" s="0" t="s">
        <v>3650</v>
      </c>
      <c r="C74" s="0" t="s">
        <v>3651</v>
      </c>
      <c r="D74" s="0" t="s">
        <v>3675</v>
      </c>
      <c r="E74" s="0" t="s">
        <v>3676</v>
      </c>
      <c r="F74" s="0" t="s">
        <v>3535</v>
      </c>
      <c r="G74" s="0" t="s">
        <v>3677</v>
      </c>
    </row>
    <row customHeight="1" ht="11.25">
      <c r="A75" s="373" t="s">
        <v>14</v>
      </c>
      <c r="B75" s="0" t="s">
        <v>3650</v>
      </c>
      <c r="C75" s="0" t="s">
        <v>3651</v>
      </c>
      <c r="D75" s="0" t="s">
        <v>3678</v>
      </c>
      <c r="E75" s="0" t="s">
        <v>3679</v>
      </c>
      <c r="F75" s="0" t="s">
        <v>3535</v>
      </c>
      <c r="G75" s="0" t="s">
        <v>3680</v>
      </c>
    </row>
    <row customHeight="1" ht="11.25">
      <c r="A76" s="373" t="s">
        <v>14</v>
      </c>
      <c r="B76" s="0" t="s">
        <v>3650</v>
      </c>
      <c r="C76" s="0" t="s">
        <v>3651</v>
      </c>
      <c r="D76" s="0" t="s">
        <v>3681</v>
      </c>
      <c r="E76" s="0" t="s">
        <v>3682</v>
      </c>
      <c r="F76" s="0" t="s">
        <v>3535</v>
      </c>
      <c r="G76" s="0" t="s">
        <v>3683</v>
      </c>
    </row>
    <row customHeight="1" ht="11.25">
      <c r="A77" s="373" t="s">
        <v>14</v>
      </c>
      <c r="B77" s="0" t="s">
        <v>3650</v>
      </c>
      <c r="C77" s="0" t="s">
        <v>3651</v>
      </c>
      <c r="D77" s="0" t="s">
        <v>3684</v>
      </c>
      <c r="E77" s="0" t="s">
        <v>3685</v>
      </c>
      <c r="F77" s="0" t="s">
        <v>3535</v>
      </c>
      <c r="G77" s="0" t="s">
        <v>3686</v>
      </c>
    </row>
    <row customHeight="1" ht="11.25">
      <c r="A78" s="373" t="s">
        <v>14</v>
      </c>
      <c r="B78" s="0" t="s">
        <v>3650</v>
      </c>
      <c r="C78" s="0" t="s">
        <v>3651</v>
      </c>
      <c r="D78" s="0" t="s">
        <v>3687</v>
      </c>
      <c r="E78" s="0" t="s">
        <v>3688</v>
      </c>
      <c r="F78" s="0" t="s">
        <v>3535</v>
      </c>
      <c r="G78" s="0" t="s">
        <v>3689</v>
      </c>
    </row>
    <row customHeight="1" ht="11.25">
      <c r="A79" s="373" t="s">
        <v>14</v>
      </c>
      <c r="B79" s="0" t="s">
        <v>3650</v>
      </c>
      <c r="C79" s="0" t="s">
        <v>3651</v>
      </c>
      <c r="D79" s="0" t="s">
        <v>3690</v>
      </c>
      <c r="E79" s="0" t="s">
        <v>3691</v>
      </c>
      <c r="F79" s="0" t="s">
        <v>3535</v>
      </c>
      <c r="G79" s="0" t="s">
        <v>3692</v>
      </c>
    </row>
    <row customHeight="1" ht="11.25">
      <c r="A80" s="373" t="s">
        <v>14</v>
      </c>
      <c r="B80" s="0" t="s">
        <v>144</v>
      </c>
      <c r="C80" s="0" t="s">
        <v>145</v>
      </c>
      <c r="D80" s="0" t="s">
        <v>144</v>
      </c>
      <c r="E80" s="0" t="s">
        <v>145</v>
      </c>
      <c r="F80" s="0" t="s">
        <v>3616</v>
      </c>
      <c r="G80" s="0" t="s">
        <v>143</v>
      </c>
    </row>
    <row customHeight="1" ht="11.25">
      <c r="A81" s="373" t="s">
        <v>14</v>
      </c>
      <c r="B81" s="0" t="s">
        <v>3693</v>
      </c>
      <c r="C81" s="0" t="s">
        <v>3694</v>
      </c>
      <c r="D81" s="0" t="s">
        <v>3621</v>
      </c>
      <c r="E81" s="0" t="s">
        <v>3695</v>
      </c>
      <c r="F81" s="0" t="s">
        <v>3535</v>
      </c>
      <c r="G81" s="0" t="s">
        <v>3696</v>
      </c>
    </row>
    <row customHeight="1" ht="11.25">
      <c r="A82" s="373" t="s">
        <v>14</v>
      </c>
      <c r="B82" s="0" t="s">
        <v>3693</v>
      </c>
      <c r="C82" s="0" t="s">
        <v>3694</v>
      </c>
      <c r="D82" s="0" t="s">
        <v>3697</v>
      </c>
      <c r="E82" s="0" t="s">
        <v>3698</v>
      </c>
      <c r="F82" s="0" t="s">
        <v>3535</v>
      </c>
      <c r="G82" s="0" t="s">
        <v>3699</v>
      </c>
    </row>
    <row customHeight="1" ht="11.25">
      <c r="A83" s="373" t="s">
        <v>14</v>
      </c>
      <c r="B83" s="0" t="s">
        <v>3693</v>
      </c>
      <c r="C83" s="0" t="s">
        <v>3694</v>
      </c>
      <c r="D83" s="0" t="s">
        <v>3693</v>
      </c>
      <c r="E83" s="0" t="s">
        <v>3694</v>
      </c>
      <c r="F83" s="0" t="s">
        <v>3532</v>
      </c>
      <c r="G83" s="0" t="s">
        <v>3700</v>
      </c>
    </row>
    <row customHeight="1" ht="11.25">
      <c r="A84" s="373" t="s">
        <v>14</v>
      </c>
      <c r="B84" s="0" t="s">
        <v>3693</v>
      </c>
      <c r="C84" s="0" t="s">
        <v>3694</v>
      </c>
      <c r="D84" s="0" t="s">
        <v>3701</v>
      </c>
      <c r="E84" s="0" t="s">
        <v>3702</v>
      </c>
      <c r="F84" s="0" t="s">
        <v>3535</v>
      </c>
      <c r="G84" s="0" t="s">
        <v>3703</v>
      </c>
    </row>
    <row customHeight="1" ht="11.25">
      <c r="A85" s="373" t="s">
        <v>14</v>
      </c>
      <c r="B85" s="0" t="s">
        <v>3693</v>
      </c>
      <c r="C85" s="0" t="s">
        <v>3694</v>
      </c>
      <c r="D85" s="0" t="s">
        <v>3704</v>
      </c>
      <c r="E85" s="0" t="s">
        <v>3705</v>
      </c>
      <c r="F85" s="0" t="s">
        <v>3535</v>
      </c>
      <c r="G85" s="0" t="s">
        <v>3706</v>
      </c>
    </row>
    <row customHeight="1" ht="11.25">
      <c r="A86" s="373" t="s">
        <v>14</v>
      </c>
      <c r="B86" s="0" t="s">
        <v>3693</v>
      </c>
      <c r="C86" s="0" t="s">
        <v>3694</v>
      </c>
      <c r="D86" s="0" t="s">
        <v>3707</v>
      </c>
      <c r="E86" s="0" t="s">
        <v>3708</v>
      </c>
      <c r="F86" s="0" t="s">
        <v>3535</v>
      </c>
      <c r="G86" s="0" t="s">
        <v>3709</v>
      </c>
    </row>
    <row customHeight="1" ht="11.25">
      <c r="A87" s="373" t="s">
        <v>14</v>
      </c>
      <c r="B87" s="0" t="s">
        <v>3693</v>
      </c>
      <c r="C87" s="0" t="s">
        <v>3694</v>
      </c>
      <c r="D87" s="0" t="s">
        <v>3710</v>
      </c>
      <c r="E87" s="0" t="s">
        <v>3711</v>
      </c>
      <c r="F87" s="0" t="s">
        <v>3535</v>
      </c>
      <c r="G87" s="0" t="s">
        <v>3712</v>
      </c>
    </row>
    <row customHeight="1" ht="11.25">
      <c r="A88" s="373" t="s">
        <v>14</v>
      </c>
      <c r="B88" s="0" t="s">
        <v>3693</v>
      </c>
      <c r="C88" s="0" t="s">
        <v>3694</v>
      </c>
      <c r="D88" s="0" t="s">
        <v>3713</v>
      </c>
      <c r="E88" s="0" t="s">
        <v>3714</v>
      </c>
      <c r="F88" s="0" t="s">
        <v>3535</v>
      </c>
      <c r="G88" s="0" t="s">
        <v>3715</v>
      </c>
    </row>
    <row customHeight="1" ht="11.25">
      <c r="A89" s="373" t="s">
        <v>14</v>
      </c>
      <c r="B89" s="0" t="s">
        <v>3693</v>
      </c>
      <c r="C89" s="0" t="s">
        <v>3694</v>
      </c>
      <c r="D89" s="0" t="s">
        <v>3716</v>
      </c>
      <c r="E89" s="0" t="s">
        <v>3717</v>
      </c>
      <c r="F89" s="0" t="s">
        <v>3535</v>
      </c>
      <c r="G89" s="0" t="s">
        <v>3718</v>
      </c>
    </row>
    <row customHeight="1" ht="11.25">
      <c r="A90" s="373" t="s">
        <v>14</v>
      </c>
      <c r="B90" s="0" t="s">
        <v>3693</v>
      </c>
      <c r="C90" s="0" t="s">
        <v>3694</v>
      </c>
      <c r="D90" s="0" t="s">
        <v>3719</v>
      </c>
      <c r="E90" s="0" t="s">
        <v>3720</v>
      </c>
      <c r="F90" s="0" t="s">
        <v>3535</v>
      </c>
      <c r="G90" s="0" t="s">
        <v>3721</v>
      </c>
    </row>
    <row customHeight="1" ht="11.25">
      <c r="A91" s="373" t="s">
        <v>14</v>
      </c>
      <c r="B91" s="0" t="s">
        <v>3693</v>
      </c>
      <c r="C91" s="0" t="s">
        <v>3694</v>
      </c>
      <c r="D91" s="0" t="s">
        <v>3722</v>
      </c>
      <c r="E91" s="0" t="s">
        <v>3723</v>
      </c>
      <c r="F91" s="0" t="s">
        <v>3535</v>
      </c>
      <c r="G91" s="0" t="s">
        <v>3724</v>
      </c>
    </row>
    <row customHeight="1" ht="11.25">
      <c r="A92" s="373" t="s">
        <v>14</v>
      </c>
      <c r="B92" s="0" t="s">
        <v>3693</v>
      </c>
      <c r="C92" s="0" t="s">
        <v>3694</v>
      </c>
      <c r="D92" s="0" t="s">
        <v>3725</v>
      </c>
      <c r="E92" s="0" t="s">
        <v>3726</v>
      </c>
      <c r="F92" s="0" t="s">
        <v>3535</v>
      </c>
      <c r="G92" s="0" t="s">
        <v>3727</v>
      </c>
    </row>
    <row customHeight="1" ht="11.25">
      <c r="A93" s="373" t="s">
        <v>14</v>
      </c>
      <c r="B93" s="0" t="s">
        <v>3693</v>
      </c>
      <c r="C93" s="0" t="s">
        <v>3694</v>
      </c>
      <c r="D93" s="0" t="s">
        <v>3728</v>
      </c>
      <c r="E93" s="0" t="s">
        <v>3729</v>
      </c>
      <c r="F93" s="0" t="s">
        <v>3535</v>
      </c>
      <c r="G93" s="0" t="s">
        <v>3730</v>
      </c>
    </row>
    <row customHeight="1" ht="11.25">
      <c r="A94" s="373" t="s">
        <v>14</v>
      </c>
      <c r="B94" s="0" t="s">
        <v>3693</v>
      </c>
      <c r="C94" s="0" t="s">
        <v>3694</v>
      </c>
      <c r="D94" s="0" t="s">
        <v>3731</v>
      </c>
      <c r="E94" s="0" t="s">
        <v>3732</v>
      </c>
      <c r="F94" s="0" t="s">
        <v>3535</v>
      </c>
      <c r="G94" s="0" t="s">
        <v>3733</v>
      </c>
    </row>
    <row customHeight="1" ht="11.25">
      <c r="A95" s="373" t="s">
        <v>14</v>
      </c>
      <c r="B95" s="0" t="s">
        <v>3693</v>
      </c>
      <c r="C95" s="0" t="s">
        <v>3694</v>
      </c>
      <c r="D95" s="0" t="s">
        <v>3734</v>
      </c>
      <c r="E95" s="0" t="s">
        <v>3735</v>
      </c>
      <c r="F95" s="0" t="s">
        <v>3535</v>
      </c>
      <c r="G95" s="0" t="s">
        <v>3736</v>
      </c>
    </row>
    <row customHeight="1" ht="11.25">
      <c r="A96" s="373" t="s">
        <v>14</v>
      </c>
      <c r="B96" s="0" t="s">
        <v>111</v>
      </c>
      <c r="C96" s="0" t="s">
        <v>112</v>
      </c>
      <c r="D96" s="0" t="s">
        <v>111</v>
      </c>
      <c r="E96" s="0" t="s">
        <v>112</v>
      </c>
      <c r="F96" s="0" t="s">
        <v>3616</v>
      </c>
      <c r="G96" s="0" t="s">
        <v>110</v>
      </c>
    </row>
    <row customHeight="1" ht="11.25">
      <c r="A97" s="373" t="s">
        <v>14</v>
      </c>
      <c r="B97" s="0" t="s">
        <v>3737</v>
      </c>
      <c r="C97" s="0" t="s">
        <v>3738</v>
      </c>
      <c r="D97" s="0" t="s">
        <v>3737</v>
      </c>
      <c r="E97" s="0" t="s">
        <v>3738</v>
      </c>
      <c r="F97" s="0" t="s">
        <v>3616</v>
      </c>
      <c r="G97" s="0" t="s">
        <v>3739</v>
      </c>
    </row>
    <row customHeight="1" ht="11.25">
      <c r="A98" s="373" t="s">
        <v>14</v>
      </c>
      <c r="B98" s="0" t="s">
        <v>3740</v>
      </c>
      <c r="C98" s="0" t="s">
        <v>3741</v>
      </c>
      <c r="D98" s="0" t="s">
        <v>3740</v>
      </c>
      <c r="E98" s="0" t="s">
        <v>3741</v>
      </c>
      <c r="F98" s="0" t="s">
        <v>3616</v>
      </c>
      <c r="G98" s="0" t="s">
        <v>3742</v>
      </c>
    </row>
    <row customHeight="1" ht="11.25">
      <c r="A99" s="373" t="s">
        <v>14</v>
      </c>
      <c r="B99" s="0" t="s">
        <v>100</v>
      </c>
      <c r="C99" s="0" t="s">
        <v>101</v>
      </c>
      <c r="D99" s="0" t="s">
        <v>100</v>
      </c>
      <c r="E99" s="0" t="s">
        <v>101</v>
      </c>
      <c r="F99" s="0" t="s">
        <v>3616</v>
      </c>
      <c r="G99" s="0" t="s">
        <v>99</v>
      </c>
    </row>
    <row customHeight="1" ht="11.25">
      <c r="A100" s="373" t="s">
        <v>14</v>
      </c>
      <c r="B100" s="0" t="s">
        <v>108</v>
      </c>
      <c r="C100" s="0" t="s">
        <v>109</v>
      </c>
      <c r="D100" s="0" t="s">
        <v>108</v>
      </c>
      <c r="E100" s="0" t="s">
        <v>109</v>
      </c>
      <c r="F100" s="0" t="s">
        <v>3616</v>
      </c>
      <c r="G100" s="0" t="s">
        <v>107</v>
      </c>
    </row>
    <row customHeight="1" ht="11.25">
      <c r="A101" s="373" t="s">
        <v>14</v>
      </c>
      <c r="B101" s="0" t="s">
        <v>115</v>
      </c>
      <c r="C101" s="0" t="s">
        <v>116</v>
      </c>
      <c r="D101" s="0" t="s">
        <v>115</v>
      </c>
      <c r="E101" s="0" t="s">
        <v>116</v>
      </c>
      <c r="F101" s="0" t="s">
        <v>3616</v>
      </c>
      <c r="G101" s="0" t="s">
        <v>114</v>
      </c>
    </row>
    <row customHeight="1" ht="11.25">
      <c r="A102" s="373" t="s">
        <v>14</v>
      </c>
      <c r="B102" s="0" t="s">
        <v>156</v>
      </c>
      <c r="C102" s="0" t="s">
        <v>157</v>
      </c>
      <c r="D102" s="0" t="s">
        <v>156</v>
      </c>
      <c r="E102" s="0" t="s">
        <v>157</v>
      </c>
      <c r="F102" s="0" t="s">
        <v>3616</v>
      </c>
      <c r="G102" s="0" t="s">
        <v>155</v>
      </c>
    </row>
    <row customHeight="1" ht="11.25">
      <c r="A103" s="373" t="s">
        <v>14</v>
      </c>
      <c r="B103" s="0" t="s">
        <v>3743</v>
      </c>
      <c r="C103" s="0" t="s">
        <v>3744</v>
      </c>
      <c r="D103" s="0" t="s">
        <v>3743</v>
      </c>
      <c r="E103" s="0" t="s">
        <v>3744</v>
      </c>
      <c r="F103" s="0" t="s">
        <v>3529</v>
      </c>
      <c r="G103" s="0" t="s">
        <v>3745</v>
      </c>
    </row>
    <row customHeight="1" ht="11.25">
      <c r="A104" s="373" t="s">
        <v>14</v>
      </c>
      <c r="B104" s="0" t="s">
        <v>207</v>
      </c>
      <c r="C104" s="0" t="s">
        <v>3746</v>
      </c>
      <c r="D104" s="0" t="s">
        <v>207</v>
      </c>
      <c r="E104" s="0" t="s">
        <v>3746</v>
      </c>
      <c r="F104" s="0" t="s">
        <v>3532</v>
      </c>
      <c r="G104" s="0" t="s">
        <v>3747</v>
      </c>
    </row>
    <row customHeight="1" ht="11.25">
      <c r="A105" s="373" t="s">
        <v>14</v>
      </c>
      <c r="B105" s="0" t="s">
        <v>207</v>
      </c>
      <c r="C105" s="0" t="s">
        <v>3746</v>
      </c>
      <c r="D105" s="0" t="s">
        <v>208</v>
      </c>
      <c r="E105" s="0" t="s">
        <v>209</v>
      </c>
      <c r="F105" s="0" t="s">
        <v>3535</v>
      </c>
      <c r="G105" s="0" t="s">
        <v>206</v>
      </c>
    </row>
    <row customHeight="1" ht="11.25">
      <c r="A106" s="373" t="s">
        <v>14</v>
      </c>
      <c r="B106" s="0" t="s">
        <v>207</v>
      </c>
      <c r="C106" s="0" t="s">
        <v>3746</v>
      </c>
      <c r="D106" s="0" t="s">
        <v>3748</v>
      </c>
      <c r="E106" s="0" t="s">
        <v>3749</v>
      </c>
      <c r="F106" s="0" t="s">
        <v>3535</v>
      </c>
      <c r="G106" s="0" t="s">
        <v>3750</v>
      </c>
    </row>
    <row customHeight="1" ht="11.25">
      <c r="A107" s="373" t="s">
        <v>14</v>
      </c>
      <c r="B107" s="0" t="s">
        <v>207</v>
      </c>
      <c r="C107" s="0" t="s">
        <v>3746</v>
      </c>
      <c r="D107" s="0" t="s">
        <v>3751</v>
      </c>
      <c r="E107" s="0" t="s">
        <v>3752</v>
      </c>
      <c r="F107" s="0" t="s">
        <v>3535</v>
      </c>
      <c r="G107" s="0" t="s">
        <v>3753</v>
      </c>
    </row>
    <row customHeight="1" ht="11.25">
      <c r="A108" s="373" t="s">
        <v>14</v>
      </c>
      <c r="B108" s="0" t="s">
        <v>207</v>
      </c>
      <c r="C108" s="0" t="s">
        <v>3746</v>
      </c>
      <c r="D108" s="0" t="s">
        <v>3754</v>
      </c>
      <c r="E108" s="0" t="s">
        <v>3755</v>
      </c>
      <c r="F108" s="0" t="s">
        <v>3535</v>
      </c>
      <c r="G108" s="0" t="s">
        <v>3756</v>
      </c>
    </row>
    <row customHeight="1" ht="11.25">
      <c r="A109" s="373" t="s">
        <v>14</v>
      </c>
      <c r="B109" s="0" t="s">
        <v>207</v>
      </c>
      <c r="C109" s="0" t="s">
        <v>3746</v>
      </c>
      <c r="D109" s="0" t="s">
        <v>3757</v>
      </c>
      <c r="E109" s="0" t="s">
        <v>3758</v>
      </c>
      <c r="F109" s="0" t="s">
        <v>3535</v>
      </c>
      <c r="G109" s="0" t="s">
        <v>3759</v>
      </c>
    </row>
    <row customHeight="1" ht="11.25">
      <c r="A110" s="373" t="s">
        <v>14</v>
      </c>
      <c r="B110" s="0" t="s">
        <v>207</v>
      </c>
      <c r="C110" s="0" t="s">
        <v>3746</v>
      </c>
      <c r="D110" s="0" t="s">
        <v>3760</v>
      </c>
      <c r="E110" s="0" t="s">
        <v>3761</v>
      </c>
      <c r="F110" s="0" t="s">
        <v>3535</v>
      </c>
      <c r="G110" s="0" t="s">
        <v>3762</v>
      </c>
    </row>
    <row customHeight="1" ht="11.25">
      <c r="A111" s="373" t="s">
        <v>14</v>
      </c>
      <c r="B111" s="0" t="s">
        <v>207</v>
      </c>
      <c r="C111" s="0" t="s">
        <v>3746</v>
      </c>
      <c r="D111" s="0" t="s">
        <v>3763</v>
      </c>
      <c r="E111" s="0" t="s">
        <v>3764</v>
      </c>
      <c r="F111" s="0" t="s">
        <v>3535</v>
      </c>
      <c r="G111" s="0" t="s">
        <v>3765</v>
      </c>
    </row>
    <row customHeight="1" ht="11.25">
      <c r="A112" s="373" t="s">
        <v>14</v>
      </c>
      <c r="B112" s="0" t="s">
        <v>207</v>
      </c>
      <c r="C112" s="0" t="s">
        <v>3746</v>
      </c>
      <c r="D112" s="0" t="s">
        <v>3766</v>
      </c>
      <c r="E112" s="0" t="s">
        <v>3767</v>
      </c>
      <c r="F112" s="0" t="s">
        <v>3535</v>
      </c>
      <c r="G112" s="0" t="s">
        <v>3768</v>
      </c>
    </row>
    <row customHeight="1" ht="11.25">
      <c r="A113" s="373" t="s">
        <v>14</v>
      </c>
      <c r="B113" s="0" t="s">
        <v>187</v>
      </c>
      <c r="C113" s="0" t="s">
        <v>188</v>
      </c>
      <c r="D113" s="0" t="s">
        <v>187</v>
      </c>
      <c r="E113" s="0" t="s">
        <v>188</v>
      </c>
      <c r="F113" s="0" t="s">
        <v>3616</v>
      </c>
      <c r="G113" s="0" t="s">
        <v>186</v>
      </c>
    </row>
    <row customHeight="1" ht="11.25">
      <c r="A114" s="373" t="s">
        <v>14</v>
      </c>
      <c r="B114" s="0" t="s">
        <v>3769</v>
      </c>
      <c r="C114" s="0" t="s">
        <v>3770</v>
      </c>
      <c r="D114" s="0" t="s">
        <v>3771</v>
      </c>
      <c r="E114" s="0" t="s">
        <v>3772</v>
      </c>
      <c r="F114" s="0" t="s">
        <v>3627</v>
      </c>
      <c r="G114" s="0" t="s">
        <v>3773</v>
      </c>
    </row>
    <row customHeight="1" ht="11.25">
      <c r="A115" s="373" t="s">
        <v>14</v>
      </c>
      <c r="B115" s="0" t="s">
        <v>3769</v>
      </c>
      <c r="C115" s="0" t="s">
        <v>3770</v>
      </c>
      <c r="D115" s="0" t="s">
        <v>3769</v>
      </c>
      <c r="E115" s="0" t="s">
        <v>3770</v>
      </c>
      <c r="F115" s="0" t="s">
        <v>3532</v>
      </c>
      <c r="G115" s="0" t="s">
        <v>3774</v>
      </c>
    </row>
    <row customHeight="1" ht="11.25">
      <c r="A116" s="373" t="s">
        <v>14</v>
      </c>
      <c r="B116" s="0" t="s">
        <v>3769</v>
      </c>
      <c r="C116" s="0" t="s">
        <v>3770</v>
      </c>
      <c r="D116" s="0" t="s">
        <v>3775</v>
      </c>
      <c r="E116" s="0" t="s">
        <v>3776</v>
      </c>
      <c r="F116" s="0" t="s">
        <v>3535</v>
      </c>
      <c r="G116" s="0" t="s">
        <v>3777</v>
      </c>
    </row>
    <row customHeight="1" ht="11.25">
      <c r="A117" s="373" t="s">
        <v>14</v>
      </c>
      <c r="B117" s="0" t="s">
        <v>3769</v>
      </c>
      <c r="C117" s="0" t="s">
        <v>3770</v>
      </c>
      <c r="D117" s="0" t="s">
        <v>3778</v>
      </c>
      <c r="E117" s="0" t="s">
        <v>3779</v>
      </c>
      <c r="F117" s="0" t="s">
        <v>3535</v>
      </c>
      <c r="G117" s="0" t="s">
        <v>3780</v>
      </c>
    </row>
    <row customHeight="1" ht="11.25">
      <c r="A118" s="373" t="s">
        <v>14</v>
      </c>
      <c r="B118" s="0" t="s">
        <v>3769</v>
      </c>
      <c r="C118" s="0" t="s">
        <v>3770</v>
      </c>
      <c r="D118" s="0" t="s">
        <v>3781</v>
      </c>
      <c r="E118" s="0" t="s">
        <v>3782</v>
      </c>
      <c r="F118" s="0" t="s">
        <v>3535</v>
      </c>
      <c r="G118" s="0" t="s">
        <v>3783</v>
      </c>
    </row>
    <row customHeight="1" ht="11.25">
      <c r="A119" s="373" t="s">
        <v>14</v>
      </c>
      <c r="B119" s="0" t="s">
        <v>3769</v>
      </c>
      <c r="C119" s="0" t="s">
        <v>3770</v>
      </c>
      <c r="D119" s="0" t="s">
        <v>3784</v>
      </c>
      <c r="E119" s="0" t="s">
        <v>3785</v>
      </c>
      <c r="F119" s="0" t="s">
        <v>3535</v>
      </c>
      <c r="G119" s="0" t="s">
        <v>3786</v>
      </c>
    </row>
    <row customHeight="1" ht="11.25">
      <c r="A120" s="373" t="s">
        <v>14</v>
      </c>
      <c r="B120" s="0" t="s">
        <v>3769</v>
      </c>
      <c r="C120" s="0" t="s">
        <v>3770</v>
      </c>
      <c r="D120" s="0" t="s">
        <v>3787</v>
      </c>
      <c r="E120" s="0" t="s">
        <v>3788</v>
      </c>
      <c r="F120" s="0" t="s">
        <v>3535</v>
      </c>
      <c r="G120" s="0" t="s">
        <v>3789</v>
      </c>
    </row>
    <row customHeight="1" ht="11.25">
      <c r="A121" s="373" t="s">
        <v>14</v>
      </c>
      <c r="B121" s="0" t="s">
        <v>3769</v>
      </c>
      <c r="C121" s="0" t="s">
        <v>3770</v>
      </c>
      <c r="D121" s="0" t="s">
        <v>3790</v>
      </c>
      <c r="E121" s="0" t="s">
        <v>3791</v>
      </c>
      <c r="F121" s="0" t="s">
        <v>3792</v>
      </c>
      <c r="G121" s="0" t="s">
        <v>3793</v>
      </c>
    </row>
    <row customHeight="1" ht="11.25">
      <c r="A122" s="373" t="s">
        <v>14</v>
      </c>
      <c r="B122" s="0" t="s">
        <v>3769</v>
      </c>
      <c r="C122" s="0" t="s">
        <v>3770</v>
      </c>
      <c r="D122" s="0" t="s">
        <v>3794</v>
      </c>
      <c r="E122" s="0" t="s">
        <v>3795</v>
      </c>
      <c r="F122" s="0" t="s">
        <v>3792</v>
      </c>
      <c r="G122" s="0" t="s">
        <v>3796</v>
      </c>
    </row>
    <row customHeight="1" ht="11.25">
      <c r="A123" s="373" t="s">
        <v>14</v>
      </c>
      <c r="B123" s="0" t="s">
        <v>3769</v>
      </c>
      <c r="C123" s="0" t="s">
        <v>3770</v>
      </c>
      <c r="D123" s="0" t="s">
        <v>3797</v>
      </c>
      <c r="E123" s="0" t="s">
        <v>3798</v>
      </c>
      <c r="F123" s="0" t="s">
        <v>3535</v>
      </c>
      <c r="G123" s="0" t="s">
        <v>3799</v>
      </c>
    </row>
    <row customHeight="1" ht="11.25">
      <c r="A124" s="373" t="s">
        <v>14</v>
      </c>
      <c r="B124" s="0" t="s">
        <v>3769</v>
      </c>
      <c r="C124" s="0" t="s">
        <v>3770</v>
      </c>
      <c r="D124" s="0" t="s">
        <v>3800</v>
      </c>
      <c r="E124" s="0" t="s">
        <v>3801</v>
      </c>
      <c r="F124" s="0" t="s">
        <v>3535</v>
      </c>
      <c r="G124" s="0" t="s">
        <v>3802</v>
      </c>
    </row>
    <row customHeight="1" ht="11.25">
      <c r="A125" s="373" t="s">
        <v>14</v>
      </c>
      <c r="B125" s="0" t="s">
        <v>3769</v>
      </c>
      <c r="C125" s="0" t="s">
        <v>3770</v>
      </c>
      <c r="D125" s="0" t="s">
        <v>3803</v>
      </c>
      <c r="E125" s="0" t="s">
        <v>3804</v>
      </c>
      <c r="F125" s="0" t="s">
        <v>3535</v>
      </c>
      <c r="G125" s="0" t="s">
        <v>3805</v>
      </c>
    </row>
    <row customHeight="1" ht="11.25">
      <c r="A126" s="373" t="s">
        <v>14</v>
      </c>
      <c r="B126" s="0" t="s">
        <v>3769</v>
      </c>
      <c r="C126" s="0" t="s">
        <v>3770</v>
      </c>
      <c r="D126" s="0" t="s">
        <v>3806</v>
      </c>
      <c r="E126" s="0" t="s">
        <v>3807</v>
      </c>
      <c r="F126" s="0" t="s">
        <v>3535</v>
      </c>
      <c r="G126" s="0" t="s">
        <v>3808</v>
      </c>
    </row>
    <row customHeight="1" ht="11.25">
      <c r="A127" s="373" t="s">
        <v>14</v>
      </c>
      <c r="B127" s="0" t="s">
        <v>3769</v>
      </c>
      <c r="C127" s="0" t="s">
        <v>3770</v>
      </c>
      <c r="D127" s="0" t="s">
        <v>3809</v>
      </c>
      <c r="E127" s="0" t="s">
        <v>3810</v>
      </c>
      <c r="F127" s="0" t="s">
        <v>3535</v>
      </c>
      <c r="G127" s="0" t="s">
        <v>3811</v>
      </c>
    </row>
    <row customHeight="1" ht="11.25">
      <c r="A128" s="373" t="s">
        <v>14</v>
      </c>
      <c r="B128" s="0" t="s">
        <v>3769</v>
      </c>
      <c r="C128" s="0" t="s">
        <v>3770</v>
      </c>
      <c r="D128" s="0" t="s">
        <v>3812</v>
      </c>
      <c r="E128" s="0" t="s">
        <v>3813</v>
      </c>
      <c r="F128" s="0" t="s">
        <v>3535</v>
      </c>
      <c r="G128" s="0" t="s">
        <v>3814</v>
      </c>
    </row>
    <row customHeight="1" ht="11.25">
      <c r="A129" s="373" t="s">
        <v>14</v>
      </c>
      <c r="B129" s="0" t="s">
        <v>3769</v>
      </c>
      <c r="C129" s="0" t="s">
        <v>3770</v>
      </c>
      <c r="D129" s="0" t="s">
        <v>3815</v>
      </c>
      <c r="E129" s="0" t="s">
        <v>3816</v>
      </c>
      <c r="F129" s="0" t="s">
        <v>3535</v>
      </c>
      <c r="G129" s="0" t="s">
        <v>3817</v>
      </c>
    </row>
    <row customHeight="1" ht="11.25">
      <c r="A130" s="373" t="s">
        <v>14</v>
      </c>
      <c r="B130" s="0" t="s">
        <v>180</v>
      </c>
      <c r="C130" s="0" t="s">
        <v>181</v>
      </c>
      <c r="D130" s="0" t="s">
        <v>180</v>
      </c>
      <c r="E130" s="0" t="s">
        <v>181</v>
      </c>
      <c r="F130" s="0" t="s">
        <v>3616</v>
      </c>
      <c r="G130" s="0" t="s">
        <v>179</v>
      </c>
    </row>
    <row customHeight="1" ht="11.25">
      <c r="A131" s="373" t="s">
        <v>14</v>
      </c>
      <c r="B131" s="0" t="s">
        <v>3818</v>
      </c>
      <c r="C131" s="0" t="s">
        <v>3819</v>
      </c>
      <c r="D131" s="0" t="s">
        <v>3820</v>
      </c>
      <c r="E131" s="0" t="s">
        <v>3821</v>
      </c>
      <c r="F131" s="0" t="s">
        <v>3535</v>
      </c>
      <c r="G131" s="0" t="s">
        <v>3822</v>
      </c>
    </row>
    <row customHeight="1" ht="11.25">
      <c r="A132" s="373" t="s">
        <v>14</v>
      </c>
      <c r="B132" s="0" t="s">
        <v>3818</v>
      </c>
      <c r="C132" s="0" t="s">
        <v>3819</v>
      </c>
      <c r="D132" s="0" t="s">
        <v>3823</v>
      </c>
      <c r="E132" s="0" t="s">
        <v>3824</v>
      </c>
      <c r="F132" s="0" t="s">
        <v>3535</v>
      </c>
      <c r="G132" s="0" t="s">
        <v>3825</v>
      </c>
    </row>
    <row customHeight="1" ht="11.25">
      <c r="A133" s="373" t="s">
        <v>14</v>
      </c>
      <c r="B133" s="0" t="s">
        <v>3818</v>
      </c>
      <c r="C133" s="0" t="s">
        <v>3819</v>
      </c>
      <c r="D133" s="0" t="s">
        <v>3826</v>
      </c>
      <c r="E133" s="0" t="s">
        <v>3827</v>
      </c>
      <c r="F133" s="0" t="s">
        <v>3627</v>
      </c>
      <c r="G133" s="0" t="s">
        <v>3828</v>
      </c>
    </row>
    <row customHeight="1" ht="11.25">
      <c r="A134" s="373" t="s">
        <v>14</v>
      </c>
      <c r="B134" s="0" t="s">
        <v>3818</v>
      </c>
      <c r="C134" s="0" t="s">
        <v>3819</v>
      </c>
      <c r="D134" s="0" t="s">
        <v>3829</v>
      </c>
      <c r="E134" s="0" t="s">
        <v>3830</v>
      </c>
      <c r="F134" s="0" t="s">
        <v>3535</v>
      </c>
      <c r="G134" s="0" t="s">
        <v>3831</v>
      </c>
    </row>
    <row customHeight="1" ht="11.25">
      <c r="A135" s="373" t="s">
        <v>14</v>
      </c>
      <c r="B135" s="0" t="s">
        <v>3818</v>
      </c>
      <c r="C135" s="0" t="s">
        <v>3819</v>
      </c>
      <c r="D135" s="0" t="s">
        <v>3832</v>
      </c>
      <c r="E135" s="0" t="s">
        <v>3833</v>
      </c>
      <c r="F135" s="0" t="s">
        <v>3535</v>
      </c>
      <c r="G135" s="0" t="s">
        <v>3834</v>
      </c>
    </row>
    <row customHeight="1" ht="11.25">
      <c r="A136" s="373" t="s">
        <v>14</v>
      </c>
      <c r="B136" s="0" t="s">
        <v>3818</v>
      </c>
      <c r="C136" s="0" t="s">
        <v>3819</v>
      </c>
      <c r="D136" s="0" t="s">
        <v>3818</v>
      </c>
      <c r="E136" s="0" t="s">
        <v>3819</v>
      </c>
      <c r="F136" s="0" t="s">
        <v>3532</v>
      </c>
      <c r="G136" s="0" t="s">
        <v>3835</v>
      </c>
    </row>
    <row customHeight="1" ht="11.25">
      <c r="A137" s="373" t="s">
        <v>14</v>
      </c>
      <c r="B137" s="0" t="s">
        <v>3818</v>
      </c>
      <c r="C137" s="0" t="s">
        <v>3819</v>
      </c>
      <c r="D137" s="0" t="s">
        <v>3836</v>
      </c>
      <c r="E137" s="0" t="s">
        <v>3837</v>
      </c>
      <c r="F137" s="0" t="s">
        <v>3535</v>
      </c>
      <c r="G137" s="0" t="s">
        <v>3838</v>
      </c>
    </row>
    <row customHeight="1" ht="11.25">
      <c r="A138" s="373" t="s">
        <v>14</v>
      </c>
      <c r="B138" s="0" t="s">
        <v>3818</v>
      </c>
      <c r="C138" s="0" t="s">
        <v>3819</v>
      </c>
      <c r="D138" s="0" t="s">
        <v>3839</v>
      </c>
      <c r="E138" s="0" t="s">
        <v>3840</v>
      </c>
      <c r="F138" s="0" t="s">
        <v>3535</v>
      </c>
      <c r="G138" s="0" t="s">
        <v>3841</v>
      </c>
    </row>
    <row customHeight="1" ht="11.25">
      <c r="A139" s="373" t="s">
        <v>14</v>
      </c>
      <c r="B139" s="0" t="s">
        <v>3818</v>
      </c>
      <c r="C139" s="0" t="s">
        <v>3819</v>
      </c>
      <c r="D139" s="0" t="s">
        <v>3842</v>
      </c>
      <c r="E139" s="0" t="s">
        <v>3843</v>
      </c>
      <c r="F139" s="0" t="s">
        <v>3535</v>
      </c>
      <c r="G139" s="0" t="s">
        <v>3844</v>
      </c>
    </row>
    <row customHeight="1" ht="11.25">
      <c r="A140" s="373" t="s">
        <v>14</v>
      </c>
      <c r="B140" s="0" t="s">
        <v>3818</v>
      </c>
      <c r="C140" s="0" t="s">
        <v>3819</v>
      </c>
      <c r="D140" s="0" t="s">
        <v>3845</v>
      </c>
      <c r="E140" s="0" t="s">
        <v>3846</v>
      </c>
      <c r="F140" s="0" t="s">
        <v>3535</v>
      </c>
      <c r="G140" s="0" t="s">
        <v>3847</v>
      </c>
    </row>
    <row customHeight="1" ht="11.25">
      <c r="A141" s="373" t="s">
        <v>14</v>
      </c>
      <c r="B141" s="0" t="s">
        <v>3818</v>
      </c>
      <c r="C141" s="0" t="s">
        <v>3819</v>
      </c>
      <c r="D141" s="0" t="s">
        <v>3848</v>
      </c>
      <c r="E141" s="0" t="s">
        <v>3849</v>
      </c>
      <c r="F141" s="0" t="s">
        <v>3535</v>
      </c>
      <c r="G141" s="0" t="s">
        <v>3850</v>
      </c>
    </row>
    <row customHeight="1" ht="11.25">
      <c r="A142" s="373" t="s">
        <v>14</v>
      </c>
      <c r="B142" s="0" t="s">
        <v>3818</v>
      </c>
      <c r="C142" s="0" t="s">
        <v>3819</v>
      </c>
      <c r="D142" s="0" t="s">
        <v>3851</v>
      </c>
      <c r="E142" s="0" t="s">
        <v>3852</v>
      </c>
      <c r="F142" s="0" t="s">
        <v>3535</v>
      </c>
      <c r="G142" s="0" t="s">
        <v>3853</v>
      </c>
    </row>
    <row customHeight="1" ht="11.25">
      <c r="A143" s="373" t="s">
        <v>14</v>
      </c>
      <c r="B143" s="0" t="s">
        <v>3818</v>
      </c>
      <c r="C143" s="0" t="s">
        <v>3819</v>
      </c>
      <c r="D143" s="0" t="s">
        <v>3854</v>
      </c>
      <c r="E143" s="0" t="s">
        <v>3855</v>
      </c>
      <c r="F143" s="0" t="s">
        <v>3535</v>
      </c>
      <c r="G143" s="0" t="s">
        <v>3856</v>
      </c>
    </row>
    <row customHeight="1" ht="11.25">
      <c r="A144" s="373" t="s">
        <v>14</v>
      </c>
      <c r="B144" s="0" t="s">
        <v>3818</v>
      </c>
      <c r="C144" s="0" t="s">
        <v>3819</v>
      </c>
      <c r="D144" s="0" t="s">
        <v>3857</v>
      </c>
      <c r="E144" s="0" t="s">
        <v>3858</v>
      </c>
      <c r="F144" s="0" t="s">
        <v>3535</v>
      </c>
      <c r="G144" s="0" t="s">
        <v>3859</v>
      </c>
    </row>
    <row customHeight="1" ht="11.25">
      <c r="A145" s="373" t="s">
        <v>14</v>
      </c>
      <c r="B145" s="0" t="s">
        <v>3818</v>
      </c>
      <c r="C145" s="0" t="s">
        <v>3819</v>
      </c>
      <c r="D145" s="0" t="s">
        <v>3860</v>
      </c>
      <c r="E145" s="0" t="s">
        <v>3861</v>
      </c>
      <c r="F145" s="0" t="s">
        <v>3535</v>
      </c>
      <c r="G145" s="0" t="s">
        <v>3862</v>
      </c>
    </row>
    <row customHeight="1" ht="11.25">
      <c r="A146" s="373" t="s">
        <v>14</v>
      </c>
      <c r="B146" s="0" t="s">
        <v>3818</v>
      </c>
      <c r="C146" s="0" t="s">
        <v>3819</v>
      </c>
      <c r="D146" s="0" t="s">
        <v>3863</v>
      </c>
      <c r="E146" s="0" t="s">
        <v>3864</v>
      </c>
      <c r="F146" s="0" t="s">
        <v>3535</v>
      </c>
      <c r="G146" s="0" t="s">
        <v>3865</v>
      </c>
    </row>
    <row customHeight="1" ht="11.25">
      <c r="A147" s="373" t="s">
        <v>14</v>
      </c>
      <c r="B147" s="0" t="s">
        <v>3818</v>
      </c>
      <c r="C147" s="0" t="s">
        <v>3819</v>
      </c>
      <c r="D147" s="0" t="s">
        <v>3866</v>
      </c>
      <c r="E147" s="0" t="s">
        <v>3867</v>
      </c>
      <c r="F147" s="0" t="s">
        <v>3535</v>
      </c>
      <c r="G147" s="0" t="s">
        <v>3868</v>
      </c>
    </row>
    <row customHeight="1" ht="11.25">
      <c r="A148" s="373" t="s">
        <v>14</v>
      </c>
      <c r="B148" s="0" t="s">
        <v>152</v>
      </c>
      <c r="C148" s="0" t="s">
        <v>153</v>
      </c>
      <c r="D148" s="0" t="s">
        <v>152</v>
      </c>
      <c r="E148" s="0" t="s">
        <v>153</v>
      </c>
      <c r="F148" s="0" t="s">
        <v>3616</v>
      </c>
      <c r="G148" s="0" t="s">
        <v>151</v>
      </c>
    </row>
    <row customHeight="1" ht="11.25">
      <c r="A149" s="373" t="s">
        <v>14</v>
      </c>
      <c r="B149" s="0" t="s">
        <v>3869</v>
      </c>
      <c r="C149" s="0" t="s">
        <v>3870</v>
      </c>
      <c r="D149" s="0" t="s">
        <v>3871</v>
      </c>
      <c r="E149" s="0" t="s">
        <v>3872</v>
      </c>
      <c r="F149" s="0" t="s">
        <v>3535</v>
      </c>
      <c r="G149" s="0" t="s">
        <v>3873</v>
      </c>
    </row>
    <row customHeight="1" ht="11.25">
      <c r="A150" s="373" t="s">
        <v>14</v>
      </c>
      <c r="B150" s="0" t="s">
        <v>3869</v>
      </c>
      <c r="C150" s="0" t="s">
        <v>3870</v>
      </c>
      <c r="D150" s="0" t="s">
        <v>3874</v>
      </c>
      <c r="E150" s="0" t="s">
        <v>3875</v>
      </c>
      <c r="F150" s="0" t="s">
        <v>3627</v>
      </c>
      <c r="G150" s="0" t="s">
        <v>3876</v>
      </c>
    </row>
    <row customHeight="1" ht="11.25">
      <c r="A151" s="373" t="s">
        <v>14</v>
      </c>
      <c r="B151" s="0" t="s">
        <v>3869</v>
      </c>
      <c r="C151" s="0" t="s">
        <v>3870</v>
      </c>
      <c r="D151" s="0" t="s">
        <v>3877</v>
      </c>
      <c r="E151" s="0" t="s">
        <v>3878</v>
      </c>
      <c r="F151" s="0" t="s">
        <v>3535</v>
      </c>
      <c r="G151" s="0" t="s">
        <v>3879</v>
      </c>
    </row>
    <row customHeight="1" ht="11.25">
      <c r="A152" s="373" t="s">
        <v>14</v>
      </c>
      <c r="B152" s="0" t="s">
        <v>3869</v>
      </c>
      <c r="C152" s="0" t="s">
        <v>3870</v>
      </c>
      <c r="D152" s="0" t="s">
        <v>3869</v>
      </c>
      <c r="E152" s="0" t="s">
        <v>3870</v>
      </c>
      <c r="F152" s="0" t="s">
        <v>3532</v>
      </c>
      <c r="G152" s="0" t="s">
        <v>3880</v>
      </c>
    </row>
    <row customHeight="1" ht="11.25">
      <c r="A153" s="373" t="s">
        <v>14</v>
      </c>
      <c r="B153" s="0" t="s">
        <v>3869</v>
      </c>
      <c r="C153" s="0" t="s">
        <v>3870</v>
      </c>
      <c r="D153" s="0" t="s">
        <v>3881</v>
      </c>
      <c r="E153" s="0" t="s">
        <v>3882</v>
      </c>
      <c r="F153" s="0" t="s">
        <v>3535</v>
      </c>
      <c r="G153" s="0" t="s">
        <v>3883</v>
      </c>
    </row>
    <row customHeight="1" ht="11.25">
      <c r="A154" s="373" t="s">
        <v>14</v>
      </c>
      <c r="B154" s="0" t="s">
        <v>3869</v>
      </c>
      <c r="C154" s="0" t="s">
        <v>3870</v>
      </c>
      <c r="D154" s="0" t="s">
        <v>3884</v>
      </c>
      <c r="E154" s="0" t="s">
        <v>3885</v>
      </c>
      <c r="F154" s="0" t="s">
        <v>3535</v>
      </c>
      <c r="G154" s="0" t="s">
        <v>3886</v>
      </c>
    </row>
    <row customHeight="1" ht="11.25">
      <c r="A155" s="373" t="s">
        <v>14</v>
      </c>
      <c r="B155" s="0" t="s">
        <v>3869</v>
      </c>
      <c r="C155" s="0" t="s">
        <v>3870</v>
      </c>
      <c r="D155" s="0" t="s">
        <v>3666</v>
      </c>
      <c r="E155" s="0" t="s">
        <v>3887</v>
      </c>
      <c r="F155" s="0" t="s">
        <v>3535</v>
      </c>
      <c r="G155" s="0" t="s">
        <v>3888</v>
      </c>
    </row>
    <row customHeight="1" ht="11.25">
      <c r="A156" s="373" t="s">
        <v>14</v>
      </c>
      <c r="B156" s="0" t="s">
        <v>3869</v>
      </c>
      <c r="C156" s="0" t="s">
        <v>3870</v>
      </c>
      <c r="D156" s="0" t="s">
        <v>3889</v>
      </c>
      <c r="E156" s="0" t="s">
        <v>3890</v>
      </c>
      <c r="F156" s="0" t="s">
        <v>3535</v>
      </c>
      <c r="G156" s="0" t="s">
        <v>3891</v>
      </c>
    </row>
    <row customHeight="1" ht="11.25">
      <c r="A157" s="373" t="s">
        <v>14</v>
      </c>
      <c r="B157" s="0" t="s">
        <v>3869</v>
      </c>
      <c r="C157" s="0" t="s">
        <v>3870</v>
      </c>
      <c r="D157" s="0" t="s">
        <v>3892</v>
      </c>
      <c r="E157" s="0" t="s">
        <v>3893</v>
      </c>
      <c r="F157" s="0" t="s">
        <v>3535</v>
      </c>
      <c r="G157" s="0" t="s">
        <v>3894</v>
      </c>
    </row>
    <row customHeight="1" ht="11.25">
      <c r="A158" s="373" t="s">
        <v>14</v>
      </c>
      <c r="B158" s="0" t="s">
        <v>3869</v>
      </c>
      <c r="C158" s="0" t="s">
        <v>3870</v>
      </c>
      <c r="D158" s="0" t="s">
        <v>3895</v>
      </c>
      <c r="E158" s="0" t="s">
        <v>3896</v>
      </c>
      <c r="F158" s="0" t="s">
        <v>3535</v>
      </c>
      <c r="G158" s="0" t="s">
        <v>3897</v>
      </c>
    </row>
    <row customHeight="1" ht="11.25">
      <c r="A159" s="373" t="s">
        <v>14</v>
      </c>
      <c r="B159" s="0" t="s">
        <v>3869</v>
      </c>
      <c r="C159" s="0" t="s">
        <v>3870</v>
      </c>
      <c r="D159" s="0" t="s">
        <v>3898</v>
      </c>
      <c r="E159" s="0" t="s">
        <v>3899</v>
      </c>
      <c r="F159" s="0" t="s">
        <v>3535</v>
      </c>
      <c r="G159" s="0" t="s">
        <v>3900</v>
      </c>
    </row>
    <row customHeight="1" ht="11.25">
      <c r="A160" s="373" t="s">
        <v>14</v>
      </c>
      <c r="B160" s="0" t="s">
        <v>203</v>
      </c>
      <c r="C160" s="0" t="s">
        <v>204</v>
      </c>
      <c r="D160" s="0" t="s">
        <v>203</v>
      </c>
      <c r="E160" s="0" t="s">
        <v>204</v>
      </c>
      <c r="F160" s="0" t="s">
        <v>3529</v>
      </c>
      <c r="G160" s="0" t="s">
        <v>202</v>
      </c>
    </row>
    <row customHeight="1" ht="11.25">
      <c r="A161" s="373" t="s">
        <v>14</v>
      </c>
      <c r="B161" s="0" t="s">
        <v>3901</v>
      </c>
      <c r="C161" s="0" t="s">
        <v>3902</v>
      </c>
      <c r="D161" s="0" t="s">
        <v>3903</v>
      </c>
      <c r="E161" s="0" t="s">
        <v>3904</v>
      </c>
      <c r="F161" s="0" t="s">
        <v>3535</v>
      </c>
      <c r="G161" s="0" t="s">
        <v>3905</v>
      </c>
    </row>
    <row customHeight="1" ht="11.25">
      <c r="A162" s="373" t="s">
        <v>14</v>
      </c>
      <c r="B162" s="0" t="s">
        <v>3901</v>
      </c>
      <c r="C162" s="0" t="s">
        <v>3902</v>
      </c>
      <c r="D162" s="0" t="s">
        <v>3906</v>
      </c>
      <c r="E162" s="0" t="s">
        <v>3907</v>
      </c>
      <c r="F162" s="0" t="s">
        <v>3535</v>
      </c>
      <c r="G162" s="0" t="s">
        <v>3908</v>
      </c>
    </row>
    <row customHeight="1" ht="11.25">
      <c r="A163" s="373" t="s">
        <v>14</v>
      </c>
      <c r="B163" s="0" t="s">
        <v>3901</v>
      </c>
      <c r="C163" s="0" t="s">
        <v>3902</v>
      </c>
      <c r="D163" s="0" t="s">
        <v>3909</v>
      </c>
      <c r="E163" s="0" t="s">
        <v>3910</v>
      </c>
      <c r="F163" s="0" t="s">
        <v>3535</v>
      </c>
      <c r="G163" s="0" t="s">
        <v>3911</v>
      </c>
    </row>
    <row customHeight="1" ht="11.25">
      <c r="A164" s="373" t="s">
        <v>14</v>
      </c>
      <c r="B164" s="0" t="s">
        <v>3901</v>
      </c>
      <c r="C164" s="0" t="s">
        <v>3902</v>
      </c>
      <c r="D164" s="0" t="s">
        <v>3912</v>
      </c>
      <c r="E164" s="0" t="s">
        <v>3913</v>
      </c>
      <c r="F164" s="0" t="s">
        <v>3535</v>
      </c>
      <c r="G164" s="0" t="s">
        <v>3914</v>
      </c>
    </row>
    <row customHeight="1" ht="11.25">
      <c r="A165" s="373" t="s">
        <v>14</v>
      </c>
      <c r="B165" s="0" t="s">
        <v>3901</v>
      </c>
      <c r="C165" s="0" t="s">
        <v>3902</v>
      </c>
      <c r="D165" s="0" t="s">
        <v>3915</v>
      </c>
      <c r="E165" s="0" t="s">
        <v>3916</v>
      </c>
      <c r="F165" s="0" t="s">
        <v>3535</v>
      </c>
      <c r="G165" s="0" t="s">
        <v>3917</v>
      </c>
    </row>
    <row customHeight="1" ht="11.25">
      <c r="A166" s="373" t="s">
        <v>14</v>
      </c>
      <c r="B166" s="0" t="s">
        <v>3901</v>
      </c>
      <c r="C166" s="0" t="s">
        <v>3902</v>
      </c>
      <c r="D166" s="0" t="s">
        <v>3918</v>
      </c>
      <c r="E166" s="0" t="s">
        <v>3919</v>
      </c>
      <c r="F166" s="0" t="s">
        <v>3535</v>
      </c>
      <c r="G166" s="0" t="s">
        <v>3920</v>
      </c>
    </row>
    <row customHeight="1" ht="11.25">
      <c r="A167" s="373" t="s">
        <v>14</v>
      </c>
      <c r="B167" s="0" t="s">
        <v>3901</v>
      </c>
      <c r="C167" s="0" t="s">
        <v>3902</v>
      </c>
      <c r="D167" s="0" t="s">
        <v>3921</v>
      </c>
      <c r="E167" s="0" t="s">
        <v>3922</v>
      </c>
      <c r="F167" s="0" t="s">
        <v>3535</v>
      </c>
      <c r="G167" s="0" t="s">
        <v>3923</v>
      </c>
    </row>
    <row customHeight="1" ht="11.25">
      <c r="A168" s="373" t="s">
        <v>14</v>
      </c>
      <c r="B168" s="0" t="s">
        <v>3901</v>
      </c>
      <c r="C168" s="0" t="s">
        <v>3902</v>
      </c>
      <c r="D168" s="0" t="s">
        <v>3924</v>
      </c>
      <c r="E168" s="0" t="s">
        <v>3925</v>
      </c>
      <c r="F168" s="0" t="s">
        <v>3535</v>
      </c>
      <c r="G168" s="0" t="s">
        <v>3926</v>
      </c>
    </row>
    <row customHeight="1" ht="11.25">
      <c r="A169" s="373" t="s">
        <v>14</v>
      </c>
      <c r="B169" s="0" t="s">
        <v>3901</v>
      </c>
      <c r="C169" s="0" t="s">
        <v>3902</v>
      </c>
      <c r="D169" s="0" t="s">
        <v>3901</v>
      </c>
      <c r="E169" s="0" t="s">
        <v>3902</v>
      </c>
      <c r="F169" s="0" t="s">
        <v>3532</v>
      </c>
      <c r="G169" s="0" t="s">
        <v>3927</v>
      </c>
    </row>
    <row customHeight="1" ht="11.25">
      <c r="A170" s="373" t="s">
        <v>14</v>
      </c>
      <c r="B170" s="0" t="s">
        <v>3901</v>
      </c>
      <c r="C170" s="0" t="s">
        <v>3902</v>
      </c>
      <c r="D170" s="0" t="s">
        <v>3928</v>
      </c>
      <c r="E170" s="0" t="s">
        <v>3929</v>
      </c>
      <c r="F170" s="0" t="s">
        <v>3535</v>
      </c>
      <c r="G170" s="0" t="s">
        <v>3930</v>
      </c>
    </row>
    <row customHeight="1" ht="11.25">
      <c r="A171" s="373" t="s">
        <v>14</v>
      </c>
      <c r="B171" s="0" t="s">
        <v>3901</v>
      </c>
      <c r="C171" s="0" t="s">
        <v>3902</v>
      </c>
      <c r="D171" s="0" t="s">
        <v>3931</v>
      </c>
      <c r="E171" s="0" t="s">
        <v>3932</v>
      </c>
      <c r="F171" s="0" t="s">
        <v>3535</v>
      </c>
      <c r="G171" s="0" t="s">
        <v>3933</v>
      </c>
    </row>
    <row customHeight="1" ht="11.25">
      <c r="A172" s="373" t="s">
        <v>14</v>
      </c>
      <c r="B172" s="0" t="s">
        <v>3901</v>
      </c>
      <c r="C172" s="0" t="s">
        <v>3902</v>
      </c>
      <c r="D172" s="0" t="s">
        <v>3934</v>
      </c>
      <c r="E172" s="0" t="s">
        <v>3935</v>
      </c>
      <c r="F172" s="0" t="s">
        <v>3535</v>
      </c>
      <c r="G172" s="0" t="s">
        <v>3936</v>
      </c>
    </row>
    <row customHeight="1" ht="11.25">
      <c r="A173" s="373" t="s">
        <v>14</v>
      </c>
      <c r="B173" s="0" t="s">
        <v>3901</v>
      </c>
      <c r="C173" s="0" t="s">
        <v>3902</v>
      </c>
      <c r="D173" s="0" t="s">
        <v>3937</v>
      </c>
      <c r="E173" s="0" t="s">
        <v>3938</v>
      </c>
      <c r="F173" s="0" t="s">
        <v>3535</v>
      </c>
      <c r="G173" s="0" t="s">
        <v>3939</v>
      </c>
    </row>
    <row customHeight="1" ht="11.25">
      <c r="A174" s="373" t="s">
        <v>14</v>
      </c>
      <c r="B174" s="0" t="s">
        <v>3901</v>
      </c>
      <c r="C174" s="0" t="s">
        <v>3902</v>
      </c>
      <c r="D174" s="0" t="s">
        <v>3940</v>
      </c>
      <c r="E174" s="0" t="s">
        <v>3941</v>
      </c>
      <c r="F174" s="0" t="s">
        <v>3535</v>
      </c>
      <c r="G174" s="0" t="s">
        <v>3942</v>
      </c>
    </row>
    <row customHeight="1" ht="11.25">
      <c r="A175" s="373" t="s">
        <v>14</v>
      </c>
      <c r="B175" s="0" t="s">
        <v>3901</v>
      </c>
      <c r="C175" s="0" t="s">
        <v>3902</v>
      </c>
      <c r="D175" s="0" t="s">
        <v>3943</v>
      </c>
      <c r="E175" s="0" t="s">
        <v>3944</v>
      </c>
      <c r="F175" s="0" t="s">
        <v>3535</v>
      </c>
      <c r="G175" s="0" t="s">
        <v>3945</v>
      </c>
    </row>
    <row customHeight="1" ht="11.25">
      <c r="A176" s="373" t="s">
        <v>14</v>
      </c>
      <c r="B176" s="0" t="s">
        <v>3901</v>
      </c>
      <c r="C176" s="0" t="s">
        <v>3902</v>
      </c>
      <c r="D176" s="0" t="s">
        <v>3946</v>
      </c>
      <c r="E176" s="0" t="s">
        <v>3947</v>
      </c>
      <c r="F176" s="0" t="s">
        <v>3535</v>
      </c>
      <c r="G176" s="0" t="s">
        <v>3948</v>
      </c>
    </row>
    <row customHeight="1" ht="11.25">
      <c r="A177" s="373" t="s">
        <v>14</v>
      </c>
      <c r="B177" s="0" t="s">
        <v>195</v>
      </c>
      <c r="C177" s="0" t="s">
        <v>196</v>
      </c>
      <c r="D177" s="0" t="s">
        <v>195</v>
      </c>
      <c r="E177" s="0" t="s">
        <v>196</v>
      </c>
      <c r="F177" s="0" t="s">
        <v>3529</v>
      </c>
      <c r="G177" s="0" t="s">
        <v>194</v>
      </c>
    </row>
    <row customHeight="1" ht="11.25">
      <c r="A178" s="373" t="s">
        <v>14</v>
      </c>
      <c r="B178" s="0" t="s">
        <v>3949</v>
      </c>
      <c r="C178" s="0" t="s">
        <v>3950</v>
      </c>
      <c r="D178" s="0" t="s">
        <v>3951</v>
      </c>
      <c r="E178" s="0" t="s">
        <v>3952</v>
      </c>
      <c r="F178" s="0" t="s">
        <v>3535</v>
      </c>
      <c r="G178" s="0" t="s">
        <v>3953</v>
      </c>
    </row>
    <row customHeight="1" ht="11.25">
      <c r="A179" s="373" t="s">
        <v>14</v>
      </c>
      <c r="B179" s="0" t="s">
        <v>3949</v>
      </c>
      <c r="C179" s="0" t="s">
        <v>3950</v>
      </c>
      <c r="D179" s="0" t="s">
        <v>3949</v>
      </c>
      <c r="E179" s="0" t="s">
        <v>3950</v>
      </c>
      <c r="F179" s="0" t="s">
        <v>3532</v>
      </c>
      <c r="G179" s="0" t="s">
        <v>3954</v>
      </c>
    </row>
    <row customHeight="1" ht="11.25">
      <c r="A180" s="373" t="s">
        <v>14</v>
      </c>
      <c r="B180" s="0" t="s">
        <v>3949</v>
      </c>
      <c r="C180" s="0" t="s">
        <v>3950</v>
      </c>
      <c r="D180" s="0" t="s">
        <v>3955</v>
      </c>
      <c r="E180" s="0" t="s">
        <v>3956</v>
      </c>
      <c r="F180" s="0" t="s">
        <v>3535</v>
      </c>
      <c r="G180" s="0" t="s">
        <v>3957</v>
      </c>
    </row>
    <row customHeight="1" ht="11.25">
      <c r="A181" s="373" t="s">
        <v>14</v>
      </c>
      <c r="B181" s="0" t="s">
        <v>3949</v>
      </c>
      <c r="C181" s="0" t="s">
        <v>3950</v>
      </c>
      <c r="D181" s="0" t="s">
        <v>3958</v>
      </c>
      <c r="E181" s="0" t="s">
        <v>3959</v>
      </c>
      <c r="F181" s="0" t="s">
        <v>3535</v>
      </c>
      <c r="G181" s="0" t="s">
        <v>3960</v>
      </c>
    </row>
    <row customHeight="1" ht="11.25">
      <c r="A182" s="373" t="s">
        <v>14</v>
      </c>
      <c r="B182" s="0" t="s">
        <v>3949</v>
      </c>
      <c r="C182" s="0" t="s">
        <v>3950</v>
      </c>
      <c r="D182" s="0" t="s">
        <v>3961</v>
      </c>
      <c r="E182" s="0" t="s">
        <v>3962</v>
      </c>
      <c r="F182" s="0" t="s">
        <v>3535</v>
      </c>
      <c r="G182" s="0" t="s">
        <v>3963</v>
      </c>
    </row>
    <row customHeight="1" ht="11.25">
      <c r="A183" s="373" t="s">
        <v>14</v>
      </c>
      <c r="B183" s="0" t="s">
        <v>3949</v>
      </c>
      <c r="C183" s="0" t="s">
        <v>3950</v>
      </c>
      <c r="D183" s="0" t="s">
        <v>3964</v>
      </c>
      <c r="E183" s="0" t="s">
        <v>3965</v>
      </c>
      <c r="F183" s="0" t="s">
        <v>3535</v>
      </c>
      <c r="G183" s="0" t="s">
        <v>3966</v>
      </c>
    </row>
    <row customHeight="1" ht="11.25">
      <c r="A184" s="373" t="s">
        <v>14</v>
      </c>
      <c r="B184" s="0" t="s">
        <v>3949</v>
      </c>
      <c r="C184" s="0" t="s">
        <v>3950</v>
      </c>
      <c r="D184" s="0" t="s">
        <v>3967</v>
      </c>
      <c r="E184" s="0" t="s">
        <v>3968</v>
      </c>
      <c r="F184" s="0" t="s">
        <v>3535</v>
      </c>
      <c r="G184" s="0" t="s">
        <v>3969</v>
      </c>
    </row>
    <row customHeight="1" ht="11.25">
      <c r="A185" s="373" t="s">
        <v>14</v>
      </c>
      <c r="B185" s="0" t="s">
        <v>3949</v>
      </c>
      <c r="C185" s="0" t="s">
        <v>3950</v>
      </c>
      <c r="D185" s="0" t="s">
        <v>3970</v>
      </c>
      <c r="E185" s="0" t="s">
        <v>3971</v>
      </c>
      <c r="F185" s="0" t="s">
        <v>3535</v>
      </c>
      <c r="G185" s="0" t="s">
        <v>3972</v>
      </c>
    </row>
    <row customHeight="1" ht="11.25">
      <c r="A186" s="373" t="s">
        <v>14</v>
      </c>
      <c r="B186" s="0" t="s">
        <v>3949</v>
      </c>
      <c r="C186" s="0" t="s">
        <v>3950</v>
      </c>
      <c r="D186" s="0" t="s">
        <v>3973</v>
      </c>
      <c r="E186" s="0" t="s">
        <v>3974</v>
      </c>
      <c r="F186" s="0" t="s">
        <v>3535</v>
      </c>
      <c r="G186" s="0" t="s">
        <v>3975</v>
      </c>
    </row>
    <row customHeight="1" ht="11.25">
      <c r="A187" s="373" t="s">
        <v>14</v>
      </c>
      <c r="B187" s="0" t="s">
        <v>3949</v>
      </c>
      <c r="C187" s="0" t="s">
        <v>3950</v>
      </c>
      <c r="D187" s="0" t="s">
        <v>3976</v>
      </c>
      <c r="E187" s="0" t="s">
        <v>3977</v>
      </c>
      <c r="F187" s="0" t="s">
        <v>3535</v>
      </c>
      <c r="G187" s="0" t="s">
        <v>3978</v>
      </c>
    </row>
    <row customHeight="1" ht="11.25">
      <c r="A188" s="373" t="s">
        <v>14</v>
      </c>
      <c r="B188" s="0" t="s">
        <v>3949</v>
      </c>
      <c r="C188" s="0" t="s">
        <v>3950</v>
      </c>
      <c r="D188" s="0" t="s">
        <v>3979</v>
      </c>
      <c r="E188" s="0" t="s">
        <v>3980</v>
      </c>
      <c r="F188" s="0" t="s">
        <v>3535</v>
      </c>
      <c r="G188" s="0" t="s">
        <v>3981</v>
      </c>
    </row>
    <row customHeight="1" ht="11.25">
      <c r="A189" s="373" t="s">
        <v>14</v>
      </c>
      <c r="B189" s="0" t="s">
        <v>3949</v>
      </c>
      <c r="C189" s="0" t="s">
        <v>3950</v>
      </c>
      <c r="D189" s="0" t="s">
        <v>3982</v>
      </c>
      <c r="E189" s="0" t="s">
        <v>3983</v>
      </c>
      <c r="F189" s="0" t="s">
        <v>3535</v>
      </c>
      <c r="G189" s="0" t="s">
        <v>3984</v>
      </c>
    </row>
    <row customHeight="1" ht="11.25">
      <c r="A190" s="373" t="s">
        <v>14</v>
      </c>
      <c r="B190" s="0" t="s">
        <v>125</v>
      </c>
      <c r="C190" s="0" t="s">
        <v>126</v>
      </c>
      <c r="D190" s="0" t="s">
        <v>125</v>
      </c>
      <c r="E190" s="0" t="s">
        <v>126</v>
      </c>
      <c r="F190" s="0" t="s">
        <v>3529</v>
      </c>
      <c r="G190" s="0" t="s">
        <v>124</v>
      </c>
    </row>
    <row customHeight="1" ht="11.25">
      <c r="A191" s="373" t="s">
        <v>14</v>
      </c>
      <c r="B191" s="0" t="s">
        <v>3985</v>
      </c>
      <c r="C191" s="0" t="s">
        <v>3986</v>
      </c>
      <c r="D191" s="0" t="s">
        <v>3987</v>
      </c>
      <c r="E191" s="0" t="s">
        <v>3988</v>
      </c>
      <c r="F191" s="0" t="s">
        <v>3535</v>
      </c>
      <c r="G191" s="0" t="s">
        <v>3989</v>
      </c>
    </row>
    <row customHeight="1" ht="11.25">
      <c r="A192" s="373" t="s">
        <v>14</v>
      </c>
      <c r="B192" s="0" t="s">
        <v>3985</v>
      </c>
      <c r="C192" s="0" t="s">
        <v>3986</v>
      </c>
      <c r="D192" s="0" t="s">
        <v>3990</v>
      </c>
      <c r="E192" s="0" t="s">
        <v>3991</v>
      </c>
      <c r="F192" s="0" t="s">
        <v>3535</v>
      </c>
      <c r="G192" s="0" t="s">
        <v>3992</v>
      </c>
    </row>
    <row customHeight="1" ht="11.25">
      <c r="A193" s="373" t="s">
        <v>14</v>
      </c>
      <c r="B193" s="0" t="s">
        <v>3985</v>
      </c>
      <c r="C193" s="0" t="s">
        <v>3986</v>
      </c>
      <c r="D193" s="0" t="s">
        <v>3993</v>
      </c>
      <c r="E193" s="0" t="s">
        <v>3994</v>
      </c>
      <c r="F193" s="0" t="s">
        <v>3535</v>
      </c>
      <c r="G193" s="0" t="s">
        <v>3995</v>
      </c>
    </row>
    <row customHeight="1" ht="11.25">
      <c r="A194" s="373" t="s">
        <v>14</v>
      </c>
      <c r="B194" s="0" t="s">
        <v>3985</v>
      </c>
      <c r="C194" s="0" t="s">
        <v>3986</v>
      </c>
      <c r="D194" s="0" t="s">
        <v>3985</v>
      </c>
      <c r="E194" s="0" t="s">
        <v>3986</v>
      </c>
      <c r="F194" s="0" t="s">
        <v>3532</v>
      </c>
      <c r="G194" s="0" t="s">
        <v>3996</v>
      </c>
    </row>
    <row customHeight="1" ht="11.25">
      <c r="A195" s="373" t="s">
        <v>14</v>
      </c>
      <c r="B195" s="0" t="s">
        <v>3985</v>
      </c>
      <c r="C195" s="0" t="s">
        <v>3986</v>
      </c>
      <c r="D195" s="0" t="s">
        <v>3997</v>
      </c>
      <c r="E195" s="0" t="s">
        <v>3998</v>
      </c>
      <c r="F195" s="0" t="s">
        <v>3535</v>
      </c>
      <c r="G195" s="0" t="s">
        <v>3999</v>
      </c>
    </row>
    <row customHeight="1" ht="11.25">
      <c r="A196" s="373" t="s">
        <v>14</v>
      </c>
      <c r="B196" s="0" t="s">
        <v>3985</v>
      </c>
      <c r="C196" s="0" t="s">
        <v>3986</v>
      </c>
      <c r="D196" s="0" t="s">
        <v>4000</v>
      </c>
      <c r="E196" s="0" t="s">
        <v>4001</v>
      </c>
      <c r="F196" s="0" t="s">
        <v>3535</v>
      </c>
      <c r="G196" s="0" t="s">
        <v>4002</v>
      </c>
    </row>
    <row customHeight="1" ht="11.25">
      <c r="A197" s="373" t="s">
        <v>14</v>
      </c>
      <c r="B197" s="0" t="s">
        <v>3985</v>
      </c>
      <c r="C197" s="0" t="s">
        <v>3986</v>
      </c>
      <c r="D197" s="0" t="s">
        <v>4003</v>
      </c>
      <c r="E197" s="0" t="s">
        <v>4004</v>
      </c>
      <c r="F197" s="0" t="s">
        <v>3535</v>
      </c>
      <c r="G197" s="0" t="s">
        <v>4005</v>
      </c>
    </row>
    <row customHeight="1" ht="11.25">
      <c r="A198" s="373" t="s">
        <v>14</v>
      </c>
      <c r="B198" s="0" t="s">
        <v>3985</v>
      </c>
      <c r="C198" s="0" t="s">
        <v>3986</v>
      </c>
      <c r="D198" s="0" t="s">
        <v>4006</v>
      </c>
      <c r="E198" s="0" t="s">
        <v>4007</v>
      </c>
      <c r="F198" s="0" t="s">
        <v>3535</v>
      </c>
      <c r="G198" s="0" t="s">
        <v>4008</v>
      </c>
    </row>
    <row customHeight="1" ht="11.25">
      <c r="A199" s="373" t="s">
        <v>14</v>
      </c>
      <c r="B199" s="0" t="s">
        <v>3985</v>
      </c>
      <c r="C199" s="0" t="s">
        <v>3986</v>
      </c>
      <c r="D199" s="0" t="s">
        <v>4009</v>
      </c>
      <c r="E199" s="0" t="s">
        <v>4010</v>
      </c>
      <c r="F199" s="0" t="s">
        <v>3535</v>
      </c>
      <c r="G199" s="0" t="s">
        <v>4011</v>
      </c>
    </row>
    <row customHeight="1" ht="11.25">
      <c r="A200" s="373" t="s">
        <v>14</v>
      </c>
      <c r="B200" s="0" t="s">
        <v>3985</v>
      </c>
      <c r="C200" s="0" t="s">
        <v>3986</v>
      </c>
      <c r="D200" s="0" t="s">
        <v>4012</v>
      </c>
      <c r="E200" s="0" t="s">
        <v>4013</v>
      </c>
      <c r="F200" s="0" t="s">
        <v>3535</v>
      </c>
      <c r="G200" s="0" t="s">
        <v>4014</v>
      </c>
    </row>
    <row customHeight="1" ht="11.25">
      <c r="A201" s="373" t="s">
        <v>14</v>
      </c>
      <c r="B201" s="0" t="s">
        <v>3985</v>
      </c>
      <c r="C201" s="0" t="s">
        <v>3986</v>
      </c>
      <c r="D201" s="0" t="s">
        <v>4015</v>
      </c>
      <c r="E201" s="0" t="s">
        <v>4016</v>
      </c>
      <c r="F201" s="0" t="s">
        <v>3535</v>
      </c>
      <c r="G201" s="0" t="s">
        <v>4017</v>
      </c>
    </row>
    <row customHeight="1" ht="11.25">
      <c r="A202" s="373" t="s">
        <v>14</v>
      </c>
      <c r="B202" s="0" t="s">
        <v>3985</v>
      </c>
      <c r="C202" s="0" t="s">
        <v>3986</v>
      </c>
      <c r="D202" s="0" t="s">
        <v>4018</v>
      </c>
      <c r="E202" s="0" t="s">
        <v>4019</v>
      </c>
      <c r="F202" s="0" t="s">
        <v>3535</v>
      </c>
      <c r="G202" s="0" t="s">
        <v>4020</v>
      </c>
    </row>
    <row customHeight="1" ht="11.25">
      <c r="A203" s="373" t="s">
        <v>14</v>
      </c>
      <c r="B203" s="0" t="s">
        <v>3985</v>
      </c>
      <c r="C203" s="0" t="s">
        <v>3986</v>
      </c>
      <c r="D203" s="0" t="s">
        <v>4021</v>
      </c>
      <c r="E203" s="0" t="s">
        <v>4022</v>
      </c>
      <c r="F203" s="0" t="s">
        <v>3535</v>
      </c>
      <c r="G203" s="0" t="s">
        <v>4023</v>
      </c>
    </row>
    <row customHeight="1" ht="11.25">
      <c r="A204" s="373" t="s">
        <v>14</v>
      </c>
      <c r="B204" s="0" t="s">
        <v>129</v>
      </c>
      <c r="C204" s="0" t="s">
        <v>130</v>
      </c>
      <c r="D204" s="0" t="s">
        <v>129</v>
      </c>
      <c r="E204" s="0" t="s">
        <v>130</v>
      </c>
      <c r="F204" s="0" t="s">
        <v>3529</v>
      </c>
      <c r="G204" s="0" t="s">
        <v>128</v>
      </c>
    </row>
    <row customHeight="1" ht="11.25">
      <c r="A205" s="373" t="s">
        <v>14</v>
      </c>
      <c r="B205" s="0" t="s">
        <v>4024</v>
      </c>
      <c r="C205" s="0" t="s">
        <v>4025</v>
      </c>
      <c r="D205" s="0" t="s">
        <v>4026</v>
      </c>
      <c r="E205" s="0" t="s">
        <v>4027</v>
      </c>
      <c r="F205" s="0" t="s">
        <v>3535</v>
      </c>
      <c r="G205" s="0" t="s">
        <v>4028</v>
      </c>
    </row>
    <row customHeight="1" ht="11.25">
      <c r="A206" s="373" t="s">
        <v>14</v>
      </c>
      <c r="B206" s="0" t="s">
        <v>4024</v>
      </c>
      <c r="C206" s="0" t="s">
        <v>4025</v>
      </c>
      <c r="D206" s="0" t="s">
        <v>4029</v>
      </c>
      <c r="E206" s="0" t="s">
        <v>4030</v>
      </c>
      <c r="F206" s="0" t="s">
        <v>3535</v>
      </c>
      <c r="G206" s="0" t="s">
        <v>4031</v>
      </c>
    </row>
    <row customHeight="1" ht="11.25">
      <c r="A207" s="373" t="s">
        <v>14</v>
      </c>
      <c r="B207" s="0" t="s">
        <v>4024</v>
      </c>
      <c r="C207" s="0" t="s">
        <v>4025</v>
      </c>
      <c r="D207" s="0" t="s">
        <v>2014</v>
      </c>
      <c r="E207" s="0" t="s">
        <v>4032</v>
      </c>
      <c r="F207" s="0" t="s">
        <v>3535</v>
      </c>
      <c r="G207" s="0" t="s">
        <v>4033</v>
      </c>
    </row>
    <row customHeight="1" ht="11.25">
      <c r="A208" s="373" t="s">
        <v>14</v>
      </c>
      <c r="B208" s="0" t="s">
        <v>4024</v>
      </c>
      <c r="C208" s="0" t="s">
        <v>4025</v>
      </c>
      <c r="D208" s="0" t="s">
        <v>4034</v>
      </c>
      <c r="E208" s="0" t="s">
        <v>4035</v>
      </c>
      <c r="F208" s="0" t="s">
        <v>3535</v>
      </c>
      <c r="G208" s="0" t="s">
        <v>4036</v>
      </c>
    </row>
    <row customHeight="1" ht="11.25">
      <c r="A209" s="373" t="s">
        <v>14</v>
      </c>
      <c r="B209" s="0" t="s">
        <v>4024</v>
      </c>
      <c r="C209" s="0" t="s">
        <v>4025</v>
      </c>
      <c r="D209" s="0" t="s">
        <v>4024</v>
      </c>
      <c r="E209" s="0" t="s">
        <v>4025</v>
      </c>
      <c r="F209" s="0" t="s">
        <v>3532</v>
      </c>
      <c r="G209" s="0" t="s">
        <v>4037</v>
      </c>
    </row>
    <row customHeight="1" ht="11.25">
      <c r="A210" s="373" t="s">
        <v>14</v>
      </c>
      <c r="B210" s="0" t="s">
        <v>4024</v>
      </c>
      <c r="C210" s="0" t="s">
        <v>4025</v>
      </c>
      <c r="D210" s="0" t="s">
        <v>4038</v>
      </c>
      <c r="E210" s="0" t="s">
        <v>4039</v>
      </c>
      <c r="F210" s="0" t="s">
        <v>3535</v>
      </c>
      <c r="G210" s="0" t="s">
        <v>4040</v>
      </c>
    </row>
    <row customHeight="1" ht="11.25">
      <c r="A211" s="373" t="s">
        <v>14</v>
      </c>
      <c r="B211" s="0" t="s">
        <v>4024</v>
      </c>
      <c r="C211" s="0" t="s">
        <v>4025</v>
      </c>
      <c r="D211" s="0" t="s">
        <v>4041</v>
      </c>
      <c r="E211" s="0" t="s">
        <v>4042</v>
      </c>
      <c r="F211" s="0" t="s">
        <v>3535</v>
      </c>
      <c r="G211" s="0" t="s">
        <v>4043</v>
      </c>
    </row>
    <row customHeight="1" ht="11.25">
      <c r="A212" s="373" t="s">
        <v>14</v>
      </c>
      <c r="B212" s="0" t="s">
        <v>4024</v>
      </c>
      <c r="C212" s="0" t="s">
        <v>4025</v>
      </c>
      <c r="D212" s="0" t="s">
        <v>4044</v>
      </c>
      <c r="E212" s="0" t="s">
        <v>4045</v>
      </c>
      <c r="F212" s="0" t="s">
        <v>3535</v>
      </c>
      <c r="G212" s="0" t="s">
        <v>4046</v>
      </c>
    </row>
    <row customHeight="1" ht="11.25">
      <c r="A213" s="373" t="s">
        <v>14</v>
      </c>
      <c r="B213" s="0" t="s">
        <v>4024</v>
      </c>
      <c r="C213" s="0" t="s">
        <v>4025</v>
      </c>
      <c r="D213" s="0" t="s">
        <v>4047</v>
      </c>
      <c r="E213" s="0" t="s">
        <v>4048</v>
      </c>
      <c r="F213" s="0" t="s">
        <v>3535</v>
      </c>
      <c r="G213" s="0" t="s">
        <v>4049</v>
      </c>
    </row>
    <row customHeight="1" ht="11.25">
      <c r="A214" s="373" t="s">
        <v>14</v>
      </c>
      <c r="B214" s="0" t="s">
        <v>4024</v>
      </c>
      <c r="C214" s="0" t="s">
        <v>4025</v>
      </c>
      <c r="D214" s="0" t="s">
        <v>4050</v>
      </c>
      <c r="E214" s="0" t="s">
        <v>4051</v>
      </c>
      <c r="F214" s="0" t="s">
        <v>3535</v>
      </c>
      <c r="G214" s="0" t="s">
        <v>4052</v>
      </c>
    </row>
    <row customHeight="1" ht="11.25">
      <c r="A215" s="373" t="s">
        <v>14</v>
      </c>
      <c r="B215" s="0" t="s">
        <v>4024</v>
      </c>
      <c r="C215" s="0" t="s">
        <v>4025</v>
      </c>
      <c r="D215" s="0" t="s">
        <v>4053</v>
      </c>
      <c r="E215" s="0" t="s">
        <v>4054</v>
      </c>
      <c r="F215" s="0" t="s">
        <v>3535</v>
      </c>
      <c r="G215" s="0" t="s">
        <v>4055</v>
      </c>
    </row>
    <row customHeight="1" ht="11.25">
      <c r="A216" s="373" t="s">
        <v>14</v>
      </c>
      <c r="B216" s="0" t="s">
        <v>4024</v>
      </c>
      <c r="C216" s="0" t="s">
        <v>4025</v>
      </c>
      <c r="D216" s="0" t="s">
        <v>4056</v>
      </c>
      <c r="E216" s="0" t="s">
        <v>4057</v>
      </c>
      <c r="F216" s="0" t="s">
        <v>3535</v>
      </c>
      <c r="G216" s="0" t="s">
        <v>4058</v>
      </c>
    </row>
    <row customHeight="1" ht="11.25">
      <c r="A217" s="373" t="s">
        <v>14</v>
      </c>
      <c r="B217" s="0" t="s">
        <v>148</v>
      </c>
      <c r="C217" s="0" t="s">
        <v>149</v>
      </c>
      <c r="D217" s="0" t="s">
        <v>148</v>
      </c>
      <c r="E217" s="0" t="s">
        <v>149</v>
      </c>
      <c r="F217" s="0" t="s">
        <v>3616</v>
      </c>
      <c r="G217" s="0" t="s">
        <v>147</v>
      </c>
    </row>
    <row customHeight="1" ht="11.25">
      <c r="A218" s="373" t="s">
        <v>14</v>
      </c>
      <c r="B218" s="0" t="s">
        <v>4059</v>
      </c>
      <c r="C218" s="0" t="s">
        <v>4060</v>
      </c>
      <c r="D218" s="0" t="s">
        <v>4061</v>
      </c>
      <c r="E218" s="0" t="s">
        <v>4062</v>
      </c>
      <c r="F218" s="0" t="s">
        <v>3627</v>
      </c>
      <c r="G218" s="0" t="s">
        <v>4063</v>
      </c>
    </row>
    <row customHeight="1" ht="11.25">
      <c r="A219" s="373" t="s">
        <v>14</v>
      </c>
      <c r="B219" s="0" t="s">
        <v>4059</v>
      </c>
      <c r="C219" s="0" t="s">
        <v>4060</v>
      </c>
      <c r="D219" s="0" t="s">
        <v>4064</v>
      </c>
      <c r="E219" s="0" t="s">
        <v>4065</v>
      </c>
      <c r="F219" s="0" t="s">
        <v>3535</v>
      </c>
      <c r="G219" s="0" t="s">
        <v>4066</v>
      </c>
    </row>
    <row customHeight="1" ht="11.25">
      <c r="A220" s="373" t="s">
        <v>14</v>
      </c>
      <c r="B220" s="0" t="s">
        <v>4059</v>
      </c>
      <c r="C220" s="0" t="s">
        <v>4060</v>
      </c>
      <c r="D220" s="0" t="s">
        <v>4067</v>
      </c>
      <c r="E220" s="0" t="s">
        <v>4068</v>
      </c>
      <c r="F220" s="0" t="s">
        <v>3535</v>
      </c>
      <c r="G220" s="0" t="s">
        <v>4069</v>
      </c>
    </row>
    <row customHeight="1" ht="11.25">
      <c r="A221" s="373" t="s">
        <v>14</v>
      </c>
      <c r="B221" s="0" t="s">
        <v>4059</v>
      </c>
      <c r="C221" s="0" t="s">
        <v>4060</v>
      </c>
      <c r="D221" s="0" t="s">
        <v>4070</v>
      </c>
      <c r="E221" s="0" t="s">
        <v>4071</v>
      </c>
      <c r="F221" s="0" t="s">
        <v>3535</v>
      </c>
      <c r="G221" s="0" t="s">
        <v>4072</v>
      </c>
    </row>
    <row customHeight="1" ht="11.25">
      <c r="A222" s="373" t="s">
        <v>14</v>
      </c>
      <c r="B222" s="0" t="s">
        <v>4059</v>
      </c>
      <c r="C222" s="0" t="s">
        <v>4060</v>
      </c>
      <c r="D222" s="0" t="s">
        <v>4073</v>
      </c>
      <c r="E222" s="0" t="s">
        <v>4074</v>
      </c>
      <c r="F222" s="0" t="s">
        <v>3535</v>
      </c>
      <c r="G222" s="0" t="s">
        <v>4075</v>
      </c>
    </row>
    <row customHeight="1" ht="11.25">
      <c r="A223" s="373" t="s">
        <v>14</v>
      </c>
      <c r="B223" s="0" t="s">
        <v>4059</v>
      </c>
      <c r="C223" s="0" t="s">
        <v>4060</v>
      </c>
      <c r="D223" s="0" t="s">
        <v>4059</v>
      </c>
      <c r="E223" s="0" t="s">
        <v>4060</v>
      </c>
      <c r="F223" s="0" t="s">
        <v>3532</v>
      </c>
      <c r="G223" s="0" t="s">
        <v>4076</v>
      </c>
    </row>
    <row customHeight="1" ht="11.25">
      <c r="A224" s="373" t="s">
        <v>14</v>
      </c>
      <c r="B224" s="0" t="s">
        <v>4059</v>
      </c>
      <c r="C224" s="0" t="s">
        <v>4060</v>
      </c>
      <c r="D224" s="0" t="s">
        <v>4077</v>
      </c>
      <c r="E224" s="0" t="s">
        <v>4078</v>
      </c>
      <c r="F224" s="0" t="s">
        <v>3535</v>
      </c>
      <c r="G224" s="0" t="s">
        <v>4079</v>
      </c>
    </row>
    <row customHeight="1" ht="11.25">
      <c r="A225" s="373" t="s">
        <v>14</v>
      </c>
      <c r="B225" s="0" t="s">
        <v>4059</v>
      </c>
      <c r="C225" s="0" t="s">
        <v>4060</v>
      </c>
      <c r="D225" s="0" t="s">
        <v>3854</v>
      </c>
      <c r="E225" s="0" t="s">
        <v>4080</v>
      </c>
      <c r="F225" s="0" t="s">
        <v>3535</v>
      </c>
      <c r="G225" s="0" t="s">
        <v>4081</v>
      </c>
    </row>
    <row customHeight="1" ht="11.25">
      <c r="A226" s="373" t="s">
        <v>14</v>
      </c>
      <c r="B226" s="0" t="s">
        <v>4059</v>
      </c>
      <c r="C226" s="0" t="s">
        <v>4060</v>
      </c>
      <c r="D226" s="0" t="s">
        <v>4082</v>
      </c>
      <c r="E226" s="0" t="s">
        <v>4083</v>
      </c>
      <c r="F226" s="0" t="s">
        <v>3535</v>
      </c>
      <c r="G226" s="0" t="s">
        <v>4084</v>
      </c>
    </row>
    <row customHeight="1" ht="11.25">
      <c r="A227" s="373" t="s">
        <v>14</v>
      </c>
      <c r="B227" s="0" t="s">
        <v>4059</v>
      </c>
      <c r="C227" s="0" t="s">
        <v>4060</v>
      </c>
      <c r="D227" s="0" t="s">
        <v>4085</v>
      </c>
      <c r="E227" s="0" t="s">
        <v>4086</v>
      </c>
      <c r="F227" s="0" t="s">
        <v>3535</v>
      </c>
      <c r="G227" s="0" t="s">
        <v>4087</v>
      </c>
    </row>
    <row customHeight="1" ht="11.25">
      <c r="A228" s="373" t="s">
        <v>14</v>
      </c>
      <c r="B228" s="0" t="s">
        <v>4059</v>
      </c>
      <c r="C228" s="0" t="s">
        <v>4060</v>
      </c>
      <c r="D228" s="0" t="s">
        <v>4088</v>
      </c>
      <c r="E228" s="0" t="s">
        <v>4089</v>
      </c>
      <c r="F228" s="0" t="s">
        <v>3792</v>
      </c>
      <c r="G228" s="0" t="s">
        <v>4090</v>
      </c>
    </row>
    <row customHeight="1" ht="11.25">
      <c r="A229" s="373" t="s">
        <v>14</v>
      </c>
      <c r="B229" s="0" t="s">
        <v>4059</v>
      </c>
      <c r="C229" s="0" t="s">
        <v>4060</v>
      </c>
      <c r="D229" s="0" t="s">
        <v>4091</v>
      </c>
      <c r="E229" s="0" t="s">
        <v>4092</v>
      </c>
      <c r="F229" s="0" t="s">
        <v>3535</v>
      </c>
      <c r="G229" s="0" t="s">
        <v>4093</v>
      </c>
    </row>
    <row customHeight="1" ht="11.25">
      <c r="A230" s="373" t="s">
        <v>14</v>
      </c>
      <c r="B230" s="0" t="s">
        <v>4059</v>
      </c>
      <c r="C230" s="0" t="s">
        <v>4060</v>
      </c>
      <c r="D230" s="0" t="s">
        <v>4094</v>
      </c>
      <c r="E230" s="0" t="s">
        <v>4095</v>
      </c>
      <c r="F230" s="0" t="s">
        <v>3535</v>
      </c>
      <c r="G230" s="0" t="s">
        <v>4096</v>
      </c>
    </row>
    <row customHeight="1" ht="11.25">
      <c r="A231" s="373" t="s">
        <v>14</v>
      </c>
      <c r="B231" s="0" t="s">
        <v>4059</v>
      </c>
      <c r="C231" s="0" t="s">
        <v>4060</v>
      </c>
      <c r="D231" s="0" t="s">
        <v>4097</v>
      </c>
      <c r="E231" s="0" t="s">
        <v>4098</v>
      </c>
      <c r="F231" s="0" t="s">
        <v>3535</v>
      </c>
      <c r="G231" s="0" t="s">
        <v>4099</v>
      </c>
    </row>
    <row customHeight="1" ht="11.25">
      <c r="A232" s="373" t="s">
        <v>14</v>
      </c>
      <c r="B232" s="0" t="s">
        <v>4059</v>
      </c>
      <c r="C232" s="0" t="s">
        <v>4060</v>
      </c>
      <c r="D232" s="0" t="s">
        <v>4100</v>
      </c>
      <c r="E232" s="0" t="s">
        <v>4101</v>
      </c>
      <c r="F232" s="0" t="s">
        <v>3535</v>
      </c>
      <c r="G232" s="0" t="s">
        <v>4102</v>
      </c>
    </row>
    <row customHeight="1" ht="11.25">
      <c r="A233" s="373" t="s">
        <v>14</v>
      </c>
      <c r="B233" s="0" t="s">
        <v>4059</v>
      </c>
      <c r="C233" s="0" t="s">
        <v>4060</v>
      </c>
      <c r="D233" s="0" t="s">
        <v>3728</v>
      </c>
      <c r="E233" s="0" t="s">
        <v>4103</v>
      </c>
      <c r="F233" s="0" t="s">
        <v>3535</v>
      </c>
      <c r="G233" s="0" t="s">
        <v>4104</v>
      </c>
    </row>
    <row customHeight="1" ht="11.25">
      <c r="A234" s="373" t="s">
        <v>14</v>
      </c>
      <c r="B234" s="0" t="s">
        <v>133</v>
      </c>
      <c r="C234" s="0" t="s">
        <v>134</v>
      </c>
      <c r="D234" s="0" t="s">
        <v>133</v>
      </c>
      <c r="E234" s="0" t="s">
        <v>134</v>
      </c>
      <c r="F234" s="0" t="s">
        <v>3616</v>
      </c>
      <c r="G234" s="0" t="s">
        <v>132</v>
      </c>
    </row>
    <row customHeight="1" ht="11.25">
      <c r="A235" s="373" t="s">
        <v>14</v>
      </c>
      <c r="B235" s="0" t="s">
        <v>4105</v>
      </c>
      <c r="C235" s="0" t="s">
        <v>4106</v>
      </c>
      <c r="D235" s="0" t="s">
        <v>4107</v>
      </c>
      <c r="E235" s="0" t="s">
        <v>4108</v>
      </c>
      <c r="F235" s="0" t="s">
        <v>3627</v>
      </c>
      <c r="G235" s="0" t="s">
        <v>4109</v>
      </c>
    </row>
    <row customHeight="1" ht="11.25">
      <c r="A236" s="373" t="s">
        <v>14</v>
      </c>
      <c r="B236" s="0" t="s">
        <v>4105</v>
      </c>
      <c r="C236" s="0" t="s">
        <v>4106</v>
      </c>
      <c r="D236" s="0" t="s">
        <v>4110</v>
      </c>
      <c r="E236" s="0" t="s">
        <v>4111</v>
      </c>
      <c r="F236" s="0" t="s">
        <v>3535</v>
      </c>
      <c r="G236" s="0" t="s">
        <v>4112</v>
      </c>
    </row>
    <row customHeight="1" ht="11.25">
      <c r="A237" s="373" t="s">
        <v>14</v>
      </c>
      <c r="B237" s="0" t="s">
        <v>4105</v>
      </c>
      <c r="C237" s="0" t="s">
        <v>4106</v>
      </c>
      <c r="D237" s="0" t="s">
        <v>4113</v>
      </c>
      <c r="E237" s="0" t="s">
        <v>4114</v>
      </c>
      <c r="F237" s="0" t="s">
        <v>3535</v>
      </c>
      <c r="G237" s="0" t="s">
        <v>4115</v>
      </c>
    </row>
    <row customHeight="1" ht="11.25">
      <c r="A238" s="373" t="s">
        <v>14</v>
      </c>
      <c r="B238" s="0" t="s">
        <v>4105</v>
      </c>
      <c r="C238" s="0" t="s">
        <v>4106</v>
      </c>
      <c r="D238" s="0" t="s">
        <v>4116</v>
      </c>
      <c r="E238" s="0" t="s">
        <v>4117</v>
      </c>
      <c r="F238" s="0" t="s">
        <v>3535</v>
      </c>
      <c r="G238" s="0" t="s">
        <v>4118</v>
      </c>
    </row>
    <row customHeight="1" ht="11.25">
      <c r="A239" s="373" t="s">
        <v>14</v>
      </c>
      <c r="B239" s="0" t="s">
        <v>4105</v>
      </c>
      <c r="C239" s="0" t="s">
        <v>4106</v>
      </c>
      <c r="D239" s="0" t="s">
        <v>4119</v>
      </c>
      <c r="E239" s="0" t="s">
        <v>4120</v>
      </c>
      <c r="F239" s="0" t="s">
        <v>3535</v>
      </c>
      <c r="G239" s="0" t="s">
        <v>4121</v>
      </c>
    </row>
    <row customHeight="1" ht="11.25">
      <c r="A240" s="373" t="s">
        <v>14</v>
      </c>
      <c r="B240" s="0" t="s">
        <v>4105</v>
      </c>
      <c r="C240" s="0" t="s">
        <v>4106</v>
      </c>
      <c r="D240" s="0" t="s">
        <v>4122</v>
      </c>
      <c r="E240" s="0" t="s">
        <v>4123</v>
      </c>
      <c r="F240" s="0" t="s">
        <v>3535</v>
      </c>
      <c r="G240" s="0" t="s">
        <v>4124</v>
      </c>
    </row>
    <row customHeight="1" ht="11.25">
      <c r="A241" s="373" t="s">
        <v>14</v>
      </c>
      <c r="B241" s="0" t="s">
        <v>4105</v>
      </c>
      <c r="C241" s="0" t="s">
        <v>4106</v>
      </c>
      <c r="D241" s="0" t="s">
        <v>4125</v>
      </c>
      <c r="E241" s="0" t="s">
        <v>4126</v>
      </c>
      <c r="F241" s="0" t="s">
        <v>3535</v>
      </c>
      <c r="G241" s="0" t="s">
        <v>4127</v>
      </c>
    </row>
    <row customHeight="1" ht="11.25">
      <c r="A242" s="373" t="s">
        <v>14</v>
      </c>
      <c r="B242" s="0" t="s">
        <v>4105</v>
      </c>
      <c r="C242" s="0" t="s">
        <v>4106</v>
      </c>
      <c r="D242" s="0" t="s">
        <v>4105</v>
      </c>
      <c r="E242" s="0" t="s">
        <v>4106</v>
      </c>
      <c r="F242" s="0" t="s">
        <v>3532</v>
      </c>
      <c r="G242" s="0" t="s">
        <v>4128</v>
      </c>
    </row>
    <row customHeight="1" ht="11.25">
      <c r="A243" s="373" t="s">
        <v>14</v>
      </c>
      <c r="B243" s="0" t="s">
        <v>4105</v>
      </c>
      <c r="C243" s="0" t="s">
        <v>4106</v>
      </c>
      <c r="D243" s="0" t="s">
        <v>4129</v>
      </c>
      <c r="E243" s="0" t="s">
        <v>4130</v>
      </c>
      <c r="F243" s="0" t="s">
        <v>3535</v>
      </c>
      <c r="G243" s="0" t="s">
        <v>4131</v>
      </c>
    </row>
    <row customHeight="1" ht="11.25">
      <c r="A244" s="373" t="s">
        <v>14</v>
      </c>
      <c r="B244" s="0" t="s">
        <v>4105</v>
      </c>
      <c r="C244" s="0" t="s">
        <v>4106</v>
      </c>
      <c r="D244" s="0" t="s">
        <v>4132</v>
      </c>
      <c r="E244" s="0" t="s">
        <v>4133</v>
      </c>
      <c r="F244" s="0" t="s">
        <v>3535</v>
      </c>
      <c r="G244" s="0" t="s">
        <v>4134</v>
      </c>
    </row>
    <row customHeight="1" ht="11.25">
      <c r="A245" s="373" t="s">
        <v>14</v>
      </c>
      <c r="B245" s="0" t="s">
        <v>4105</v>
      </c>
      <c r="C245" s="0" t="s">
        <v>4106</v>
      </c>
      <c r="D245" s="0" t="s">
        <v>4135</v>
      </c>
      <c r="E245" s="0" t="s">
        <v>4136</v>
      </c>
      <c r="F245" s="0" t="s">
        <v>3792</v>
      </c>
      <c r="G245" s="0" t="s">
        <v>4137</v>
      </c>
    </row>
    <row customHeight="1" ht="11.25">
      <c r="A246" s="373" t="s">
        <v>14</v>
      </c>
      <c r="B246" s="0" t="s">
        <v>4105</v>
      </c>
      <c r="C246" s="0" t="s">
        <v>4106</v>
      </c>
      <c r="D246" s="0" t="s">
        <v>4138</v>
      </c>
      <c r="E246" s="0" t="s">
        <v>4139</v>
      </c>
      <c r="F246" s="0" t="s">
        <v>3535</v>
      </c>
      <c r="G246" s="0" t="s">
        <v>4140</v>
      </c>
    </row>
    <row customHeight="1" ht="11.25">
      <c r="A247" s="373" t="s">
        <v>14</v>
      </c>
      <c r="B247" s="0" t="s">
        <v>4105</v>
      </c>
      <c r="C247" s="0" t="s">
        <v>4106</v>
      </c>
      <c r="D247" s="0" t="s">
        <v>4141</v>
      </c>
      <c r="E247" s="0" t="s">
        <v>4142</v>
      </c>
      <c r="F247" s="0" t="s">
        <v>3535</v>
      </c>
      <c r="G247" s="0" t="s">
        <v>4143</v>
      </c>
    </row>
    <row customHeight="1" ht="11.25">
      <c r="A248" s="373" t="s">
        <v>14</v>
      </c>
      <c r="B248" s="0" t="s">
        <v>191</v>
      </c>
      <c r="C248" s="0" t="s">
        <v>192</v>
      </c>
      <c r="D248" s="0" t="s">
        <v>191</v>
      </c>
      <c r="E248" s="0" t="s">
        <v>192</v>
      </c>
      <c r="F248" s="0" t="s">
        <v>3616</v>
      </c>
      <c r="G248" s="0" t="s">
        <v>190</v>
      </c>
    </row>
    <row customHeight="1" ht="11.25">
      <c r="A249" s="373" t="s">
        <v>14</v>
      </c>
      <c r="B249" s="0" t="s">
        <v>4144</v>
      </c>
      <c r="C249" s="0" t="s">
        <v>4145</v>
      </c>
      <c r="D249" s="0" t="s">
        <v>4146</v>
      </c>
      <c r="E249" s="0" t="s">
        <v>4147</v>
      </c>
      <c r="F249" s="0" t="s">
        <v>3627</v>
      </c>
      <c r="G249" s="0" t="s">
        <v>4148</v>
      </c>
    </row>
    <row customHeight="1" ht="11.25">
      <c r="A250" s="373" t="s">
        <v>14</v>
      </c>
      <c r="B250" s="0" t="s">
        <v>4144</v>
      </c>
      <c r="C250" s="0" t="s">
        <v>4145</v>
      </c>
      <c r="D250" s="0" t="s">
        <v>4149</v>
      </c>
      <c r="E250" s="0" t="s">
        <v>4150</v>
      </c>
      <c r="F250" s="0" t="s">
        <v>3535</v>
      </c>
      <c r="G250" s="0" t="s">
        <v>4151</v>
      </c>
    </row>
    <row customHeight="1" ht="11.25">
      <c r="A251" s="373" t="s">
        <v>14</v>
      </c>
      <c r="B251" s="0" t="s">
        <v>4144</v>
      </c>
      <c r="C251" s="0" t="s">
        <v>4145</v>
      </c>
      <c r="D251" s="0" t="s">
        <v>4152</v>
      </c>
      <c r="E251" s="0" t="s">
        <v>4153</v>
      </c>
      <c r="F251" s="0" t="s">
        <v>3535</v>
      </c>
      <c r="G251" s="0" t="s">
        <v>4154</v>
      </c>
    </row>
    <row customHeight="1" ht="11.25">
      <c r="A252" s="373" t="s">
        <v>14</v>
      </c>
      <c r="B252" s="0" t="s">
        <v>4144</v>
      </c>
      <c r="C252" s="0" t="s">
        <v>4145</v>
      </c>
      <c r="D252" s="0" t="s">
        <v>4155</v>
      </c>
      <c r="E252" s="0" t="s">
        <v>4156</v>
      </c>
      <c r="F252" s="0" t="s">
        <v>3535</v>
      </c>
      <c r="G252" s="0" t="s">
        <v>4157</v>
      </c>
    </row>
    <row customHeight="1" ht="11.25">
      <c r="A253" s="373" t="s">
        <v>14</v>
      </c>
      <c r="B253" s="0" t="s">
        <v>4144</v>
      </c>
      <c r="C253" s="0" t="s">
        <v>4145</v>
      </c>
      <c r="D253" s="0" t="s">
        <v>4158</v>
      </c>
      <c r="E253" s="0" t="s">
        <v>4159</v>
      </c>
      <c r="F253" s="0" t="s">
        <v>3535</v>
      </c>
      <c r="G253" s="0" t="s">
        <v>4160</v>
      </c>
    </row>
    <row customHeight="1" ht="11.25">
      <c r="A254" s="373" t="s">
        <v>14</v>
      </c>
      <c r="B254" s="0" t="s">
        <v>4144</v>
      </c>
      <c r="C254" s="0" t="s">
        <v>4145</v>
      </c>
      <c r="D254" s="0" t="s">
        <v>4144</v>
      </c>
      <c r="E254" s="0" t="s">
        <v>4145</v>
      </c>
      <c r="F254" s="0" t="s">
        <v>3532</v>
      </c>
      <c r="G254" s="0" t="s">
        <v>4161</v>
      </c>
    </row>
    <row customHeight="1" ht="11.25">
      <c r="A255" s="373" t="s">
        <v>14</v>
      </c>
      <c r="B255" s="0" t="s">
        <v>4144</v>
      </c>
      <c r="C255" s="0" t="s">
        <v>4145</v>
      </c>
      <c r="D255" s="0" t="s">
        <v>4162</v>
      </c>
      <c r="E255" s="0" t="s">
        <v>4163</v>
      </c>
      <c r="F255" s="0" t="s">
        <v>3535</v>
      </c>
      <c r="G255" s="0" t="s">
        <v>4164</v>
      </c>
    </row>
    <row customHeight="1" ht="11.25">
      <c r="A256" s="373" t="s">
        <v>14</v>
      </c>
      <c r="B256" s="0" t="s">
        <v>4144</v>
      </c>
      <c r="C256" s="0" t="s">
        <v>4145</v>
      </c>
      <c r="D256" s="0" t="s">
        <v>4165</v>
      </c>
      <c r="E256" s="0" t="s">
        <v>4166</v>
      </c>
      <c r="F256" s="0" t="s">
        <v>3535</v>
      </c>
      <c r="G256" s="0" t="s">
        <v>4167</v>
      </c>
    </row>
    <row customHeight="1" ht="11.25">
      <c r="A257" s="373" t="s">
        <v>14</v>
      </c>
      <c r="B257" s="0" t="s">
        <v>4144</v>
      </c>
      <c r="C257" s="0" t="s">
        <v>4145</v>
      </c>
      <c r="D257" s="0" t="s">
        <v>4168</v>
      </c>
      <c r="E257" s="0" t="s">
        <v>4169</v>
      </c>
      <c r="F257" s="0" t="s">
        <v>3535</v>
      </c>
      <c r="G257" s="0" t="s">
        <v>4170</v>
      </c>
    </row>
    <row customHeight="1" ht="11.25">
      <c r="A258" s="373" t="s">
        <v>14</v>
      </c>
      <c r="B258" s="0" t="s">
        <v>4144</v>
      </c>
      <c r="C258" s="0" t="s">
        <v>4145</v>
      </c>
      <c r="D258" s="0" t="s">
        <v>4171</v>
      </c>
      <c r="E258" s="0" t="s">
        <v>4172</v>
      </c>
      <c r="F258" s="0" t="s">
        <v>3535</v>
      </c>
      <c r="G258" s="0" t="s">
        <v>4173</v>
      </c>
    </row>
    <row customHeight="1" ht="11.25">
      <c r="A259" s="373" t="s">
        <v>14</v>
      </c>
      <c r="B259" s="0" t="s">
        <v>4144</v>
      </c>
      <c r="C259" s="0" t="s">
        <v>4145</v>
      </c>
      <c r="D259" s="0" t="s">
        <v>4174</v>
      </c>
      <c r="E259" s="0" t="s">
        <v>4175</v>
      </c>
      <c r="F259" s="0" t="s">
        <v>3535</v>
      </c>
      <c r="G259" s="0" t="s">
        <v>4176</v>
      </c>
    </row>
    <row customHeight="1" ht="11.25">
      <c r="A260" s="373" t="s">
        <v>14</v>
      </c>
      <c r="B260" s="0" t="s">
        <v>4144</v>
      </c>
      <c r="C260" s="0" t="s">
        <v>4145</v>
      </c>
      <c r="D260" s="0" t="s">
        <v>4177</v>
      </c>
      <c r="E260" s="0" t="s">
        <v>4178</v>
      </c>
      <c r="F260" s="0" t="s">
        <v>3535</v>
      </c>
      <c r="G260" s="0" t="s">
        <v>4179</v>
      </c>
    </row>
    <row customHeight="1" ht="11.25">
      <c r="A261" s="373" t="s">
        <v>14</v>
      </c>
      <c r="B261" s="0" t="s">
        <v>4144</v>
      </c>
      <c r="C261" s="0" t="s">
        <v>4145</v>
      </c>
      <c r="D261" s="0" t="s">
        <v>4180</v>
      </c>
      <c r="E261" s="0" t="s">
        <v>4181</v>
      </c>
      <c r="F261" s="0" t="s">
        <v>3535</v>
      </c>
      <c r="G261" s="0" t="s">
        <v>4182</v>
      </c>
    </row>
    <row customHeight="1" ht="11.25">
      <c r="A262" s="373" t="s">
        <v>14</v>
      </c>
      <c r="B262" s="0" t="s">
        <v>164</v>
      </c>
      <c r="C262" s="0" t="s">
        <v>165</v>
      </c>
      <c r="D262" s="0" t="s">
        <v>164</v>
      </c>
      <c r="E262" s="0" t="s">
        <v>165</v>
      </c>
      <c r="F262" s="0" t="s">
        <v>3529</v>
      </c>
      <c r="G262" s="0" t="s">
        <v>163</v>
      </c>
    </row>
    <row customHeight="1" ht="11.25">
      <c r="A263" s="373" t="s">
        <v>14</v>
      </c>
      <c r="B263" s="0" t="s">
        <v>4183</v>
      </c>
      <c r="C263" s="0" t="s">
        <v>4184</v>
      </c>
      <c r="D263" s="0" t="s">
        <v>4185</v>
      </c>
      <c r="E263" s="0" t="s">
        <v>4186</v>
      </c>
      <c r="F263" s="0" t="s">
        <v>3535</v>
      </c>
      <c r="G263" s="0" t="s">
        <v>4187</v>
      </c>
    </row>
    <row customHeight="1" ht="11.25">
      <c r="A264" s="373" t="s">
        <v>14</v>
      </c>
      <c r="B264" s="0" t="s">
        <v>4183</v>
      </c>
      <c r="C264" s="0" t="s">
        <v>4184</v>
      </c>
      <c r="D264" s="0" t="s">
        <v>4188</v>
      </c>
      <c r="E264" s="0" t="s">
        <v>4189</v>
      </c>
      <c r="F264" s="0" t="s">
        <v>3535</v>
      </c>
      <c r="G264" s="0" t="s">
        <v>4190</v>
      </c>
    </row>
    <row customHeight="1" ht="11.25">
      <c r="A265" s="373" t="s">
        <v>14</v>
      </c>
      <c r="B265" s="0" t="s">
        <v>4183</v>
      </c>
      <c r="C265" s="0" t="s">
        <v>4184</v>
      </c>
      <c r="D265" s="0" t="s">
        <v>4183</v>
      </c>
      <c r="E265" s="0" t="s">
        <v>4184</v>
      </c>
      <c r="F265" s="0" t="s">
        <v>3532</v>
      </c>
      <c r="G265" s="0" t="s">
        <v>4191</v>
      </c>
    </row>
    <row customHeight="1" ht="11.25">
      <c r="A266" s="373" t="s">
        <v>14</v>
      </c>
      <c r="B266" s="0" t="s">
        <v>4183</v>
      </c>
      <c r="C266" s="0" t="s">
        <v>4184</v>
      </c>
      <c r="D266" s="0" t="s">
        <v>4192</v>
      </c>
      <c r="E266" s="0" t="s">
        <v>4193</v>
      </c>
      <c r="F266" s="0" t="s">
        <v>3535</v>
      </c>
      <c r="G266" s="0" t="s">
        <v>4194</v>
      </c>
    </row>
    <row customHeight="1" ht="11.25">
      <c r="A267" s="373" t="s">
        <v>14</v>
      </c>
      <c r="B267" s="0" t="s">
        <v>4183</v>
      </c>
      <c r="C267" s="0" t="s">
        <v>4184</v>
      </c>
      <c r="D267" s="0" t="s">
        <v>4195</v>
      </c>
      <c r="E267" s="0" t="s">
        <v>4196</v>
      </c>
      <c r="F267" s="0" t="s">
        <v>3535</v>
      </c>
      <c r="G267" s="0" t="s">
        <v>4197</v>
      </c>
    </row>
    <row customHeight="1" ht="11.25">
      <c r="A268" s="373" t="s">
        <v>14</v>
      </c>
      <c r="B268" s="0" t="s">
        <v>4183</v>
      </c>
      <c r="C268" s="0" t="s">
        <v>4184</v>
      </c>
      <c r="D268" s="0" t="s">
        <v>4198</v>
      </c>
      <c r="E268" s="0" t="s">
        <v>4199</v>
      </c>
      <c r="F268" s="0" t="s">
        <v>3535</v>
      </c>
      <c r="G268" s="0" t="s">
        <v>4200</v>
      </c>
    </row>
    <row customHeight="1" ht="11.25">
      <c r="A269" s="373" t="s">
        <v>14</v>
      </c>
      <c r="B269" s="0" t="s">
        <v>4183</v>
      </c>
      <c r="C269" s="0" t="s">
        <v>4184</v>
      </c>
      <c r="D269" s="0" t="s">
        <v>4201</v>
      </c>
      <c r="E269" s="0" t="s">
        <v>4202</v>
      </c>
      <c r="F269" s="0" t="s">
        <v>3535</v>
      </c>
      <c r="G269" s="0" t="s">
        <v>4203</v>
      </c>
    </row>
    <row customHeight="1" ht="11.25">
      <c r="A270" s="373" t="s">
        <v>14</v>
      </c>
      <c r="B270" s="0" t="s">
        <v>4183</v>
      </c>
      <c r="C270" s="0" t="s">
        <v>4184</v>
      </c>
      <c r="D270" s="0" t="s">
        <v>4204</v>
      </c>
      <c r="E270" s="0" t="s">
        <v>4205</v>
      </c>
      <c r="F270" s="0" t="s">
        <v>3535</v>
      </c>
      <c r="G270" s="0" t="s">
        <v>4206</v>
      </c>
    </row>
    <row customHeight="1" ht="11.25">
      <c r="A271" s="373" t="s">
        <v>14</v>
      </c>
      <c r="B271" s="0" t="s">
        <v>4183</v>
      </c>
      <c r="C271" s="0" t="s">
        <v>4184</v>
      </c>
      <c r="D271" s="0" t="s">
        <v>4207</v>
      </c>
      <c r="E271" s="0" t="s">
        <v>4208</v>
      </c>
      <c r="F271" s="0" t="s">
        <v>3535</v>
      </c>
      <c r="G271" s="0" t="s">
        <v>4209</v>
      </c>
    </row>
    <row customHeight="1" ht="11.25">
      <c r="A272" s="373" t="s">
        <v>14</v>
      </c>
      <c r="B272" s="0" t="s">
        <v>184</v>
      </c>
      <c r="C272" s="0" t="s">
        <v>185</v>
      </c>
      <c r="D272" s="0" t="s">
        <v>184</v>
      </c>
      <c r="E272" s="0" t="s">
        <v>185</v>
      </c>
      <c r="F272" s="0" t="s">
        <v>3616</v>
      </c>
      <c r="G272" s="0" t="s">
        <v>183</v>
      </c>
    </row>
    <row customHeight="1" ht="11.25">
      <c r="A273" s="373" t="s">
        <v>14</v>
      </c>
      <c r="B273" s="0" t="s">
        <v>4210</v>
      </c>
      <c r="C273" s="0" t="s">
        <v>4211</v>
      </c>
      <c r="D273" s="0" t="s">
        <v>4212</v>
      </c>
      <c r="E273" s="0" t="s">
        <v>4213</v>
      </c>
      <c r="F273" s="0" t="s">
        <v>3535</v>
      </c>
      <c r="G273" s="0" t="s">
        <v>4214</v>
      </c>
    </row>
    <row customHeight="1" ht="11.25">
      <c r="A274" s="373" t="s">
        <v>14</v>
      </c>
      <c r="B274" s="0" t="s">
        <v>4210</v>
      </c>
      <c r="C274" s="0" t="s">
        <v>4211</v>
      </c>
      <c r="D274" s="0" t="s">
        <v>4215</v>
      </c>
      <c r="E274" s="0" t="s">
        <v>4216</v>
      </c>
      <c r="F274" s="0" t="s">
        <v>3627</v>
      </c>
      <c r="G274" s="0" t="s">
        <v>4217</v>
      </c>
    </row>
    <row customHeight="1" ht="11.25">
      <c r="A275" s="373" t="s">
        <v>14</v>
      </c>
      <c r="B275" s="0" t="s">
        <v>4210</v>
      </c>
      <c r="C275" s="0" t="s">
        <v>4211</v>
      </c>
      <c r="D275" s="0" t="s">
        <v>4218</v>
      </c>
      <c r="E275" s="0" t="s">
        <v>4219</v>
      </c>
      <c r="F275" s="0" t="s">
        <v>3535</v>
      </c>
      <c r="G275" s="0" t="s">
        <v>4220</v>
      </c>
    </row>
    <row customHeight="1" ht="11.25">
      <c r="A276" s="373" t="s">
        <v>14</v>
      </c>
      <c r="B276" s="0" t="s">
        <v>4210</v>
      </c>
      <c r="C276" s="0" t="s">
        <v>4211</v>
      </c>
      <c r="D276" s="0" t="s">
        <v>4221</v>
      </c>
      <c r="E276" s="0" t="s">
        <v>4222</v>
      </c>
      <c r="F276" s="0" t="s">
        <v>3535</v>
      </c>
      <c r="G276" s="0" t="s">
        <v>4223</v>
      </c>
    </row>
    <row customHeight="1" ht="11.25">
      <c r="A277" s="373" t="s">
        <v>14</v>
      </c>
      <c r="B277" s="0" t="s">
        <v>4210</v>
      </c>
      <c r="C277" s="0" t="s">
        <v>4211</v>
      </c>
      <c r="D277" s="0" t="s">
        <v>4210</v>
      </c>
      <c r="E277" s="0" t="s">
        <v>4211</v>
      </c>
      <c r="F277" s="0" t="s">
        <v>3532</v>
      </c>
      <c r="G277" s="0" t="s">
        <v>4224</v>
      </c>
    </row>
    <row customHeight="1" ht="11.25">
      <c r="A278" s="373" t="s">
        <v>14</v>
      </c>
      <c r="B278" s="0" t="s">
        <v>4210</v>
      </c>
      <c r="C278" s="0" t="s">
        <v>4211</v>
      </c>
      <c r="D278" s="0" t="s">
        <v>4225</v>
      </c>
      <c r="E278" s="0" t="s">
        <v>4226</v>
      </c>
      <c r="F278" s="0" t="s">
        <v>3535</v>
      </c>
      <c r="G278" s="0" t="s">
        <v>4227</v>
      </c>
    </row>
    <row customHeight="1" ht="11.25">
      <c r="A279" s="373" t="s">
        <v>14</v>
      </c>
      <c r="B279" s="0" t="s">
        <v>4210</v>
      </c>
      <c r="C279" s="0" t="s">
        <v>4211</v>
      </c>
      <c r="D279" s="0" t="s">
        <v>4228</v>
      </c>
      <c r="E279" s="0" t="s">
        <v>4229</v>
      </c>
      <c r="F279" s="0" t="s">
        <v>3535</v>
      </c>
      <c r="G279" s="0" t="s">
        <v>4230</v>
      </c>
    </row>
    <row customHeight="1" ht="11.25">
      <c r="A280" s="373" t="s">
        <v>14</v>
      </c>
      <c r="B280" s="0" t="s">
        <v>4210</v>
      </c>
      <c r="C280" s="0" t="s">
        <v>4211</v>
      </c>
      <c r="D280" s="0" t="s">
        <v>4231</v>
      </c>
      <c r="E280" s="0" t="s">
        <v>4232</v>
      </c>
      <c r="F280" s="0" t="s">
        <v>3535</v>
      </c>
      <c r="G280" s="0" t="s">
        <v>4233</v>
      </c>
    </row>
    <row customHeight="1" ht="11.25">
      <c r="A281" s="373" t="s">
        <v>14</v>
      </c>
      <c r="B281" s="0" t="s">
        <v>4210</v>
      </c>
      <c r="C281" s="0" t="s">
        <v>4211</v>
      </c>
      <c r="D281" s="0" t="s">
        <v>4234</v>
      </c>
      <c r="E281" s="0" t="s">
        <v>4235</v>
      </c>
      <c r="F281" s="0" t="s">
        <v>3535</v>
      </c>
      <c r="G281" s="0" t="s">
        <v>4236</v>
      </c>
    </row>
    <row customHeight="1" ht="11.25">
      <c r="A282" s="373" t="s">
        <v>14</v>
      </c>
      <c r="B282" s="0" t="s">
        <v>4210</v>
      </c>
      <c r="C282" s="0" t="s">
        <v>4211</v>
      </c>
      <c r="D282" s="0" t="s">
        <v>4237</v>
      </c>
      <c r="E282" s="0" t="s">
        <v>4238</v>
      </c>
      <c r="F282" s="0" t="s">
        <v>3535</v>
      </c>
      <c r="G282" s="0" t="s">
        <v>4239</v>
      </c>
    </row>
    <row customHeight="1" ht="11.25">
      <c r="A283" s="373" t="s">
        <v>14</v>
      </c>
      <c r="B283" s="0" t="s">
        <v>4210</v>
      </c>
      <c r="C283" s="0" t="s">
        <v>4211</v>
      </c>
      <c r="D283" s="0" t="s">
        <v>4240</v>
      </c>
      <c r="E283" s="0" t="s">
        <v>4241</v>
      </c>
      <c r="F283" s="0" t="s">
        <v>3535</v>
      </c>
      <c r="G283" s="0" t="s">
        <v>4242</v>
      </c>
    </row>
    <row customHeight="1" ht="11.25">
      <c r="A284" s="373" t="s">
        <v>14</v>
      </c>
      <c r="B284" s="0" t="s">
        <v>4210</v>
      </c>
      <c r="C284" s="0" t="s">
        <v>4211</v>
      </c>
      <c r="D284" s="0" t="s">
        <v>4243</v>
      </c>
      <c r="E284" s="0" t="s">
        <v>4244</v>
      </c>
      <c r="F284" s="0" t="s">
        <v>3535</v>
      </c>
      <c r="G284" s="0" t="s">
        <v>4245</v>
      </c>
    </row>
    <row customHeight="1" ht="11.25">
      <c r="A285" s="373" t="s">
        <v>14</v>
      </c>
      <c r="B285" s="0" t="s">
        <v>4210</v>
      </c>
      <c r="C285" s="0" t="s">
        <v>4211</v>
      </c>
      <c r="D285" s="0" t="s">
        <v>4246</v>
      </c>
      <c r="E285" s="0" t="s">
        <v>4247</v>
      </c>
      <c r="F285" s="0" t="s">
        <v>3535</v>
      </c>
      <c r="G285" s="0" t="s">
        <v>4248</v>
      </c>
    </row>
    <row customHeight="1" ht="11.25">
      <c r="A286" s="373" t="s">
        <v>14</v>
      </c>
      <c r="B286" s="0" t="s">
        <v>4210</v>
      </c>
      <c r="C286" s="0" t="s">
        <v>4211</v>
      </c>
      <c r="D286" s="0" t="s">
        <v>2112</v>
      </c>
      <c r="E286" s="0" t="s">
        <v>4249</v>
      </c>
      <c r="F286" s="0" t="s">
        <v>3535</v>
      </c>
      <c r="G286" s="0" t="s">
        <v>4250</v>
      </c>
    </row>
    <row customHeight="1" ht="11.25">
      <c r="A287" s="373" t="s">
        <v>14</v>
      </c>
      <c r="B287" s="0" t="s">
        <v>105</v>
      </c>
      <c r="C287" s="0" t="s">
        <v>106</v>
      </c>
      <c r="D287" s="0" t="s">
        <v>105</v>
      </c>
      <c r="E287" s="0" t="s">
        <v>106</v>
      </c>
      <c r="F287" s="0" t="s">
        <v>3529</v>
      </c>
      <c r="G287" s="0" t="s">
        <v>104</v>
      </c>
    </row>
    <row customHeight="1" ht="11.25">
      <c r="A288" s="373" t="s">
        <v>14</v>
      </c>
      <c r="B288" s="0" t="s">
        <v>4251</v>
      </c>
      <c r="C288" s="0" t="s">
        <v>4252</v>
      </c>
      <c r="D288" s="0" t="s">
        <v>4253</v>
      </c>
      <c r="E288" s="0" t="s">
        <v>4254</v>
      </c>
      <c r="F288" s="0" t="s">
        <v>3535</v>
      </c>
      <c r="G288" s="0" t="s">
        <v>4255</v>
      </c>
    </row>
    <row customHeight="1" ht="11.25">
      <c r="A289" s="373" t="s">
        <v>14</v>
      </c>
      <c r="B289" s="0" t="s">
        <v>4251</v>
      </c>
      <c r="C289" s="0" t="s">
        <v>4252</v>
      </c>
      <c r="D289" s="0" t="s">
        <v>4256</v>
      </c>
      <c r="E289" s="0" t="s">
        <v>4257</v>
      </c>
      <c r="F289" s="0" t="s">
        <v>3535</v>
      </c>
      <c r="G289" s="0" t="s">
        <v>4258</v>
      </c>
    </row>
    <row customHeight="1" ht="11.25">
      <c r="A290" s="373" t="s">
        <v>14</v>
      </c>
      <c r="B290" s="0" t="s">
        <v>4251</v>
      </c>
      <c r="C290" s="0" t="s">
        <v>4252</v>
      </c>
      <c r="D290" s="0" t="s">
        <v>4259</v>
      </c>
      <c r="E290" s="0" t="s">
        <v>4260</v>
      </c>
      <c r="F290" s="0" t="s">
        <v>3535</v>
      </c>
      <c r="G290" s="0" t="s">
        <v>4261</v>
      </c>
    </row>
    <row customHeight="1" ht="11.25">
      <c r="A291" s="373" t="s">
        <v>14</v>
      </c>
      <c r="B291" s="0" t="s">
        <v>4251</v>
      </c>
      <c r="C291" s="0" t="s">
        <v>4252</v>
      </c>
      <c r="D291" s="0" t="s">
        <v>4262</v>
      </c>
      <c r="E291" s="0" t="s">
        <v>4263</v>
      </c>
      <c r="F291" s="0" t="s">
        <v>3535</v>
      </c>
      <c r="G291" s="0" t="s">
        <v>4264</v>
      </c>
    </row>
    <row customHeight="1" ht="11.25">
      <c r="A292" s="373" t="s">
        <v>14</v>
      </c>
      <c r="B292" s="0" t="s">
        <v>4251</v>
      </c>
      <c r="C292" s="0" t="s">
        <v>4252</v>
      </c>
      <c r="D292" s="0" t="s">
        <v>4265</v>
      </c>
      <c r="E292" s="0" t="s">
        <v>4266</v>
      </c>
      <c r="F292" s="0" t="s">
        <v>3535</v>
      </c>
      <c r="G292" s="0" t="s">
        <v>4267</v>
      </c>
    </row>
    <row customHeight="1" ht="11.25">
      <c r="A293" s="373" t="s">
        <v>14</v>
      </c>
      <c r="B293" s="0" t="s">
        <v>4251</v>
      </c>
      <c r="C293" s="0" t="s">
        <v>4252</v>
      </c>
      <c r="D293" s="0" t="s">
        <v>4268</v>
      </c>
      <c r="E293" s="0" t="s">
        <v>4269</v>
      </c>
      <c r="F293" s="0" t="s">
        <v>3535</v>
      </c>
      <c r="G293" s="0" t="s">
        <v>4270</v>
      </c>
    </row>
    <row customHeight="1" ht="11.25">
      <c r="A294" s="373" t="s">
        <v>14</v>
      </c>
      <c r="B294" s="0" t="s">
        <v>4251</v>
      </c>
      <c r="C294" s="0" t="s">
        <v>4252</v>
      </c>
      <c r="D294" s="0" t="s">
        <v>4251</v>
      </c>
      <c r="E294" s="0" t="s">
        <v>4252</v>
      </c>
      <c r="F294" s="0" t="s">
        <v>3532</v>
      </c>
      <c r="G294" s="0" t="s">
        <v>4271</v>
      </c>
    </row>
    <row customHeight="1" ht="11.25">
      <c r="A295" s="373" t="s">
        <v>14</v>
      </c>
      <c r="B295" s="0" t="s">
        <v>4251</v>
      </c>
      <c r="C295" s="0" t="s">
        <v>4252</v>
      </c>
      <c r="D295" s="0" t="s">
        <v>4272</v>
      </c>
      <c r="E295" s="0" t="s">
        <v>4273</v>
      </c>
      <c r="F295" s="0" t="s">
        <v>3535</v>
      </c>
      <c r="G295" s="0" t="s">
        <v>4274</v>
      </c>
    </row>
    <row customHeight="1" ht="11.25">
      <c r="A296" s="373" t="s">
        <v>14</v>
      </c>
      <c r="B296" s="0" t="s">
        <v>4251</v>
      </c>
      <c r="C296" s="0" t="s">
        <v>4252</v>
      </c>
      <c r="D296" s="0" t="s">
        <v>4275</v>
      </c>
      <c r="E296" s="0" t="s">
        <v>4276</v>
      </c>
      <c r="F296" s="0" t="s">
        <v>3535</v>
      </c>
      <c r="G296" s="0" t="s">
        <v>4277</v>
      </c>
    </row>
    <row customHeight="1" ht="11.25">
      <c r="A297" s="373" t="s">
        <v>14</v>
      </c>
      <c r="B297" s="0" t="s">
        <v>4251</v>
      </c>
      <c r="C297" s="0" t="s">
        <v>4252</v>
      </c>
      <c r="D297" s="0" t="s">
        <v>4278</v>
      </c>
      <c r="E297" s="0" t="s">
        <v>4279</v>
      </c>
      <c r="F297" s="0" t="s">
        <v>3535</v>
      </c>
      <c r="G297" s="0" t="s">
        <v>4280</v>
      </c>
    </row>
    <row customHeight="1" ht="11.25">
      <c r="A298" s="373" t="s">
        <v>14</v>
      </c>
      <c r="B298" s="0" t="s">
        <v>4251</v>
      </c>
      <c r="C298" s="0" t="s">
        <v>4252</v>
      </c>
      <c r="D298" s="0" t="s">
        <v>4281</v>
      </c>
      <c r="E298" s="0" t="s">
        <v>4282</v>
      </c>
      <c r="F298" s="0" t="s">
        <v>3535</v>
      </c>
      <c r="G298" s="0" t="s">
        <v>4283</v>
      </c>
    </row>
    <row customHeight="1" ht="11.25">
      <c r="A299" s="373" t="s">
        <v>14</v>
      </c>
      <c r="B299" s="0" t="s">
        <v>4251</v>
      </c>
      <c r="C299" s="0" t="s">
        <v>4252</v>
      </c>
      <c r="D299" s="0" t="s">
        <v>4284</v>
      </c>
      <c r="E299" s="0" t="s">
        <v>4285</v>
      </c>
      <c r="F299" s="0" t="s">
        <v>3535</v>
      </c>
      <c r="G299" s="0" t="s">
        <v>4286</v>
      </c>
    </row>
    <row customHeight="1" ht="11.25">
      <c r="A300" s="373" t="s">
        <v>14</v>
      </c>
      <c r="B300" s="0" t="s">
        <v>4251</v>
      </c>
      <c r="C300" s="0" t="s">
        <v>4252</v>
      </c>
      <c r="D300" s="0" t="s">
        <v>4287</v>
      </c>
      <c r="E300" s="0" t="s">
        <v>4288</v>
      </c>
      <c r="F300" s="0" t="s">
        <v>3535</v>
      </c>
      <c r="G300" s="0" t="s">
        <v>4289</v>
      </c>
    </row>
    <row customHeight="1" ht="11.25">
      <c r="A301" s="373" t="s">
        <v>14</v>
      </c>
      <c r="B301" s="0" t="s">
        <v>4251</v>
      </c>
      <c r="C301" s="0" t="s">
        <v>4252</v>
      </c>
      <c r="D301" s="0" t="s">
        <v>4290</v>
      </c>
      <c r="E301" s="0" t="s">
        <v>4291</v>
      </c>
      <c r="F301" s="0" t="s">
        <v>3535</v>
      </c>
      <c r="G301" s="0" t="s">
        <v>4292</v>
      </c>
    </row>
    <row customHeight="1" ht="11.25">
      <c r="A302" s="373" t="s">
        <v>14</v>
      </c>
      <c r="B302" s="0" t="s">
        <v>4251</v>
      </c>
      <c r="C302" s="0" t="s">
        <v>4252</v>
      </c>
      <c r="D302" s="0" t="s">
        <v>4293</v>
      </c>
      <c r="E302" s="0" t="s">
        <v>4294</v>
      </c>
      <c r="F302" s="0" t="s">
        <v>3535</v>
      </c>
      <c r="G302" s="0" t="s">
        <v>4295</v>
      </c>
    </row>
    <row customHeight="1" ht="11.25">
      <c r="A303" s="373" t="s">
        <v>14</v>
      </c>
      <c r="B303" s="0" t="s">
        <v>4251</v>
      </c>
      <c r="C303" s="0" t="s">
        <v>4252</v>
      </c>
      <c r="D303" s="0" t="s">
        <v>4296</v>
      </c>
      <c r="E303" s="0" t="s">
        <v>4297</v>
      </c>
      <c r="F303" s="0" t="s">
        <v>3535</v>
      </c>
      <c r="G303" s="0" t="s">
        <v>4298</v>
      </c>
    </row>
    <row customHeight="1" ht="11.25">
      <c r="A304" s="373" t="s">
        <v>14</v>
      </c>
      <c r="B304" s="0" t="s">
        <v>4299</v>
      </c>
      <c r="C304" s="0" t="s">
        <v>4300</v>
      </c>
      <c r="D304" s="0" t="s">
        <v>4299</v>
      </c>
      <c r="E304" s="0" t="s">
        <v>4300</v>
      </c>
      <c r="F304" s="0" t="s">
        <v>3616</v>
      </c>
      <c r="G304" s="0" t="s">
        <v>4301</v>
      </c>
    </row>
    <row customHeight="1" ht="11.25">
      <c r="A305" s="373" t="s">
        <v>14</v>
      </c>
      <c r="B305" s="0" t="s">
        <v>4302</v>
      </c>
      <c r="C305" s="0" t="s">
        <v>4303</v>
      </c>
      <c r="D305" s="0" t="s">
        <v>4304</v>
      </c>
      <c r="E305" s="0" t="s">
        <v>4305</v>
      </c>
      <c r="F305" s="0" t="s">
        <v>3535</v>
      </c>
      <c r="G305" s="0" t="s">
        <v>4306</v>
      </c>
    </row>
    <row customHeight="1" ht="11.25">
      <c r="A306" s="373" t="s">
        <v>14</v>
      </c>
      <c r="B306" s="0" t="s">
        <v>4302</v>
      </c>
      <c r="C306" s="0" t="s">
        <v>4303</v>
      </c>
      <c r="D306" s="0" t="s">
        <v>4307</v>
      </c>
      <c r="E306" s="0" t="s">
        <v>4308</v>
      </c>
      <c r="F306" s="0" t="s">
        <v>3627</v>
      </c>
      <c r="G306" s="0" t="s">
        <v>4309</v>
      </c>
    </row>
    <row customHeight="1" ht="11.25">
      <c r="A307" s="373" t="s">
        <v>14</v>
      </c>
      <c r="B307" s="0" t="s">
        <v>4302</v>
      </c>
      <c r="C307" s="0" t="s">
        <v>4303</v>
      </c>
      <c r="D307" s="0" t="s">
        <v>4310</v>
      </c>
      <c r="E307" s="0" t="s">
        <v>4311</v>
      </c>
      <c r="F307" s="0" t="s">
        <v>3535</v>
      </c>
      <c r="G307" s="0" t="s">
        <v>4312</v>
      </c>
    </row>
    <row customHeight="1" ht="11.25">
      <c r="A308" s="373" t="s">
        <v>14</v>
      </c>
      <c r="B308" s="0" t="s">
        <v>4302</v>
      </c>
      <c r="C308" s="0" t="s">
        <v>4303</v>
      </c>
      <c r="D308" s="0" t="s">
        <v>4313</v>
      </c>
      <c r="E308" s="0" t="s">
        <v>4314</v>
      </c>
      <c r="F308" s="0" t="s">
        <v>3535</v>
      </c>
      <c r="G308" s="0" t="s">
        <v>4315</v>
      </c>
    </row>
    <row customHeight="1" ht="11.25">
      <c r="A309" s="373" t="s">
        <v>14</v>
      </c>
      <c r="B309" s="0" t="s">
        <v>4302</v>
      </c>
      <c r="C309" s="0" t="s">
        <v>4303</v>
      </c>
      <c r="D309" s="0" t="s">
        <v>4316</v>
      </c>
      <c r="E309" s="0" t="s">
        <v>4317</v>
      </c>
      <c r="F309" s="0" t="s">
        <v>3535</v>
      </c>
      <c r="G309" s="0" t="s">
        <v>4318</v>
      </c>
    </row>
    <row customHeight="1" ht="11.25">
      <c r="A310" s="373" t="s">
        <v>14</v>
      </c>
      <c r="B310" s="0" t="s">
        <v>4302</v>
      </c>
      <c r="C310" s="0" t="s">
        <v>4303</v>
      </c>
      <c r="D310" s="0" t="s">
        <v>4319</v>
      </c>
      <c r="E310" s="0" t="s">
        <v>4320</v>
      </c>
      <c r="F310" s="0" t="s">
        <v>3535</v>
      </c>
      <c r="G310" s="0" t="s">
        <v>4321</v>
      </c>
    </row>
    <row customHeight="1" ht="11.25">
      <c r="A311" s="373" t="s">
        <v>14</v>
      </c>
      <c r="B311" s="0" t="s">
        <v>4302</v>
      </c>
      <c r="C311" s="0" t="s">
        <v>4303</v>
      </c>
      <c r="D311" s="0" t="s">
        <v>4302</v>
      </c>
      <c r="E311" s="0" t="s">
        <v>4303</v>
      </c>
      <c r="F311" s="0" t="s">
        <v>3532</v>
      </c>
      <c r="G311" s="0" t="s">
        <v>4322</v>
      </c>
    </row>
    <row customHeight="1" ht="11.25">
      <c r="A312" s="373" t="s">
        <v>14</v>
      </c>
      <c r="B312" s="0" t="s">
        <v>4302</v>
      </c>
      <c r="C312" s="0" t="s">
        <v>4303</v>
      </c>
      <c r="D312" s="0" t="s">
        <v>4323</v>
      </c>
      <c r="E312" s="0" t="s">
        <v>4324</v>
      </c>
      <c r="F312" s="0" t="s">
        <v>3535</v>
      </c>
      <c r="G312" s="0" t="s">
        <v>4325</v>
      </c>
    </row>
    <row customHeight="1" ht="11.25">
      <c r="A313" s="373" t="s">
        <v>14</v>
      </c>
      <c r="B313" s="0" t="s">
        <v>137</v>
      </c>
      <c r="C313" s="0" t="s">
        <v>138</v>
      </c>
      <c r="D313" s="0" t="s">
        <v>137</v>
      </c>
      <c r="E313" s="0" t="s">
        <v>138</v>
      </c>
      <c r="F313" s="0" t="s">
        <v>3529</v>
      </c>
      <c r="G313" s="0" t="s">
        <v>136</v>
      </c>
    </row>
    <row customHeight="1" ht="11.25">
      <c r="A314" s="373" t="s">
        <v>14</v>
      </c>
      <c r="B314" s="0" t="s">
        <v>4326</v>
      </c>
      <c r="C314" s="0" t="s">
        <v>4327</v>
      </c>
      <c r="D314" s="0" t="s">
        <v>4328</v>
      </c>
      <c r="E314" s="0" t="s">
        <v>4329</v>
      </c>
      <c r="F314" s="0" t="s">
        <v>3535</v>
      </c>
      <c r="G314" s="0" t="s">
        <v>4330</v>
      </c>
    </row>
    <row customHeight="1" ht="11.25">
      <c r="A315" s="373" t="s">
        <v>14</v>
      </c>
      <c r="B315" s="0" t="s">
        <v>4326</v>
      </c>
      <c r="C315" s="0" t="s">
        <v>4327</v>
      </c>
      <c r="D315" s="0" t="s">
        <v>4331</v>
      </c>
      <c r="E315" s="0" t="s">
        <v>4332</v>
      </c>
      <c r="F315" s="0" t="s">
        <v>3535</v>
      </c>
      <c r="G315" s="0" t="s">
        <v>4333</v>
      </c>
    </row>
    <row customHeight="1" ht="11.25">
      <c r="A316" s="373" t="s">
        <v>14</v>
      </c>
      <c r="B316" s="0" t="s">
        <v>4326</v>
      </c>
      <c r="C316" s="0" t="s">
        <v>4327</v>
      </c>
      <c r="D316" s="0" t="s">
        <v>4334</v>
      </c>
      <c r="E316" s="0" t="s">
        <v>4335</v>
      </c>
      <c r="F316" s="0" t="s">
        <v>3535</v>
      </c>
      <c r="G316" s="0" t="s">
        <v>4336</v>
      </c>
    </row>
    <row customHeight="1" ht="11.25">
      <c r="A317" s="373" t="s">
        <v>14</v>
      </c>
      <c r="B317" s="0" t="s">
        <v>4326</v>
      </c>
      <c r="C317" s="0" t="s">
        <v>4327</v>
      </c>
      <c r="D317" s="0" t="s">
        <v>4337</v>
      </c>
      <c r="E317" s="0" t="s">
        <v>4338</v>
      </c>
      <c r="F317" s="0" t="s">
        <v>3535</v>
      </c>
      <c r="G317" s="0" t="s">
        <v>4339</v>
      </c>
    </row>
    <row customHeight="1" ht="11.25">
      <c r="A318" s="373" t="s">
        <v>14</v>
      </c>
      <c r="B318" s="0" t="s">
        <v>4326</v>
      </c>
      <c r="C318" s="0" t="s">
        <v>4327</v>
      </c>
      <c r="D318" s="0" t="s">
        <v>4340</v>
      </c>
      <c r="E318" s="0" t="s">
        <v>4341</v>
      </c>
      <c r="F318" s="0" t="s">
        <v>3535</v>
      </c>
      <c r="G318" s="0" t="s">
        <v>4342</v>
      </c>
    </row>
    <row customHeight="1" ht="11.25">
      <c r="A319" s="373" t="s">
        <v>14</v>
      </c>
      <c r="B319" s="0" t="s">
        <v>4326</v>
      </c>
      <c r="C319" s="0" t="s">
        <v>4327</v>
      </c>
      <c r="D319" s="0" t="s">
        <v>4343</v>
      </c>
      <c r="E319" s="0" t="s">
        <v>4344</v>
      </c>
      <c r="F319" s="0" t="s">
        <v>3535</v>
      </c>
      <c r="G319" s="0" t="s">
        <v>4345</v>
      </c>
    </row>
    <row customHeight="1" ht="11.25">
      <c r="A320" s="373" t="s">
        <v>14</v>
      </c>
      <c r="B320" s="0" t="s">
        <v>4326</v>
      </c>
      <c r="C320" s="0" t="s">
        <v>4327</v>
      </c>
      <c r="D320" s="0" t="s">
        <v>4326</v>
      </c>
      <c r="E320" s="0" t="s">
        <v>4327</v>
      </c>
      <c r="F320" s="0" t="s">
        <v>3532</v>
      </c>
      <c r="G320" s="0" t="s">
        <v>4346</v>
      </c>
    </row>
    <row customHeight="1" ht="11.25">
      <c r="A321" s="373" t="s">
        <v>14</v>
      </c>
      <c r="B321" s="0" t="s">
        <v>4326</v>
      </c>
      <c r="C321" s="0" t="s">
        <v>4327</v>
      </c>
      <c r="D321" s="0" t="s">
        <v>4347</v>
      </c>
      <c r="E321" s="0" t="s">
        <v>4348</v>
      </c>
      <c r="F321" s="0" t="s">
        <v>3535</v>
      </c>
      <c r="G321" s="0" t="s">
        <v>4349</v>
      </c>
    </row>
    <row customHeight="1" ht="11.25">
      <c r="A322" s="373" t="s">
        <v>14</v>
      </c>
      <c r="B322" s="0" t="s">
        <v>199</v>
      </c>
      <c r="C322" s="0" t="s">
        <v>200</v>
      </c>
      <c r="D322" s="0" t="s">
        <v>199</v>
      </c>
      <c r="E322" s="0" t="s">
        <v>200</v>
      </c>
      <c r="F322" s="0" t="s">
        <v>3529</v>
      </c>
      <c r="G322" s="0" t="s">
        <v>198</v>
      </c>
    </row>
    <row customHeight="1" ht="11.25">
      <c r="A323" s="373" t="s">
        <v>14</v>
      </c>
      <c r="B323" s="0" t="s">
        <v>4350</v>
      </c>
      <c r="C323" s="0" t="s">
        <v>4351</v>
      </c>
      <c r="D323" s="0" t="s">
        <v>4352</v>
      </c>
      <c r="E323" s="0" t="s">
        <v>4353</v>
      </c>
      <c r="F323" s="0" t="s">
        <v>3535</v>
      </c>
      <c r="G323" s="0" t="s">
        <v>4354</v>
      </c>
    </row>
    <row customHeight="1" ht="11.25">
      <c r="A324" s="373" t="s">
        <v>14</v>
      </c>
      <c r="B324" s="0" t="s">
        <v>4350</v>
      </c>
      <c r="C324" s="0" t="s">
        <v>4351</v>
      </c>
      <c r="D324" s="0" t="s">
        <v>4355</v>
      </c>
      <c r="E324" s="0" t="s">
        <v>4356</v>
      </c>
      <c r="F324" s="0" t="s">
        <v>3535</v>
      </c>
      <c r="G324" s="0" t="s">
        <v>4357</v>
      </c>
    </row>
    <row customHeight="1" ht="11.25">
      <c r="A325" s="373" t="s">
        <v>14</v>
      </c>
      <c r="B325" s="0" t="s">
        <v>4350</v>
      </c>
      <c r="C325" s="0" t="s">
        <v>4351</v>
      </c>
      <c r="D325" s="0" t="s">
        <v>4358</v>
      </c>
      <c r="E325" s="0" t="s">
        <v>4359</v>
      </c>
      <c r="F325" s="0" t="s">
        <v>3535</v>
      </c>
      <c r="G325" s="0" t="s">
        <v>4360</v>
      </c>
    </row>
    <row customHeight="1" ht="11.25">
      <c r="A326" s="373" t="s">
        <v>14</v>
      </c>
      <c r="B326" s="0" t="s">
        <v>4350</v>
      </c>
      <c r="C326" s="0" t="s">
        <v>4351</v>
      </c>
      <c r="D326" s="0" t="s">
        <v>4361</v>
      </c>
      <c r="E326" s="0" t="s">
        <v>4362</v>
      </c>
      <c r="F326" s="0" t="s">
        <v>3535</v>
      </c>
      <c r="G326" s="0" t="s">
        <v>4363</v>
      </c>
    </row>
    <row customHeight="1" ht="11.25">
      <c r="A327" s="373" t="s">
        <v>14</v>
      </c>
      <c r="B327" s="0" t="s">
        <v>4350</v>
      </c>
      <c r="C327" s="0" t="s">
        <v>4351</v>
      </c>
      <c r="D327" s="0" t="s">
        <v>4364</v>
      </c>
      <c r="E327" s="0" t="s">
        <v>4365</v>
      </c>
      <c r="F327" s="0" t="s">
        <v>3535</v>
      </c>
      <c r="G327" s="0" t="s">
        <v>4366</v>
      </c>
    </row>
    <row customHeight="1" ht="11.25">
      <c r="A328" s="373" t="s">
        <v>14</v>
      </c>
      <c r="B328" s="0" t="s">
        <v>4350</v>
      </c>
      <c r="C328" s="0" t="s">
        <v>4351</v>
      </c>
      <c r="D328" s="0" t="s">
        <v>4350</v>
      </c>
      <c r="E328" s="0" t="s">
        <v>4351</v>
      </c>
      <c r="F328" s="0" t="s">
        <v>3532</v>
      </c>
      <c r="G328" s="0" t="s">
        <v>4367</v>
      </c>
    </row>
    <row customHeight="1" ht="11.25">
      <c r="A329" s="373" t="s">
        <v>14</v>
      </c>
      <c r="B329" s="0" t="s">
        <v>4350</v>
      </c>
      <c r="C329" s="0" t="s">
        <v>4351</v>
      </c>
      <c r="D329" s="0" t="s">
        <v>4368</v>
      </c>
      <c r="E329" s="0" t="s">
        <v>4369</v>
      </c>
      <c r="F329" s="0" t="s">
        <v>3535</v>
      </c>
      <c r="G329" s="0" t="s">
        <v>4370</v>
      </c>
    </row>
    <row customHeight="1" ht="11.25">
      <c r="A330" s="373" t="s">
        <v>14</v>
      </c>
      <c r="B330" s="0" t="s">
        <v>172</v>
      </c>
      <c r="C330" s="0" t="s">
        <v>173</v>
      </c>
      <c r="D330" s="0" t="s">
        <v>172</v>
      </c>
      <c r="E330" s="0" t="s">
        <v>173</v>
      </c>
      <c r="F330" s="0" t="s">
        <v>3529</v>
      </c>
      <c r="G330" s="0" t="s">
        <v>171</v>
      </c>
    </row>
    <row customHeight="1" ht="11.25">
      <c r="A331" s="373" t="s">
        <v>14</v>
      </c>
      <c r="B331" s="0" t="s">
        <v>4371</v>
      </c>
      <c r="C331" s="0" t="s">
        <v>4372</v>
      </c>
      <c r="D331" s="0" t="s">
        <v>2014</v>
      </c>
      <c r="E331" s="0" t="s">
        <v>4373</v>
      </c>
      <c r="F331" s="0" t="s">
        <v>3535</v>
      </c>
      <c r="G331" s="0" t="s">
        <v>4374</v>
      </c>
    </row>
    <row customHeight="1" ht="11.25">
      <c r="A332" s="373" t="s">
        <v>14</v>
      </c>
      <c r="B332" s="0" t="s">
        <v>4371</v>
      </c>
      <c r="C332" s="0" t="s">
        <v>4372</v>
      </c>
      <c r="D332" s="0" t="s">
        <v>4375</v>
      </c>
      <c r="E332" s="0" t="s">
        <v>4376</v>
      </c>
      <c r="F332" s="0" t="s">
        <v>3535</v>
      </c>
      <c r="G332" s="0" t="s">
        <v>4377</v>
      </c>
    </row>
    <row customHeight="1" ht="11.25">
      <c r="A333" s="373" t="s">
        <v>14</v>
      </c>
      <c r="B333" s="0" t="s">
        <v>4371</v>
      </c>
      <c r="C333" s="0" t="s">
        <v>4372</v>
      </c>
      <c r="D333" s="0" t="s">
        <v>4378</v>
      </c>
      <c r="E333" s="0" t="s">
        <v>4379</v>
      </c>
      <c r="F333" s="0" t="s">
        <v>3535</v>
      </c>
      <c r="G333" s="0" t="s">
        <v>4380</v>
      </c>
    </row>
    <row customHeight="1" ht="11.25">
      <c r="A334" s="373" t="s">
        <v>14</v>
      </c>
      <c r="B334" s="0" t="s">
        <v>4371</v>
      </c>
      <c r="C334" s="0" t="s">
        <v>4372</v>
      </c>
      <c r="D334" s="0" t="s">
        <v>4381</v>
      </c>
      <c r="E334" s="0" t="s">
        <v>4382</v>
      </c>
      <c r="F334" s="0" t="s">
        <v>3535</v>
      </c>
      <c r="G334" s="0" t="s">
        <v>4383</v>
      </c>
    </row>
    <row customHeight="1" ht="11.25">
      <c r="A335" s="373" t="s">
        <v>14</v>
      </c>
      <c r="B335" s="0" t="s">
        <v>4371</v>
      </c>
      <c r="C335" s="0" t="s">
        <v>4372</v>
      </c>
      <c r="D335" s="0" t="s">
        <v>4384</v>
      </c>
      <c r="E335" s="0" t="s">
        <v>4385</v>
      </c>
      <c r="F335" s="0" t="s">
        <v>3535</v>
      </c>
      <c r="G335" s="0" t="s">
        <v>4386</v>
      </c>
    </row>
    <row customHeight="1" ht="11.25">
      <c r="A336" s="373" t="s">
        <v>14</v>
      </c>
      <c r="B336" s="0" t="s">
        <v>4371</v>
      </c>
      <c r="C336" s="0" t="s">
        <v>4372</v>
      </c>
      <c r="D336" s="0" t="s">
        <v>4387</v>
      </c>
      <c r="E336" s="0" t="s">
        <v>4388</v>
      </c>
      <c r="F336" s="0" t="s">
        <v>3535</v>
      </c>
      <c r="G336" s="0" t="s">
        <v>4389</v>
      </c>
    </row>
    <row customHeight="1" ht="11.25">
      <c r="A337" s="373" t="s">
        <v>14</v>
      </c>
      <c r="B337" s="0" t="s">
        <v>4371</v>
      </c>
      <c r="C337" s="0" t="s">
        <v>4372</v>
      </c>
      <c r="D337" s="0" t="s">
        <v>4390</v>
      </c>
      <c r="E337" s="0" t="s">
        <v>4391</v>
      </c>
      <c r="F337" s="0" t="s">
        <v>3535</v>
      </c>
      <c r="G337" s="0" t="s">
        <v>4392</v>
      </c>
    </row>
    <row customHeight="1" ht="11.25">
      <c r="A338" s="373" t="s">
        <v>14</v>
      </c>
      <c r="B338" s="0" t="s">
        <v>4371</v>
      </c>
      <c r="C338" s="0" t="s">
        <v>4372</v>
      </c>
      <c r="D338" s="0" t="s">
        <v>2028</v>
      </c>
      <c r="E338" s="0" t="s">
        <v>4393</v>
      </c>
      <c r="F338" s="0" t="s">
        <v>3535</v>
      </c>
      <c r="G338" s="0" t="s">
        <v>4394</v>
      </c>
    </row>
    <row customHeight="1" ht="11.25">
      <c r="A339" s="373" t="s">
        <v>14</v>
      </c>
      <c r="B339" s="0" t="s">
        <v>4371</v>
      </c>
      <c r="C339" s="0" t="s">
        <v>4372</v>
      </c>
      <c r="D339" s="0" t="s">
        <v>4395</v>
      </c>
      <c r="E339" s="0" t="s">
        <v>4396</v>
      </c>
      <c r="F339" s="0" t="s">
        <v>3535</v>
      </c>
      <c r="G339" s="0" t="s">
        <v>4397</v>
      </c>
    </row>
    <row customHeight="1" ht="11.25">
      <c r="A340" s="373" t="s">
        <v>14</v>
      </c>
      <c r="B340" s="0" t="s">
        <v>4371</v>
      </c>
      <c r="C340" s="0" t="s">
        <v>4372</v>
      </c>
      <c r="D340" s="0" t="s">
        <v>4398</v>
      </c>
      <c r="E340" s="0" t="s">
        <v>4399</v>
      </c>
      <c r="F340" s="0" t="s">
        <v>3535</v>
      </c>
      <c r="G340" s="0" t="s">
        <v>4400</v>
      </c>
    </row>
    <row customHeight="1" ht="11.25">
      <c r="A341" s="373" t="s">
        <v>14</v>
      </c>
      <c r="B341" s="0" t="s">
        <v>4371</v>
      </c>
      <c r="C341" s="0" t="s">
        <v>4372</v>
      </c>
      <c r="D341" s="0" t="s">
        <v>4401</v>
      </c>
      <c r="E341" s="0" t="s">
        <v>4402</v>
      </c>
      <c r="F341" s="0" t="s">
        <v>3535</v>
      </c>
      <c r="G341" s="0" t="s">
        <v>4403</v>
      </c>
    </row>
    <row customHeight="1" ht="11.25">
      <c r="A342" s="373" t="s">
        <v>14</v>
      </c>
      <c r="B342" s="0" t="s">
        <v>4371</v>
      </c>
      <c r="C342" s="0" t="s">
        <v>4372</v>
      </c>
      <c r="D342" s="0" t="s">
        <v>4371</v>
      </c>
      <c r="E342" s="0" t="s">
        <v>4372</v>
      </c>
      <c r="F342" s="0" t="s">
        <v>3532</v>
      </c>
      <c r="G342" s="0" t="s">
        <v>4404</v>
      </c>
    </row>
    <row customHeight="1" ht="11.25">
      <c r="A343" s="373" t="s">
        <v>14</v>
      </c>
      <c r="B343" s="0" t="s">
        <v>212</v>
      </c>
      <c r="C343" s="0" t="s">
        <v>213</v>
      </c>
      <c r="D343" s="0" t="s">
        <v>212</v>
      </c>
      <c r="E343" s="0" t="s">
        <v>213</v>
      </c>
      <c r="F343" s="0" t="s">
        <v>3529</v>
      </c>
      <c r="G343" s="0" t="s">
        <v>211</v>
      </c>
    </row>
    <row customHeight="1" ht="11.25">
      <c r="A344" s="373" t="s">
        <v>14</v>
      </c>
      <c r="B344" s="0" t="s">
        <v>4405</v>
      </c>
      <c r="C344" s="0" t="s">
        <v>4406</v>
      </c>
      <c r="D344" s="0" t="s">
        <v>4407</v>
      </c>
      <c r="E344" s="0" t="s">
        <v>4408</v>
      </c>
      <c r="F344" s="0" t="s">
        <v>3535</v>
      </c>
      <c r="G344" s="0" t="s">
        <v>4409</v>
      </c>
    </row>
    <row customHeight="1" ht="11.25">
      <c r="A345" s="373" t="s">
        <v>14</v>
      </c>
      <c r="B345" s="0" t="s">
        <v>4405</v>
      </c>
      <c r="C345" s="0" t="s">
        <v>4406</v>
      </c>
      <c r="D345" s="0" t="s">
        <v>4410</v>
      </c>
      <c r="E345" s="0" t="s">
        <v>4411</v>
      </c>
      <c r="F345" s="0" t="s">
        <v>3627</v>
      </c>
      <c r="G345" s="0" t="s">
        <v>4412</v>
      </c>
    </row>
    <row customHeight="1" ht="11.25">
      <c r="A346" s="373" t="s">
        <v>14</v>
      </c>
      <c r="B346" s="0" t="s">
        <v>4405</v>
      </c>
      <c r="C346" s="0" t="s">
        <v>4406</v>
      </c>
      <c r="D346" s="0" t="s">
        <v>4413</v>
      </c>
      <c r="E346" s="0" t="s">
        <v>4414</v>
      </c>
      <c r="F346" s="0" t="s">
        <v>3535</v>
      </c>
      <c r="G346" s="0" t="s">
        <v>4415</v>
      </c>
    </row>
    <row customHeight="1" ht="11.25">
      <c r="A347" s="373" t="s">
        <v>14</v>
      </c>
      <c r="B347" s="0" t="s">
        <v>4405</v>
      </c>
      <c r="C347" s="0" t="s">
        <v>4406</v>
      </c>
      <c r="D347" s="0" t="s">
        <v>4416</v>
      </c>
      <c r="E347" s="0" t="s">
        <v>4417</v>
      </c>
      <c r="F347" s="0" t="s">
        <v>3535</v>
      </c>
      <c r="G347" s="0" t="s">
        <v>4418</v>
      </c>
    </row>
    <row customHeight="1" ht="11.25">
      <c r="A348" s="373" t="s">
        <v>14</v>
      </c>
      <c r="B348" s="0" t="s">
        <v>4405</v>
      </c>
      <c r="C348" s="0" t="s">
        <v>4406</v>
      </c>
      <c r="D348" s="0" t="s">
        <v>3554</v>
      </c>
      <c r="E348" s="0" t="s">
        <v>4419</v>
      </c>
      <c r="F348" s="0" t="s">
        <v>3535</v>
      </c>
      <c r="G348" s="0" t="s">
        <v>4420</v>
      </c>
    </row>
    <row customHeight="1" ht="11.25">
      <c r="A349" s="373" t="s">
        <v>14</v>
      </c>
      <c r="B349" s="0" t="s">
        <v>4405</v>
      </c>
      <c r="C349" s="0" t="s">
        <v>4406</v>
      </c>
      <c r="D349" s="0" t="s">
        <v>4421</v>
      </c>
      <c r="E349" s="0" t="s">
        <v>4422</v>
      </c>
      <c r="F349" s="0" t="s">
        <v>3535</v>
      </c>
      <c r="G349" s="0" t="s">
        <v>4423</v>
      </c>
    </row>
    <row customHeight="1" ht="11.25">
      <c r="A350" s="373" t="s">
        <v>14</v>
      </c>
      <c r="B350" s="0" t="s">
        <v>4405</v>
      </c>
      <c r="C350" s="0" t="s">
        <v>4406</v>
      </c>
      <c r="D350" s="0" t="s">
        <v>4424</v>
      </c>
      <c r="E350" s="0" t="s">
        <v>4425</v>
      </c>
      <c r="F350" s="0" t="s">
        <v>3535</v>
      </c>
      <c r="G350" s="0" t="s">
        <v>4426</v>
      </c>
    </row>
    <row customHeight="1" ht="11.25">
      <c r="A351" s="373" t="s">
        <v>14</v>
      </c>
      <c r="B351" s="0" t="s">
        <v>4405</v>
      </c>
      <c r="C351" s="0" t="s">
        <v>4406</v>
      </c>
      <c r="D351" s="0" t="s">
        <v>4427</v>
      </c>
      <c r="E351" s="0" t="s">
        <v>4428</v>
      </c>
      <c r="F351" s="0" t="s">
        <v>3535</v>
      </c>
      <c r="G351" s="0" t="s">
        <v>4429</v>
      </c>
    </row>
    <row customHeight="1" ht="11.25">
      <c r="A352" s="373" t="s">
        <v>14</v>
      </c>
      <c r="B352" s="0" t="s">
        <v>4405</v>
      </c>
      <c r="C352" s="0" t="s">
        <v>4406</v>
      </c>
      <c r="D352" s="0" t="s">
        <v>4430</v>
      </c>
      <c r="E352" s="0" t="s">
        <v>4431</v>
      </c>
      <c r="F352" s="0" t="s">
        <v>3535</v>
      </c>
      <c r="G352" s="0" t="s">
        <v>4432</v>
      </c>
    </row>
    <row customHeight="1" ht="11.25">
      <c r="A353" s="373" t="s">
        <v>14</v>
      </c>
      <c r="B353" s="0" t="s">
        <v>4405</v>
      </c>
      <c r="C353" s="0" t="s">
        <v>4406</v>
      </c>
      <c r="D353" s="0" t="s">
        <v>4433</v>
      </c>
      <c r="E353" s="0" t="s">
        <v>4434</v>
      </c>
      <c r="F353" s="0" t="s">
        <v>3535</v>
      </c>
      <c r="G353" s="0" t="s">
        <v>4435</v>
      </c>
    </row>
    <row customHeight="1" ht="11.25">
      <c r="A354" s="373" t="s">
        <v>14</v>
      </c>
      <c r="B354" s="0" t="s">
        <v>4405</v>
      </c>
      <c r="C354" s="0" t="s">
        <v>4406</v>
      </c>
      <c r="D354" s="0" t="s">
        <v>4436</v>
      </c>
      <c r="E354" s="0" t="s">
        <v>4437</v>
      </c>
      <c r="F354" s="0" t="s">
        <v>3535</v>
      </c>
      <c r="G354" s="0" t="s">
        <v>4438</v>
      </c>
    </row>
    <row customHeight="1" ht="11.25">
      <c r="A355" s="373" t="s">
        <v>14</v>
      </c>
      <c r="B355" s="0" t="s">
        <v>4405</v>
      </c>
      <c r="C355" s="0" t="s">
        <v>4406</v>
      </c>
      <c r="D355" s="0" t="s">
        <v>4439</v>
      </c>
      <c r="E355" s="0" t="s">
        <v>4440</v>
      </c>
      <c r="F355" s="0" t="s">
        <v>3535</v>
      </c>
      <c r="G355" s="0" t="s">
        <v>4441</v>
      </c>
    </row>
    <row customHeight="1" ht="11.25">
      <c r="A356" s="373" t="s">
        <v>14</v>
      </c>
      <c r="B356" s="0" t="s">
        <v>4405</v>
      </c>
      <c r="C356" s="0" t="s">
        <v>4406</v>
      </c>
      <c r="D356" s="0" t="s">
        <v>4405</v>
      </c>
      <c r="E356" s="0" t="s">
        <v>4406</v>
      </c>
      <c r="F356" s="0" t="s">
        <v>3532</v>
      </c>
      <c r="G356"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1B057-F089-7147-906F-9C5C48EEFEE7}"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5075" width="9.140625"/>
  </cols>
  <sheetData>
    <row customHeight="1" ht="11.25">
      <c r="A1" s="845" t="s">
        <v>4443</v>
      </c>
      <c r="B1" s="845" t="s">
        <v>4444</v>
      </c>
      <c r="C1" s="845" t="s">
        <v>4445</v>
      </c>
      <c r="D1" s="845" t="s">
        <v>4446</v>
      </c>
    </row>
    <row customHeight="1" ht="11.25">
      <c r="A2" s="5076" t="s">
        <v>159</v>
      </c>
      <c r="B2" s="5076" t="s">
        <v>4447</v>
      </c>
      <c r="C2" s="5076" t="s">
        <v>4448</v>
      </c>
      <c r="D2" s="5076" t="s">
        <v>4449</v>
      </c>
    </row>
    <row customHeight="1" ht="11.25">
      <c r="A3" s="5076" t="s">
        <v>102</v>
      </c>
      <c r="B3" s="5076" t="s">
        <v>4450</v>
      </c>
      <c r="C3" s="5076" t="s">
        <v>4448</v>
      </c>
      <c r="D3" s="5076" t="s">
        <v>4449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9F33B-CEEF-1768-927D-BA584BF980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01234-02F9-4B99-21E4-444AB7EBBE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77" width="9.140625"/>
  </cols>
  <sheetData>
    <row customHeight="1" ht="11.25">
      <c r="A1" s="169" t="s">
        <v>239</v>
      </c>
      <c r="B1" s="169" t="s">
        <v>4451</v>
      </c>
    </row>
    <row customHeight="1" ht="11.25">
      <c r="A2" s="5078" t="s">
        <v>98</v>
      </c>
      <c r="B2" s="5078"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C8DB-5302-EDCD-EF0E-AE50A493E9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75" width="9.140625"/>
    <col min="2" max="2" style="5075" width="65.28125" customWidth="1"/>
  </cols>
  <sheetData>
    <row customHeight="1" ht="11.25">
      <c r="A1" s="845" t="s">
        <v>4453</v>
      </c>
      <c r="B1" s="845" t="s">
        <v>4454</v>
      </c>
    </row>
    <row customHeight="1" ht="11.25">
      <c r="A2" s="845">
        <v>4213775</v>
      </c>
      <c r="B2" s="845" t="s">
        <v>710</v>
      </c>
    </row>
    <row customHeight="1" ht="11.25">
      <c r="A3" s="845">
        <v>4213784</v>
      </c>
      <c r="B3" s="845" t="s">
        <v>746</v>
      </c>
    </row>
    <row customHeight="1" ht="11.25">
      <c r="A4" s="845">
        <v>4213781</v>
      </c>
      <c r="B4" s="845" t="s">
        <v>739</v>
      </c>
    </row>
    <row customHeight="1" ht="11.25">
      <c r="A5" s="845">
        <v>4213776</v>
      </c>
      <c r="B5" s="845" t="s">
        <v>269</v>
      </c>
    </row>
    <row customHeight="1" ht="11.25">
      <c r="A6" s="845">
        <v>4213777</v>
      </c>
      <c r="B6" s="845" t="s">
        <v>275</v>
      </c>
    </row>
    <row customHeight="1" ht="11.25">
      <c r="A7" s="845">
        <v>4213778</v>
      </c>
      <c r="B7" s="845" t="s">
        <v>281</v>
      </c>
    </row>
    <row customHeight="1" ht="11.25">
      <c r="A8" s="845">
        <v>4213780</v>
      </c>
      <c r="B8" s="845" t="s">
        <v>287</v>
      </c>
    </row>
    <row customHeight="1" ht="11.25">
      <c r="A9" s="845">
        <v>4213779</v>
      </c>
      <c r="B9" s="845" t="s">
        <v>878</v>
      </c>
    </row>
    <row customHeight="1" ht="11.25">
      <c r="A10" s="845">
        <v>4213783</v>
      </c>
      <c r="B10" s="845" t="s">
        <v>893</v>
      </c>
    </row>
    <row customHeight="1" ht="11.25">
      <c r="A11" s="845">
        <v>4213782</v>
      </c>
      <c r="B11" s="845" t="s">
        <v>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5C203-8FD6-9F93-F4DD-244E651DA08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75" width="9.140625"/>
    <col min="2" max="2" style="5075" width="65.28125" customWidth="1"/>
  </cols>
  <sheetData>
    <row customHeight="1" ht="11.25">
      <c r="A1" s="845" t="s">
        <v>4453</v>
      </c>
      <c r="B1" s="845" t="s">
        <v>4455</v>
      </c>
    </row>
    <row customHeight="1" ht="11.25">
      <c r="A2" s="845" t="s">
        <v>4456</v>
      </c>
      <c r="B2" s="845" t="s">
        <v>988</v>
      </c>
    </row>
    <row customHeight="1" ht="11.25">
      <c r="A3" s="845" t="s">
        <v>4457</v>
      </c>
      <c r="B3" s="845" t="s">
        <v>997</v>
      </c>
    </row>
    <row customHeight="1" ht="11.25">
      <c r="A4" s="845" t="s">
        <v>4458</v>
      </c>
      <c r="B4" s="845" t="s">
        <v>1005</v>
      </c>
    </row>
    <row customHeight="1" ht="11.25">
      <c r="A5" s="845" t="s">
        <v>4459</v>
      </c>
      <c r="B5" s="845" t="s">
        <v>1014</v>
      </c>
    </row>
    <row customHeight="1" ht="11.25">
      <c r="A6" s="845" t="s">
        <v>4460</v>
      </c>
      <c r="B6" s="845" t="s">
        <v>1019</v>
      </c>
    </row>
    <row customHeight="1" ht="11.25">
      <c r="A7" s="845" t="s">
        <v>4461</v>
      </c>
      <c r="B7" s="845" t="s">
        <v>1026</v>
      </c>
    </row>
    <row customHeight="1" ht="11.25">
      <c r="A8" s="845" t="s">
        <v>226</v>
      </c>
      <c r="B8" s="845" t="s">
        <v>1032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EB6F1-2D17-3D8D-797F-F90B177A4F55}" mc:Ignorable="x14ac xr xr2 xr3">
  <sheetPr>
    <tabColor rgb="FFFFCC99"/>
  </sheetPr>
  <dimension ref="A1:G327"/>
  <sheetViews>
    <sheetView topLeftCell="A1" showGridLines="0" workbookViewId="0">
      <selection activeCell="A1" sqref="A1"/>
    </sheetView>
  </sheetViews>
  <sheetFormatPr customHeight="1" defaultRowHeight="11.25"/>
  <sheetData>
    <row customHeight="1" ht="11.25">
      <c r="A1" s="373" t="s">
        <v>3522</v>
      </c>
      <c r="B1" s="373" t="s">
        <v>3523</v>
      </c>
      <c r="C1" s="373" t="s">
        <v>3524</v>
      </c>
      <c r="D1" s="373" t="s">
        <v>3525</v>
      </c>
      <c r="E1" s="0" t="s">
        <v>3526</v>
      </c>
      <c r="F1" s="0" t="s">
        <v>3527</v>
      </c>
      <c r="G1" s="0" t="s">
        <v>3528</v>
      </c>
    </row>
    <row customHeight="1" ht="11.25">
      <c r="A2" s="0" t="s">
        <v>14</v>
      </c>
      <c r="B2" s="0" t="s">
        <v>3530</v>
      </c>
      <c r="C2" s="0" t="s">
        <v>3531</v>
      </c>
      <c r="D2" s="0" t="s">
        <v>3530</v>
      </c>
      <c r="E2" s="0" t="s">
        <v>3531</v>
      </c>
      <c r="F2" s="0" t="s">
        <v>3532</v>
      </c>
      <c r="G2" s="0" t="s">
        <v>102</v>
      </c>
    </row>
    <row customHeight="1" ht="11.25">
      <c r="A3" s="0" t="s">
        <v>14</v>
      </c>
      <c r="B3" s="0" t="s">
        <v>3530</v>
      </c>
      <c r="C3" s="0" t="s">
        <v>3531</v>
      </c>
      <c r="D3" s="0" t="s">
        <v>3533</v>
      </c>
      <c r="E3" s="0" t="s">
        <v>3534</v>
      </c>
      <c r="F3" s="0" t="s">
        <v>3535</v>
      </c>
      <c r="G3" s="0" t="s">
        <v>90</v>
      </c>
    </row>
    <row customHeight="1" ht="11.25">
      <c r="A4" s="0" t="s">
        <v>14</v>
      </c>
      <c r="B4" s="0" t="s">
        <v>3530</v>
      </c>
      <c r="C4" s="0" t="s">
        <v>3531</v>
      </c>
      <c r="D4" s="0" t="s">
        <v>3536</v>
      </c>
      <c r="E4" s="0" t="s">
        <v>3537</v>
      </c>
      <c r="F4" s="0" t="s">
        <v>3535</v>
      </c>
      <c r="G4" s="0" t="s">
        <v>91</v>
      </c>
    </row>
    <row customHeight="1" ht="11.25">
      <c r="A5" s="0" t="s">
        <v>14</v>
      </c>
      <c r="B5" s="0" t="s">
        <v>3530</v>
      </c>
      <c r="C5" s="0" t="s">
        <v>3531</v>
      </c>
      <c r="D5" s="0" t="s">
        <v>3538</v>
      </c>
      <c r="E5" s="0" t="s">
        <v>3539</v>
      </c>
      <c r="F5" s="0" t="s">
        <v>3535</v>
      </c>
      <c r="G5" s="0" t="s">
        <v>113</v>
      </c>
    </row>
    <row customHeight="1" ht="11.25">
      <c r="A6" s="0" t="s">
        <v>14</v>
      </c>
      <c r="B6" s="0" t="s">
        <v>3530</v>
      </c>
      <c r="C6" s="0" t="s">
        <v>3531</v>
      </c>
      <c r="D6" s="0" t="s">
        <v>3540</v>
      </c>
      <c r="E6" s="0" t="s">
        <v>3541</v>
      </c>
      <c r="F6" s="0" t="s">
        <v>3535</v>
      </c>
      <c r="G6" s="0" t="s">
        <v>92</v>
      </c>
    </row>
    <row customHeight="1" ht="11.25">
      <c r="A7" s="0" t="s">
        <v>14</v>
      </c>
      <c r="B7" s="0" t="s">
        <v>3530</v>
      </c>
      <c r="C7" s="0" t="s">
        <v>3531</v>
      </c>
      <c r="D7" s="0" t="s">
        <v>3542</v>
      </c>
      <c r="E7" s="0" t="s">
        <v>3543</v>
      </c>
      <c r="F7" s="0" t="s">
        <v>3535</v>
      </c>
      <c r="G7" s="0" t="s">
        <v>93</v>
      </c>
    </row>
    <row customHeight="1" ht="11.25">
      <c r="A8" s="0" t="s">
        <v>14</v>
      </c>
      <c r="B8" s="0" t="s">
        <v>3530</v>
      </c>
      <c r="C8" s="0" t="s">
        <v>3531</v>
      </c>
      <c r="D8" s="0" t="s">
        <v>3544</v>
      </c>
      <c r="E8" s="0" t="s">
        <v>3545</v>
      </c>
      <c r="F8" s="0" t="s">
        <v>3535</v>
      </c>
      <c r="G8" s="0" t="s">
        <v>123</v>
      </c>
    </row>
    <row customHeight="1" ht="11.25">
      <c r="A9" s="0" t="s">
        <v>14</v>
      </c>
      <c r="B9" s="0" t="s">
        <v>3530</v>
      </c>
      <c r="C9" s="0" t="s">
        <v>3531</v>
      </c>
      <c r="D9" s="0" t="s">
        <v>3546</v>
      </c>
      <c r="E9" s="0" t="s">
        <v>3547</v>
      </c>
      <c r="F9" s="0" t="s">
        <v>3535</v>
      </c>
      <c r="G9" s="0" t="s">
        <v>127</v>
      </c>
    </row>
    <row customHeight="1" ht="11.25">
      <c r="A10" s="0" t="s">
        <v>14</v>
      </c>
      <c r="B10" s="0" t="s">
        <v>3530</v>
      </c>
      <c r="C10" s="0" t="s">
        <v>3531</v>
      </c>
      <c r="D10" s="0" t="s">
        <v>3548</v>
      </c>
      <c r="E10" s="0" t="s">
        <v>3549</v>
      </c>
      <c r="F10" s="0" t="s">
        <v>3535</v>
      </c>
      <c r="G10" s="0" t="s">
        <v>131</v>
      </c>
    </row>
    <row customHeight="1" ht="11.25">
      <c r="A11" s="0" t="s">
        <v>14</v>
      </c>
      <c r="B11" s="0" t="s">
        <v>3550</v>
      </c>
      <c r="C11" s="0" t="s">
        <v>3551</v>
      </c>
      <c r="D11" s="0" t="s">
        <v>3550</v>
      </c>
      <c r="E11" s="0" t="s">
        <v>3551</v>
      </c>
      <c r="F11" s="0" t="s">
        <v>3532</v>
      </c>
      <c r="G11" s="0" t="s">
        <v>139</v>
      </c>
    </row>
    <row customHeight="1" ht="11.25">
      <c r="A12" s="0" t="s">
        <v>14</v>
      </c>
      <c r="B12" s="0" t="s">
        <v>3550</v>
      </c>
      <c r="C12" s="0" t="s">
        <v>3551</v>
      </c>
      <c r="D12" s="0" t="s">
        <v>3552</v>
      </c>
      <c r="E12" s="0" t="s">
        <v>3553</v>
      </c>
      <c r="F12" s="0" t="s">
        <v>3535</v>
      </c>
      <c r="G12" s="0" t="s">
        <v>142</v>
      </c>
    </row>
    <row customHeight="1" ht="11.25">
      <c r="A13" s="0" t="s">
        <v>14</v>
      </c>
      <c r="B13" s="0" t="s">
        <v>3550</v>
      </c>
      <c r="C13" s="0" t="s">
        <v>3551</v>
      </c>
      <c r="D13" s="0" t="s">
        <v>3554</v>
      </c>
      <c r="E13" s="0" t="s">
        <v>3555</v>
      </c>
      <c r="F13" s="0" t="s">
        <v>3535</v>
      </c>
      <c r="G13" s="0" t="s">
        <v>146</v>
      </c>
    </row>
    <row customHeight="1" ht="11.25">
      <c r="A14" s="0" t="s">
        <v>14</v>
      </c>
      <c r="B14" s="0" t="s">
        <v>3550</v>
      </c>
      <c r="C14" s="0" t="s">
        <v>3551</v>
      </c>
      <c r="D14" s="0" t="s">
        <v>3556</v>
      </c>
      <c r="E14" s="0" t="s">
        <v>3557</v>
      </c>
      <c r="F14" s="0" t="s">
        <v>3535</v>
      </c>
      <c r="G14" s="0" t="s">
        <v>150</v>
      </c>
    </row>
    <row customHeight="1" ht="11.25">
      <c r="A15" s="0" t="s">
        <v>14</v>
      </c>
      <c r="B15" s="0" t="s">
        <v>3550</v>
      </c>
      <c r="C15" s="0" t="s">
        <v>3551</v>
      </c>
      <c r="D15" s="0" t="s">
        <v>3558</v>
      </c>
      <c r="E15" s="0" t="s">
        <v>3559</v>
      </c>
      <c r="F15" s="0" t="s">
        <v>3535</v>
      </c>
      <c r="G15" s="0" t="s">
        <v>154</v>
      </c>
    </row>
    <row customHeight="1" ht="11.25">
      <c r="A16" s="0" t="s">
        <v>14</v>
      </c>
      <c r="B16" s="0" t="s">
        <v>3550</v>
      </c>
      <c r="C16" s="0" t="s">
        <v>3551</v>
      </c>
      <c r="D16" s="0" t="s">
        <v>3560</v>
      </c>
      <c r="E16" s="0" t="s">
        <v>3561</v>
      </c>
      <c r="F16" s="0" t="s">
        <v>3535</v>
      </c>
      <c r="G16" s="0" t="s">
        <v>158</v>
      </c>
    </row>
    <row customHeight="1" ht="11.25">
      <c r="A17" s="0" t="s">
        <v>14</v>
      </c>
      <c r="B17" s="0" t="s">
        <v>3550</v>
      </c>
      <c r="C17" s="0" t="s">
        <v>3551</v>
      </c>
      <c r="D17" s="0" t="s">
        <v>3562</v>
      </c>
      <c r="E17" s="0" t="s">
        <v>3563</v>
      </c>
      <c r="F17" s="0" t="s">
        <v>3535</v>
      </c>
      <c r="G17" s="0" t="s">
        <v>162</v>
      </c>
    </row>
    <row customHeight="1" ht="11.25">
      <c r="A18" s="0" t="s">
        <v>14</v>
      </c>
      <c r="B18" s="0" t="s">
        <v>3550</v>
      </c>
      <c r="C18" s="0" t="s">
        <v>3551</v>
      </c>
      <c r="D18" s="0" t="s">
        <v>3564</v>
      </c>
      <c r="E18" s="0" t="s">
        <v>3565</v>
      </c>
      <c r="F18" s="0" t="s">
        <v>3535</v>
      </c>
      <c r="G18" s="0" t="s">
        <v>166</v>
      </c>
    </row>
    <row customHeight="1" ht="11.25">
      <c r="A19" s="0" t="s">
        <v>14</v>
      </c>
      <c r="B19" s="0" t="s">
        <v>3550</v>
      </c>
      <c r="C19" s="0" t="s">
        <v>3551</v>
      </c>
      <c r="D19" s="0" t="s">
        <v>3566</v>
      </c>
      <c r="E19" s="0" t="s">
        <v>3567</v>
      </c>
      <c r="F19" s="0" t="s">
        <v>3535</v>
      </c>
      <c r="G19" s="0" t="s">
        <v>170</v>
      </c>
    </row>
    <row customHeight="1" ht="11.25">
      <c r="A20" s="0" t="s">
        <v>14</v>
      </c>
      <c r="B20" s="0" t="s">
        <v>3550</v>
      </c>
      <c r="C20" s="0" t="s">
        <v>3551</v>
      </c>
      <c r="D20" s="0" t="s">
        <v>3568</v>
      </c>
      <c r="E20" s="0" t="s">
        <v>3569</v>
      </c>
      <c r="F20" s="0" t="s">
        <v>3535</v>
      </c>
      <c r="G20" s="0" t="s">
        <v>174</v>
      </c>
    </row>
    <row customHeight="1" ht="11.25">
      <c r="A21" s="0" t="s">
        <v>14</v>
      </c>
      <c r="B21" s="0" t="s">
        <v>3550</v>
      </c>
      <c r="C21" s="0" t="s">
        <v>3551</v>
      </c>
      <c r="D21" s="0" t="s">
        <v>3570</v>
      </c>
      <c r="E21" s="0" t="s">
        <v>3571</v>
      </c>
      <c r="F21" s="0" t="s">
        <v>3535</v>
      </c>
      <c r="G21" s="0" t="s">
        <v>178</v>
      </c>
    </row>
    <row customHeight="1" ht="11.25">
      <c r="A22" s="0" t="s">
        <v>14</v>
      </c>
      <c r="B22" s="0" t="s">
        <v>3550</v>
      </c>
      <c r="C22" s="0" t="s">
        <v>3551</v>
      </c>
      <c r="D22" s="0" t="s">
        <v>3572</v>
      </c>
      <c r="E22" s="0" t="s">
        <v>3573</v>
      </c>
      <c r="F22" s="0" t="s">
        <v>3535</v>
      </c>
      <c r="G22" s="0" t="s">
        <v>182</v>
      </c>
    </row>
    <row customHeight="1" ht="11.25">
      <c r="A23" s="0" t="s">
        <v>14</v>
      </c>
      <c r="B23" s="0" t="s">
        <v>3574</v>
      </c>
      <c r="C23" s="0" t="s">
        <v>3575</v>
      </c>
      <c r="D23" s="0" t="s">
        <v>3576</v>
      </c>
      <c r="E23" s="0" t="s">
        <v>3577</v>
      </c>
      <c r="F23" s="0" t="s">
        <v>3535</v>
      </c>
      <c r="G23" s="0" t="s">
        <v>189</v>
      </c>
    </row>
    <row customHeight="1" ht="11.25">
      <c r="A24" s="0" t="s">
        <v>14</v>
      </c>
      <c r="B24" s="0" t="s">
        <v>3574</v>
      </c>
      <c r="C24" s="0" t="s">
        <v>3575</v>
      </c>
      <c r="D24" s="0" t="s">
        <v>3574</v>
      </c>
      <c r="E24" s="0" t="s">
        <v>3575</v>
      </c>
      <c r="F24" s="0" t="s">
        <v>3532</v>
      </c>
      <c r="G24" s="0" t="s">
        <v>193</v>
      </c>
    </row>
    <row customHeight="1" ht="11.25">
      <c r="A25" s="0" t="s">
        <v>14</v>
      </c>
      <c r="B25" s="0" t="s">
        <v>3574</v>
      </c>
      <c r="C25" s="0" t="s">
        <v>3575</v>
      </c>
      <c r="D25" s="0" t="s">
        <v>3578</v>
      </c>
      <c r="E25" s="0" t="s">
        <v>3579</v>
      </c>
      <c r="F25" s="0" t="s">
        <v>3535</v>
      </c>
      <c r="G25" s="0" t="s">
        <v>197</v>
      </c>
    </row>
    <row customHeight="1" ht="11.25">
      <c r="A26" s="0" t="s">
        <v>14</v>
      </c>
      <c r="B26" s="0" t="s">
        <v>3574</v>
      </c>
      <c r="C26" s="0" t="s">
        <v>3575</v>
      </c>
      <c r="D26" s="0" t="s">
        <v>3580</v>
      </c>
      <c r="E26" s="0" t="s">
        <v>3581</v>
      </c>
      <c r="F26" s="0" t="s">
        <v>3535</v>
      </c>
      <c r="G26" s="0" t="s">
        <v>201</v>
      </c>
    </row>
    <row customHeight="1" ht="11.25">
      <c r="A27" s="0" t="s">
        <v>14</v>
      </c>
      <c r="B27" s="0" t="s">
        <v>3574</v>
      </c>
      <c r="C27" s="0" t="s">
        <v>3575</v>
      </c>
      <c r="D27" s="0" t="s">
        <v>3582</v>
      </c>
      <c r="E27" s="0" t="s">
        <v>3583</v>
      </c>
      <c r="F27" s="0" t="s">
        <v>3535</v>
      </c>
      <c r="G27" s="0" t="s">
        <v>205</v>
      </c>
    </row>
    <row customHeight="1" ht="11.25">
      <c r="A28" s="0" t="s">
        <v>14</v>
      </c>
      <c r="B28" s="0" t="s">
        <v>3574</v>
      </c>
      <c r="C28" s="0" t="s">
        <v>3575</v>
      </c>
      <c r="D28" s="0" t="s">
        <v>3584</v>
      </c>
      <c r="E28" s="0" t="s">
        <v>3585</v>
      </c>
      <c r="F28" s="0" t="s">
        <v>3535</v>
      </c>
      <c r="G28" s="0" t="s">
        <v>210</v>
      </c>
    </row>
    <row customHeight="1" ht="11.25">
      <c r="A29" s="0" t="s">
        <v>14</v>
      </c>
      <c r="B29" s="0" t="s">
        <v>3574</v>
      </c>
      <c r="C29" s="0" t="s">
        <v>3575</v>
      </c>
      <c r="D29" s="0" t="s">
        <v>3586</v>
      </c>
      <c r="E29" s="0" t="s">
        <v>3587</v>
      </c>
      <c r="F29" s="0" t="s">
        <v>3535</v>
      </c>
      <c r="G29" s="0" t="s">
        <v>1058</v>
      </c>
    </row>
    <row customHeight="1" ht="11.25">
      <c r="A30" s="0" t="s">
        <v>14</v>
      </c>
      <c r="B30" s="0" t="s">
        <v>3574</v>
      </c>
      <c r="C30" s="0" t="s">
        <v>3575</v>
      </c>
      <c r="D30" s="0" t="s">
        <v>3588</v>
      </c>
      <c r="E30" s="0" t="s">
        <v>3589</v>
      </c>
      <c r="F30" s="0" t="s">
        <v>3535</v>
      </c>
      <c r="G30" s="0" t="s">
        <v>1060</v>
      </c>
    </row>
    <row customHeight="1" ht="11.25">
      <c r="A31" s="0" t="s">
        <v>14</v>
      </c>
      <c r="B31" s="0" t="s">
        <v>3574</v>
      </c>
      <c r="C31" s="0" t="s">
        <v>3575</v>
      </c>
      <c r="D31" s="0" t="s">
        <v>3590</v>
      </c>
      <c r="E31" s="0" t="s">
        <v>3591</v>
      </c>
      <c r="F31" s="0" t="s">
        <v>3535</v>
      </c>
      <c r="G31" s="0" t="s">
        <v>1062</v>
      </c>
    </row>
    <row customHeight="1" ht="11.25">
      <c r="A32" s="0" t="s">
        <v>14</v>
      </c>
      <c r="B32" s="0" t="s">
        <v>3574</v>
      </c>
      <c r="C32" s="0" t="s">
        <v>3575</v>
      </c>
      <c r="D32" s="0" t="s">
        <v>3592</v>
      </c>
      <c r="E32" s="0" t="s">
        <v>3593</v>
      </c>
      <c r="F32" s="0" t="s">
        <v>3535</v>
      </c>
      <c r="G32" s="0" t="s">
        <v>1068</v>
      </c>
    </row>
    <row customHeight="1" ht="11.25">
      <c r="A33" s="0" t="s">
        <v>14</v>
      </c>
      <c r="B33" s="0" t="s">
        <v>3574</v>
      </c>
      <c r="C33" s="0" t="s">
        <v>3575</v>
      </c>
      <c r="D33" s="0" t="s">
        <v>3594</v>
      </c>
      <c r="E33" s="0" t="s">
        <v>3595</v>
      </c>
      <c r="F33" s="0" t="s">
        <v>3535</v>
      </c>
      <c r="G33" s="0" t="s">
        <v>1073</v>
      </c>
    </row>
    <row customHeight="1" ht="11.25">
      <c r="A34" s="0" t="s">
        <v>14</v>
      </c>
      <c r="B34" s="0" t="s">
        <v>3574</v>
      </c>
      <c r="C34" s="0" t="s">
        <v>3575</v>
      </c>
      <c r="D34" s="0" t="s">
        <v>3596</v>
      </c>
      <c r="E34" s="0" t="s">
        <v>3597</v>
      </c>
      <c r="F34" s="0" t="s">
        <v>3535</v>
      </c>
      <c r="G34" s="0" t="s">
        <v>1077</v>
      </c>
    </row>
    <row customHeight="1" ht="11.25">
      <c r="A35" s="0" t="s">
        <v>14</v>
      </c>
      <c r="B35" s="0" t="s">
        <v>3598</v>
      </c>
      <c r="C35" s="0" t="s">
        <v>3599</v>
      </c>
      <c r="D35" s="0" t="s">
        <v>3598</v>
      </c>
      <c r="E35" s="0" t="s">
        <v>3599</v>
      </c>
      <c r="F35" s="0" t="s">
        <v>3532</v>
      </c>
      <c r="G35" s="0" t="s">
        <v>1091</v>
      </c>
    </row>
    <row customHeight="1" ht="11.25">
      <c r="A36" s="0" t="s">
        <v>14</v>
      </c>
      <c r="B36" s="0" t="s">
        <v>3598</v>
      </c>
      <c r="C36" s="0" t="s">
        <v>3599</v>
      </c>
      <c r="D36" s="0" t="s">
        <v>3600</v>
      </c>
      <c r="E36" s="0" t="s">
        <v>3601</v>
      </c>
      <c r="F36" s="0" t="s">
        <v>3535</v>
      </c>
      <c r="G36" s="0" t="s">
        <v>1098</v>
      </c>
    </row>
    <row customHeight="1" ht="11.25">
      <c r="A37" s="0" t="s">
        <v>14</v>
      </c>
      <c r="B37" s="0" t="s">
        <v>3598</v>
      </c>
      <c r="C37" s="0" t="s">
        <v>3599</v>
      </c>
      <c r="D37" s="0" t="s">
        <v>3602</v>
      </c>
      <c r="E37" s="0" t="s">
        <v>3603</v>
      </c>
      <c r="F37" s="0" t="s">
        <v>3535</v>
      </c>
      <c r="G37" s="0" t="s">
        <v>1104</v>
      </c>
    </row>
    <row customHeight="1" ht="11.25">
      <c r="A38" s="0" t="s">
        <v>14</v>
      </c>
      <c r="B38" s="0" t="s">
        <v>3598</v>
      </c>
      <c r="C38" s="0" t="s">
        <v>3599</v>
      </c>
      <c r="D38" s="0" t="s">
        <v>3604</v>
      </c>
      <c r="E38" s="0" t="s">
        <v>3605</v>
      </c>
      <c r="F38" s="0" t="s">
        <v>3535</v>
      </c>
      <c r="G38" s="0" t="s">
        <v>1109</v>
      </c>
    </row>
    <row customHeight="1" ht="11.25">
      <c r="A39" s="0" t="s">
        <v>14</v>
      </c>
      <c r="B39" s="0" t="s">
        <v>3598</v>
      </c>
      <c r="C39" s="0" t="s">
        <v>3599</v>
      </c>
      <c r="D39" s="0" t="s">
        <v>3606</v>
      </c>
      <c r="E39" s="0" t="s">
        <v>3607</v>
      </c>
      <c r="F39" s="0" t="s">
        <v>3535</v>
      </c>
      <c r="G39" s="0" t="s">
        <v>1116</v>
      </c>
    </row>
    <row customHeight="1" ht="11.25">
      <c r="A40" s="0" t="s">
        <v>14</v>
      </c>
      <c r="B40" s="0" t="s">
        <v>3598</v>
      </c>
      <c r="C40" s="0" t="s">
        <v>3599</v>
      </c>
      <c r="D40" s="0" t="s">
        <v>3608</v>
      </c>
      <c r="E40" s="0" t="s">
        <v>3609</v>
      </c>
      <c r="F40" s="0" t="s">
        <v>3535</v>
      </c>
      <c r="G40" s="0" t="s">
        <v>1125</v>
      </c>
    </row>
    <row customHeight="1" ht="11.25">
      <c r="A41" s="0" t="s">
        <v>14</v>
      </c>
      <c r="B41" s="0" t="s">
        <v>3598</v>
      </c>
      <c r="C41" s="0" t="s">
        <v>3599</v>
      </c>
      <c r="D41" s="0" t="s">
        <v>3610</v>
      </c>
      <c r="E41" s="0" t="s">
        <v>3611</v>
      </c>
      <c r="F41" s="0" t="s">
        <v>3535</v>
      </c>
      <c r="G41" s="0" t="s">
        <v>1131</v>
      </c>
    </row>
    <row customHeight="1" ht="11.25">
      <c r="A42" s="0" t="s">
        <v>14</v>
      </c>
      <c r="B42" s="0" t="s">
        <v>3598</v>
      </c>
      <c r="C42" s="0" t="s">
        <v>3599</v>
      </c>
      <c r="D42" s="0" t="s">
        <v>3612</v>
      </c>
      <c r="E42" s="0" t="s">
        <v>3613</v>
      </c>
      <c r="F42" s="0" t="s">
        <v>3535</v>
      </c>
      <c r="G42" s="0" t="s">
        <v>1135</v>
      </c>
    </row>
    <row customHeight="1" ht="11.25">
      <c r="A43" s="0" t="s">
        <v>14</v>
      </c>
      <c r="B43" s="0" t="s">
        <v>3598</v>
      </c>
      <c r="C43" s="0" t="s">
        <v>3599</v>
      </c>
      <c r="D43" s="0" t="s">
        <v>3614</v>
      </c>
      <c r="E43" s="0" t="s">
        <v>3615</v>
      </c>
      <c r="F43" s="0" t="s">
        <v>3535</v>
      </c>
      <c r="G43" s="0" t="s">
        <v>1142</v>
      </c>
    </row>
    <row customHeight="1" ht="11.25">
      <c r="A44" s="0" t="s">
        <v>14</v>
      </c>
      <c r="B44" s="0" t="s">
        <v>3617</v>
      </c>
      <c r="C44" s="0" t="s">
        <v>3618</v>
      </c>
      <c r="D44" s="0" t="s">
        <v>3619</v>
      </c>
      <c r="E44" s="0" t="s">
        <v>3620</v>
      </c>
      <c r="F44" s="0" t="s">
        <v>3535</v>
      </c>
      <c r="G44" s="0" t="s">
        <v>1153</v>
      </c>
    </row>
    <row customHeight="1" ht="11.25">
      <c r="A45" s="0" t="s">
        <v>14</v>
      </c>
      <c r="B45" s="0" t="s">
        <v>3617</v>
      </c>
      <c r="C45" s="0" t="s">
        <v>3618</v>
      </c>
      <c r="D45" s="0" t="s">
        <v>3621</v>
      </c>
      <c r="E45" s="0" t="s">
        <v>3622</v>
      </c>
      <c r="F45" s="0" t="s">
        <v>3535</v>
      </c>
      <c r="G45" s="0" t="s">
        <v>1158</v>
      </c>
    </row>
    <row customHeight="1" ht="11.25">
      <c r="A46" s="0" t="s">
        <v>14</v>
      </c>
      <c r="B46" s="0" t="s">
        <v>3617</v>
      </c>
      <c r="C46" s="0" t="s">
        <v>3618</v>
      </c>
      <c r="D46" s="0" t="s">
        <v>3623</v>
      </c>
      <c r="E46" s="0" t="s">
        <v>3624</v>
      </c>
      <c r="F46" s="0" t="s">
        <v>3535</v>
      </c>
      <c r="G46" s="0" t="s">
        <v>1163</v>
      </c>
    </row>
    <row customHeight="1" ht="11.25">
      <c r="A47" s="0" t="s">
        <v>14</v>
      </c>
      <c r="B47" s="0" t="s">
        <v>3617</v>
      </c>
      <c r="C47" s="0" t="s">
        <v>3618</v>
      </c>
      <c r="D47" s="0" t="s">
        <v>3617</v>
      </c>
      <c r="E47" s="0" t="s">
        <v>3618</v>
      </c>
      <c r="F47" s="0" t="s">
        <v>3532</v>
      </c>
      <c r="G47" s="0" t="s">
        <v>1167</v>
      </c>
    </row>
    <row customHeight="1" ht="11.25">
      <c r="A48" s="0" t="s">
        <v>14</v>
      </c>
      <c r="B48" s="0" t="s">
        <v>3617</v>
      </c>
      <c r="C48" s="0" t="s">
        <v>3618</v>
      </c>
      <c r="D48" s="0" t="s">
        <v>3625</v>
      </c>
      <c r="E48" s="0" t="s">
        <v>3626</v>
      </c>
      <c r="F48" s="0" t="s">
        <v>3627</v>
      </c>
      <c r="G48" s="0" t="s">
        <v>1169</v>
      </c>
    </row>
    <row customHeight="1" ht="11.25">
      <c r="A49" s="0" t="s">
        <v>14</v>
      </c>
      <c r="B49" s="0" t="s">
        <v>3617</v>
      </c>
      <c r="C49" s="0" t="s">
        <v>3618</v>
      </c>
      <c r="D49" s="0" t="s">
        <v>3628</v>
      </c>
      <c r="E49" s="0" t="s">
        <v>3629</v>
      </c>
      <c r="F49" s="0" t="s">
        <v>3535</v>
      </c>
      <c r="G49" s="0" t="s">
        <v>1172</v>
      </c>
    </row>
    <row customHeight="1" ht="11.25">
      <c r="A50" s="0" t="s">
        <v>14</v>
      </c>
      <c r="B50" s="0" t="s">
        <v>3617</v>
      </c>
      <c r="C50" s="0" t="s">
        <v>3618</v>
      </c>
      <c r="D50" s="0" t="s">
        <v>3630</v>
      </c>
      <c r="E50" s="0" t="s">
        <v>3631</v>
      </c>
      <c r="F50" s="0" t="s">
        <v>3535</v>
      </c>
      <c r="G50" s="0" t="s">
        <v>1176</v>
      </c>
    </row>
    <row customHeight="1" ht="11.25">
      <c r="A51" s="0" t="s">
        <v>14</v>
      </c>
      <c r="B51" s="0" t="s">
        <v>3617</v>
      </c>
      <c r="C51" s="0" t="s">
        <v>3618</v>
      </c>
      <c r="D51" s="0" t="s">
        <v>3632</v>
      </c>
      <c r="E51" s="0" t="s">
        <v>3633</v>
      </c>
      <c r="F51" s="0" t="s">
        <v>3535</v>
      </c>
      <c r="G51" s="0" t="s">
        <v>1179</v>
      </c>
    </row>
    <row customHeight="1" ht="11.25">
      <c r="A52" s="0" t="s">
        <v>14</v>
      </c>
      <c r="B52" s="0" t="s">
        <v>3617</v>
      </c>
      <c r="C52" s="0" t="s">
        <v>3618</v>
      </c>
      <c r="D52" s="0" t="s">
        <v>3634</v>
      </c>
      <c r="E52" s="0" t="s">
        <v>3635</v>
      </c>
      <c r="F52" s="0" t="s">
        <v>3535</v>
      </c>
      <c r="G52" s="0" t="s">
        <v>1182</v>
      </c>
    </row>
    <row customHeight="1" ht="11.25">
      <c r="A53" s="0" t="s">
        <v>14</v>
      </c>
      <c r="B53" s="0" t="s">
        <v>3617</v>
      </c>
      <c r="C53" s="0" t="s">
        <v>3618</v>
      </c>
      <c r="D53" s="0" t="s">
        <v>3636</v>
      </c>
      <c r="E53" s="0" t="s">
        <v>3637</v>
      </c>
      <c r="F53" s="0" t="s">
        <v>3535</v>
      </c>
      <c r="G53" s="0" t="s">
        <v>1185</v>
      </c>
    </row>
    <row customHeight="1" ht="11.25">
      <c r="A54" s="0" t="s">
        <v>14</v>
      </c>
      <c r="B54" s="0" t="s">
        <v>3617</v>
      </c>
      <c r="C54" s="0" t="s">
        <v>3618</v>
      </c>
      <c r="D54" s="0" t="s">
        <v>3638</v>
      </c>
      <c r="E54" s="0" t="s">
        <v>3639</v>
      </c>
      <c r="F54" s="0" t="s">
        <v>3535</v>
      </c>
      <c r="G54" s="0" t="s">
        <v>1189</v>
      </c>
    </row>
    <row customHeight="1" ht="11.25">
      <c r="A55" s="0" t="s">
        <v>14</v>
      </c>
      <c r="B55" s="0" t="s">
        <v>3617</v>
      </c>
      <c r="C55" s="0" t="s">
        <v>3618</v>
      </c>
      <c r="D55" s="0" t="s">
        <v>3640</v>
      </c>
      <c r="E55" s="0" t="s">
        <v>3641</v>
      </c>
      <c r="F55" s="0" t="s">
        <v>3535</v>
      </c>
      <c r="G55" s="0" t="s">
        <v>1192</v>
      </c>
    </row>
    <row customHeight="1" ht="11.25">
      <c r="A56" s="0" t="s">
        <v>14</v>
      </c>
      <c r="B56" s="0" t="s">
        <v>3617</v>
      </c>
      <c r="C56" s="0" t="s">
        <v>3618</v>
      </c>
      <c r="D56" s="0" t="s">
        <v>3642</v>
      </c>
      <c r="E56" s="0" t="s">
        <v>3643</v>
      </c>
      <c r="F56" s="0" t="s">
        <v>3535</v>
      </c>
      <c r="G56" s="0" t="s">
        <v>3644</v>
      </c>
    </row>
    <row customHeight="1" ht="11.25">
      <c r="A57" s="0" t="s">
        <v>14</v>
      </c>
      <c r="B57" s="0" t="s">
        <v>3617</v>
      </c>
      <c r="C57" s="0" t="s">
        <v>3618</v>
      </c>
      <c r="D57" s="0" t="s">
        <v>2004</v>
      </c>
      <c r="E57" s="0" t="s">
        <v>3645</v>
      </c>
      <c r="F57" s="0" t="s">
        <v>3535</v>
      </c>
      <c r="G57" s="0" t="s">
        <v>3646</v>
      </c>
    </row>
    <row customHeight="1" ht="11.25">
      <c r="A58" s="0" t="s">
        <v>14</v>
      </c>
      <c r="B58" s="0" t="s">
        <v>3617</v>
      </c>
      <c r="C58" s="0" t="s">
        <v>3618</v>
      </c>
      <c r="D58" s="0" t="s">
        <v>3647</v>
      </c>
      <c r="E58" s="0" t="s">
        <v>3648</v>
      </c>
      <c r="F58" s="0" t="s">
        <v>3535</v>
      </c>
      <c r="G58" s="0" t="s">
        <v>3649</v>
      </c>
    </row>
    <row customHeight="1" ht="11.25">
      <c r="A59" s="0" t="s">
        <v>14</v>
      </c>
      <c r="B59" s="0" t="s">
        <v>3650</v>
      </c>
      <c r="C59" s="0" t="s">
        <v>3651</v>
      </c>
      <c r="D59" s="0" t="s">
        <v>3652</v>
      </c>
      <c r="E59" s="0" t="s">
        <v>3653</v>
      </c>
      <c r="F59" s="0" t="s">
        <v>3535</v>
      </c>
      <c r="G59" s="0" t="s">
        <v>3654</v>
      </c>
    </row>
    <row customHeight="1" ht="11.25">
      <c r="A60" s="0" t="s">
        <v>14</v>
      </c>
      <c r="B60" s="0" t="s">
        <v>3650</v>
      </c>
      <c r="C60" s="0" t="s">
        <v>3651</v>
      </c>
      <c r="D60" s="0" t="s">
        <v>3650</v>
      </c>
      <c r="E60" s="0" t="s">
        <v>3651</v>
      </c>
      <c r="F60" s="0" t="s">
        <v>3532</v>
      </c>
      <c r="G60" s="0" t="s">
        <v>3655</v>
      </c>
    </row>
    <row customHeight="1" ht="11.25">
      <c r="A61" s="0" t="s">
        <v>14</v>
      </c>
      <c r="B61" s="0" t="s">
        <v>3650</v>
      </c>
      <c r="C61" s="0" t="s">
        <v>3651</v>
      </c>
      <c r="D61" s="0" t="s">
        <v>3656</v>
      </c>
      <c r="E61" s="0" t="s">
        <v>3657</v>
      </c>
      <c r="F61" s="0" t="s">
        <v>3627</v>
      </c>
      <c r="G61" s="0" t="s">
        <v>1408</v>
      </c>
    </row>
    <row customHeight="1" ht="11.25">
      <c r="A62" s="0" t="s">
        <v>14</v>
      </c>
      <c r="B62" s="0" t="s">
        <v>3650</v>
      </c>
      <c r="C62" s="0" t="s">
        <v>3651</v>
      </c>
      <c r="D62" s="0" t="s">
        <v>3658</v>
      </c>
      <c r="E62" s="0" t="s">
        <v>3659</v>
      </c>
      <c r="F62" s="0" t="s">
        <v>3535</v>
      </c>
      <c r="G62" s="0" t="s">
        <v>3660</v>
      </c>
    </row>
    <row customHeight="1" ht="11.25">
      <c r="A63" s="0" t="s">
        <v>14</v>
      </c>
      <c r="B63" s="0" t="s">
        <v>3650</v>
      </c>
      <c r="C63" s="0" t="s">
        <v>3651</v>
      </c>
      <c r="D63" s="0" t="s">
        <v>3661</v>
      </c>
      <c r="E63" s="0" t="s">
        <v>3662</v>
      </c>
      <c r="F63" s="0" t="s">
        <v>3535</v>
      </c>
      <c r="G63" s="0" t="s">
        <v>1645</v>
      </c>
    </row>
    <row customHeight="1" ht="11.25">
      <c r="A64" s="0" t="s">
        <v>14</v>
      </c>
      <c r="B64" s="0" t="s">
        <v>3650</v>
      </c>
      <c r="C64" s="0" t="s">
        <v>3651</v>
      </c>
      <c r="D64" s="0" t="s">
        <v>3663</v>
      </c>
      <c r="E64" s="0" t="s">
        <v>3664</v>
      </c>
      <c r="F64" s="0" t="s">
        <v>3535</v>
      </c>
      <c r="G64" s="0" t="s">
        <v>3665</v>
      </c>
    </row>
    <row customHeight="1" ht="11.25">
      <c r="A65" s="0" t="s">
        <v>14</v>
      </c>
      <c r="B65" s="0" t="s">
        <v>3650</v>
      </c>
      <c r="C65" s="0" t="s">
        <v>3651</v>
      </c>
      <c r="D65" s="0" t="s">
        <v>3666</v>
      </c>
      <c r="E65" s="0" t="s">
        <v>3667</v>
      </c>
      <c r="F65" s="0" t="s">
        <v>3535</v>
      </c>
      <c r="G65" s="0" t="s">
        <v>3668</v>
      </c>
    </row>
    <row customHeight="1" ht="11.25">
      <c r="A66" s="0" t="s">
        <v>14</v>
      </c>
      <c r="B66" s="0" t="s">
        <v>3650</v>
      </c>
      <c r="C66" s="0" t="s">
        <v>3651</v>
      </c>
      <c r="D66" s="0" t="s">
        <v>3669</v>
      </c>
      <c r="E66" s="0" t="s">
        <v>3670</v>
      </c>
      <c r="F66" s="0" t="s">
        <v>3535</v>
      </c>
      <c r="G66" s="0" t="s">
        <v>3671</v>
      </c>
    </row>
    <row customHeight="1" ht="11.25">
      <c r="A67" s="0" t="s">
        <v>14</v>
      </c>
      <c r="B67" s="0" t="s">
        <v>3650</v>
      </c>
      <c r="C67" s="0" t="s">
        <v>3651</v>
      </c>
      <c r="D67" s="0" t="s">
        <v>3672</v>
      </c>
      <c r="E67" s="0" t="s">
        <v>3673</v>
      </c>
      <c r="F67" s="0" t="s">
        <v>3535</v>
      </c>
      <c r="G67" s="0" t="s">
        <v>3674</v>
      </c>
    </row>
    <row customHeight="1" ht="11.25">
      <c r="A68" s="0" t="s">
        <v>14</v>
      </c>
      <c r="B68" s="0" t="s">
        <v>3650</v>
      </c>
      <c r="C68" s="0" t="s">
        <v>3651</v>
      </c>
      <c r="D68" s="0" t="s">
        <v>3675</v>
      </c>
      <c r="E68" s="0" t="s">
        <v>3676</v>
      </c>
      <c r="F68" s="0" t="s">
        <v>3535</v>
      </c>
      <c r="G68" s="0" t="s">
        <v>3677</v>
      </c>
    </row>
    <row customHeight="1" ht="11.25">
      <c r="A69" s="0" t="s">
        <v>14</v>
      </c>
      <c r="B69" s="0" t="s">
        <v>3650</v>
      </c>
      <c r="C69" s="0" t="s">
        <v>3651</v>
      </c>
      <c r="D69" s="0" t="s">
        <v>3678</v>
      </c>
      <c r="E69" s="0" t="s">
        <v>3679</v>
      </c>
      <c r="F69" s="0" t="s">
        <v>3535</v>
      </c>
      <c r="G69" s="0" t="s">
        <v>3680</v>
      </c>
    </row>
    <row customHeight="1" ht="11.25">
      <c r="A70" s="0" t="s">
        <v>14</v>
      </c>
      <c r="B70" s="0" t="s">
        <v>3650</v>
      </c>
      <c r="C70" s="0" t="s">
        <v>3651</v>
      </c>
      <c r="D70" s="0" t="s">
        <v>3681</v>
      </c>
      <c r="E70" s="0" t="s">
        <v>3682</v>
      </c>
      <c r="F70" s="0" t="s">
        <v>3535</v>
      </c>
      <c r="G70" s="0" t="s">
        <v>3683</v>
      </c>
    </row>
    <row customHeight="1" ht="11.25">
      <c r="A71" s="0" t="s">
        <v>14</v>
      </c>
      <c r="B71" s="0" t="s">
        <v>3650</v>
      </c>
      <c r="C71" s="0" t="s">
        <v>3651</v>
      </c>
      <c r="D71" s="0" t="s">
        <v>3684</v>
      </c>
      <c r="E71" s="0" t="s">
        <v>3685</v>
      </c>
      <c r="F71" s="0" t="s">
        <v>3535</v>
      </c>
      <c r="G71" s="0" t="s">
        <v>3686</v>
      </c>
    </row>
    <row customHeight="1" ht="11.25">
      <c r="A72" s="0" t="s">
        <v>14</v>
      </c>
      <c r="B72" s="0" t="s">
        <v>3650</v>
      </c>
      <c r="C72" s="0" t="s">
        <v>3651</v>
      </c>
      <c r="D72" s="0" t="s">
        <v>3687</v>
      </c>
      <c r="E72" s="0" t="s">
        <v>3688</v>
      </c>
      <c r="F72" s="0" t="s">
        <v>3535</v>
      </c>
      <c r="G72" s="0" t="s">
        <v>3689</v>
      </c>
    </row>
    <row customHeight="1" ht="11.25">
      <c r="A73" s="0" t="s">
        <v>14</v>
      </c>
      <c r="B73" s="0" t="s">
        <v>3650</v>
      </c>
      <c r="C73" s="0" t="s">
        <v>3651</v>
      </c>
      <c r="D73" s="0" t="s">
        <v>3690</v>
      </c>
      <c r="E73" s="0" t="s">
        <v>3691</v>
      </c>
      <c r="F73" s="0" t="s">
        <v>3535</v>
      </c>
      <c r="G73" s="0" t="s">
        <v>3692</v>
      </c>
    </row>
    <row customHeight="1" ht="11.25">
      <c r="A74" s="0" t="s">
        <v>14</v>
      </c>
      <c r="B74" s="0" t="s">
        <v>3693</v>
      </c>
      <c r="C74" s="0" t="s">
        <v>3694</v>
      </c>
      <c r="D74" s="0" t="s">
        <v>3621</v>
      </c>
      <c r="E74" s="0" t="s">
        <v>3695</v>
      </c>
      <c r="F74" s="0" t="s">
        <v>3535</v>
      </c>
      <c r="G74" s="0" t="s">
        <v>3696</v>
      </c>
    </row>
    <row customHeight="1" ht="11.25">
      <c r="A75" s="0" t="s">
        <v>14</v>
      </c>
      <c r="B75" s="0" t="s">
        <v>3693</v>
      </c>
      <c r="C75" s="0" t="s">
        <v>3694</v>
      </c>
      <c r="D75" s="0" t="s">
        <v>3697</v>
      </c>
      <c r="E75" s="0" t="s">
        <v>3698</v>
      </c>
      <c r="F75" s="0" t="s">
        <v>3535</v>
      </c>
      <c r="G75" s="0" t="s">
        <v>3699</v>
      </c>
    </row>
    <row customHeight="1" ht="11.25">
      <c r="A76" s="0" t="s">
        <v>14</v>
      </c>
      <c r="B76" s="0" t="s">
        <v>3693</v>
      </c>
      <c r="C76" s="0" t="s">
        <v>3694</v>
      </c>
      <c r="D76" s="0" t="s">
        <v>3693</v>
      </c>
      <c r="E76" s="0" t="s">
        <v>3694</v>
      </c>
      <c r="F76" s="0" t="s">
        <v>3532</v>
      </c>
      <c r="G76" s="0" t="s">
        <v>3700</v>
      </c>
    </row>
    <row customHeight="1" ht="11.25">
      <c r="A77" s="0" t="s">
        <v>14</v>
      </c>
      <c r="B77" s="0" t="s">
        <v>3693</v>
      </c>
      <c r="C77" s="0" t="s">
        <v>3694</v>
      </c>
      <c r="D77" s="0" t="s">
        <v>3701</v>
      </c>
      <c r="E77" s="0" t="s">
        <v>3702</v>
      </c>
      <c r="F77" s="0" t="s">
        <v>3535</v>
      </c>
      <c r="G77" s="0" t="s">
        <v>3703</v>
      </c>
    </row>
    <row customHeight="1" ht="11.25">
      <c r="A78" s="0" t="s">
        <v>14</v>
      </c>
      <c r="B78" s="0" t="s">
        <v>3693</v>
      </c>
      <c r="C78" s="0" t="s">
        <v>3694</v>
      </c>
      <c r="D78" s="0" t="s">
        <v>3704</v>
      </c>
      <c r="E78" s="0" t="s">
        <v>3705</v>
      </c>
      <c r="F78" s="0" t="s">
        <v>3535</v>
      </c>
      <c r="G78" s="0" t="s">
        <v>3706</v>
      </c>
    </row>
    <row customHeight="1" ht="11.25">
      <c r="A79" s="0" t="s">
        <v>14</v>
      </c>
      <c r="B79" s="0" t="s">
        <v>3693</v>
      </c>
      <c r="C79" s="0" t="s">
        <v>3694</v>
      </c>
      <c r="D79" s="0" t="s">
        <v>3707</v>
      </c>
      <c r="E79" s="0" t="s">
        <v>3708</v>
      </c>
      <c r="F79" s="0" t="s">
        <v>3535</v>
      </c>
      <c r="G79" s="0" t="s">
        <v>3709</v>
      </c>
    </row>
    <row customHeight="1" ht="11.25">
      <c r="A80" s="0" t="s">
        <v>14</v>
      </c>
      <c r="B80" s="0" t="s">
        <v>3693</v>
      </c>
      <c r="C80" s="0" t="s">
        <v>3694</v>
      </c>
      <c r="D80" s="0" t="s">
        <v>3710</v>
      </c>
      <c r="E80" s="0" t="s">
        <v>3711</v>
      </c>
      <c r="F80" s="0" t="s">
        <v>3535</v>
      </c>
      <c r="G80" s="0" t="s">
        <v>3712</v>
      </c>
    </row>
    <row customHeight="1" ht="11.25">
      <c r="A81" s="0" t="s">
        <v>14</v>
      </c>
      <c r="B81" s="0" t="s">
        <v>3693</v>
      </c>
      <c r="C81" s="0" t="s">
        <v>3694</v>
      </c>
      <c r="D81" s="0" t="s">
        <v>3713</v>
      </c>
      <c r="E81" s="0" t="s">
        <v>3714</v>
      </c>
      <c r="F81" s="0" t="s">
        <v>3535</v>
      </c>
      <c r="G81" s="0" t="s">
        <v>3715</v>
      </c>
    </row>
    <row customHeight="1" ht="11.25">
      <c r="A82" s="0" t="s">
        <v>14</v>
      </c>
      <c r="B82" s="0" t="s">
        <v>3693</v>
      </c>
      <c r="C82" s="0" t="s">
        <v>3694</v>
      </c>
      <c r="D82" s="0" t="s">
        <v>3716</v>
      </c>
      <c r="E82" s="0" t="s">
        <v>3717</v>
      </c>
      <c r="F82" s="0" t="s">
        <v>3535</v>
      </c>
      <c r="G82" s="0" t="s">
        <v>3718</v>
      </c>
    </row>
    <row customHeight="1" ht="11.25">
      <c r="A83" s="0" t="s">
        <v>14</v>
      </c>
      <c r="B83" s="0" t="s">
        <v>3693</v>
      </c>
      <c r="C83" s="0" t="s">
        <v>3694</v>
      </c>
      <c r="D83" s="0" t="s">
        <v>3719</v>
      </c>
      <c r="E83" s="0" t="s">
        <v>3720</v>
      </c>
      <c r="F83" s="0" t="s">
        <v>3535</v>
      </c>
      <c r="G83" s="0" t="s">
        <v>3721</v>
      </c>
    </row>
    <row customHeight="1" ht="11.25">
      <c r="A84" s="0" t="s">
        <v>14</v>
      </c>
      <c r="B84" s="0" t="s">
        <v>3693</v>
      </c>
      <c r="C84" s="0" t="s">
        <v>3694</v>
      </c>
      <c r="D84" s="0" t="s">
        <v>3722</v>
      </c>
      <c r="E84" s="0" t="s">
        <v>3723</v>
      </c>
      <c r="F84" s="0" t="s">
        <v>3535</v>
      </c>
      <c r="G84" s="0" t="s">
        <v>3724</v>
      </c>
    </row>
    <row customHeight="1" ht="11.25">
      <c r="A85" s="0" t="s">
        <v>14</v>
      </c>
      <c r="B85" s="0" t="s">
        <v>3693</v>
      </c>
      <c r="C85" s="0" t="s">
        <v>3694</v>
      </c>
      <c r="D85" s="0" t="s">
        <v>3725</v>
      </c>
      <c r="E85" s="0" t="s">
        <v>3726</v>
      </c>
      <c r="F85" s="0" t="s">
        <v>3535</v>
      </c>
      <c r="G85" s="0" t="s">
        <v>3727</v>
      </c>
    </row>
    <row customHeight="1" ht="11.25">
      <c r="A86" s="0" t="s">
        <v>14</v>
      </c>
      <c r="B86" s="0" t="s">
        <v>3693</v>
      </c>
      <c r="C86" s="0" t="s">
        <v>3694</v>
      </c>
      <c r="D86" s="0" t="s">
        <v>3728</v>
      </c>
      <c r="E86" s="0" t="s">
        <v>3729</v>
      </c>
      <c r="F86" s="0" t="s">
        <v>3535</v>
      </c>
      <c r="G86" s="0" t="s">
        <v>3730</v>
      </c>
    </row>
    <row customHeight="1" ht="11.25">
      <c r="A87" s="0" t="s">
        <v>14</v>
      </c>
      <c r="B87" s="0" t="s">
        <v>3693</v>
      </c>
      <c r="C87" s="0" t="s">
        <v>3694</v>
      </c>
      <c r="D87" s="0" t="s">
        <v>3731</v>
      </c>
      <c r="E87" s="0" t="s">
        <v>3732</v>
      </c>
      <c r="F87" s="0" t="s">
        <v>3535</v>
      </c>
      <c r="G87" s="0" t="s">
        <v>3733</v>
      </c>
    </row>
    <row customHeight="1" ht="11.25">
      <c r="A88" s="0" t="s">
        <v>14</v>
      </c>
      <c r="B88" s="0" t="s">
        <v>3693</v>
      </c>
      <c r="C88" s="0" t="s">
        <v>3694</v>
      </c>
      <c r="D88" s="0" t="s">
        <v>3734</v>
      </c>
      <c r="E88" s="0" t="s">
        <v>3735</v>
      </c>
      <c r="F88" s="0" t="s">
        <v>3535</v>
      </c>
      <c r="G88" s="0" t="s">
        <v>3736</v>
      </c>
    </row>
    <row customHeight="1" ht="11.25">
      <c r="A89" s="0" t="s">
        <v>14</v>
      </c>
      <c r="B89" s="0" t="s">
        <v>3737</v>
      </c>
      <c r="C89" s="0" t="s">
        <v>3738</v>
      </c>
      <c r="D89" s="0" t="s">
        <v>3737</v>
      </c>
      <c r="E89" s="0" t="s">
        <v>3738</v>
      </c>
      <c r="F89" s="0" t="s">
        <v>3616</v>
      </c>
      <c r="G89" s="0" t="s">
        <v>3739</v>
      </c>
    </row>
    <row customHeight="1" ht="11.25">
      <c r="A90" s="0" t="s">
        <v>14</v>
      </c>
      <c r="B90" s="0" t="s">
        <v>3740</v>
      </c>
      <c r="C90" s="0" t="s">
        <v>3741</v>
      </c>
      <c r="D90" s="0" t="s">
        <v>3740</v>
      </c>
      <c r="E90" s="0" t="s">
        <v>3741</v>
      </c>
      <c r="F90" s="0" t="s">
        <v>3616</v>
      </c>
      <c r="G90" s="0" t="s">
        <v>3742</v>
      </c>
    </row>
    <row customHeight="1" ht="11.25">
      <c r="A91" s="0" t="s">
        <v>14</v>
      </c>
      <c r="B91" s="0" t="s">
        <v>3743</v>
      </c>
      <c r="C91" s="0" t="s">
        <v>3744</v>
      </c>
      <c r="D91" s="0" t="s">
        <v>3743</v>
      </c>
      <c r="E91" s="0" t="s">
        <v>3744</v>
      </c>
      <c r="F91" s="0" t="s">
        <v>3529</v>
      </c>
      <c r="G91" s="0" t="s">
        <v>3745</v>
      </c>
    </row>
    <row customHeight="1" ht="11.25">
      <c r="A92" s="0" t="s">
        <v>14</v>
      </c>
      <c r="B92" s="0" t="s">
        <v>207</v>
      </c>
      <c r="C92" s="0" t="s">
        <v>3746</v>
      </c>
      <c r="D92" s="0" t="s">
        <v>207</v>
      </c>
      <c r="E92" s="0" t="s">
        <v>3746</v>
      </c>
      <c r="F92" s="0" t="s">
        <v>3532</v>
      </c>
      <c r="G92" s="0" t="s">
        <v>3747</v>
      </c>
    </row>
    <row customHeight="1" ht="11.25">
      <c r="A93" s="0" t="s">
        <v>14</v>
      </c>
      <c r="B93" s="0" t="s">
        <v>207</v>
      </c>
      <c r="C93" s="0" t="s">
        <v>3746</v>
      </c>
      <c r="D93" s="0" t="s">
        <v>3748</v>
      </c>
      <c r="E93" s="0" t="s">
        <v>3749</v>
      </c>
      <c r="F93" s="0" t="s">
        <v>3535</v>
      </c>
      <c r="G93" s="0" t="s">
        <v>3750</v>
      </c>
    </row>
    <row customHeight="1" ht="11.25">
      <c r="A94" s="0" t="s">
        <v>14</v>
      </c>
      <c r="B94" s="0" t="s">
        <v>207</v>
      </c>
      <c r="C94" s="0" t="s">
        <v>3746</v>
      </c>
      <c r="D94" s="0" t="s">
        <v>3751</v>
      </c>
      <c r="E94" s="0" t="s">
        <v>3752</v>
      </c>
      <c r="F94" s="0" t="s">
        <v>3535</v>
      </c>
      <c r="G94" s="0" t="s">
        <v>3753</v>
      </c>
    </row>
    <row customHeight="1" ht="11.25">
      <c r="A95" s="0" t="s">
        <v>14</v>
      </c>
      <c r="B95" s="0" t="s">
        <v>207</v>
      </c>
      <c r="C95" s="0" t="s">
        <v>3746</v>
      </c>
      <c r="D95" s="0" t="s">
        <v>3754</v>
      </c>
      <c r="E95" s="0" t="s">
        <v>3755</v>
      </c>
      <c r="F95" s="0" t="s">
        <v>3535</v>
      </c>
      <c r="G95" s="0" t="s">
        <v>3756</v>
      </c>
    </row>
    <row customHeight="1" ht="11.25">
      <c r="A96" s="0" t="s">
        <v>14</v>
      </c>
      <c r="B96" s="0" t="s">
        <v>207</v>
      </c>
      <c r="C96" s="0" t="s">
        <v>3746</v>
      </c>
      <c r="D96" s="0" t="s">
        <v>3757</v>
      </c>
      <c r="E96" s="0" t="s">
        <v>3758</v>
      </c>
      <c r="F96" s="0" t="s">
        <v>3535</v>
      </c>
      <c r="G96" s="0" t="s">
        <v>3759</v>
      </c>
    </row>
    <row customHeight="1" ht="11.25">
      <c r="A97" s="0" t="s">
        <v>14</v>
      </c>
      <c r="B97" s="0" t="s">
        <v>207</v>
      </c>
      <c r="C97" s="0" t="s">
        <v>3746</v>
      </c>
      <c r="D97" s="0" t="s">
        <v>3760</v>
      </c>
      <c r="E97" s="0" t="s">
        <v>3761</v>
      </c>
      <c r="F97" s="0" t="s">
        <v>3535</v>
      </c>
      <c r="G97" s="0" t="s">
        <v>3762</v>
      </c>
    </row>
    <row customHeight="1" ht="11.25">
      <c r="A98" s="0" t="s">
        <v>14</v>
      </c>
      <c r="B98" s="0" t="s">
        <v>207</v>
      </c>
      <c r="C98" s="0" t="s">
        <v>3746</v>
      </c>
      <c r="D98" s="0" t="s">
        <v>3763</v>
      </c>
      <c r="E98" s="0" t="s">
        <v>3764</v>
      </c>
      <c r="F98" s="0" t="s">
        <v>3535</v>
      </c>
      <c r="G98" s="0" t="s">
        <v>3765</v>
      </c>
    </row>
    <row customHeight="1" ht="11.25">
      <c r="A99" s="0" t="s">
        <v>14</v>
      </c>
      <c r="B99" s="0" t="s">
        <v>207</v>
      </c>
      <c r="C99" s="0" t="s">
        <v>3746</v>
      </c>
      <c r="D99" s="0" t="s">
        <v>3766</v>
      </c>
      <c r="E99" s="0" t="s">
        <v>3767</v>
      </c>
      <c r="F99" s="0" t="s">
        <v>3535</v>
      </c>
      <c r="G99" s="0" t="s">
        <v>3768</v>
      </c>
    </row>
    <row customHeight="1" ht="11.25">
      <c r="A100" s="0" t="s">
        <v>14</v>
      </c>
      <c r="B100" s="0" t="s">
        <v>3769</v>
      </c>
      <c r="C100" s="0" t="s">
        <v>3770</v>
      </c>
      <c r="D100" s="0" t="s">
        <v>3771</v>
      </c>
      <c r="E100" s="0" t="s">
        <v>3772</v>
      </c>
      <c r="F100" s="0" t="s">
        <v>3627</v>
      </c>
      <c r="G100" s="0" t="s">
        <v>3773</v>
      </c>
    </row>
    <row customHeight="1" ht="11.25">
      <c r="A101" s="0" t="s">
        <v>14</v>
      </c>
      <c r="B101" s="0" t="s">
        <v>3769</v>
      </c>
      <c r="C101" s="0" t="s">
        <v>3770</v>
      </c>
      <c r="D101" s="0" t="s">
        <v>3769</v>
      </c>
      <c r="E101" s="0" t="s">
        <v>3770</v>
      </c>
      <c r="F101" s="0" t="s">
        <v>3532</v>
      </c>
      <c r="G101" s="0" t="s">
        <v>3774</v>
      </c>
    </row>
    <row customHeight="1" ht="11.25">
      <c r="A102" s="0" t="s">
        <v>14</v>
      </c>
      <c r="B102" s="0" t="s">
        <v>3769</v>
      </c>
      <c r="C102" s="0" t="s">
        <v>3770</v>
      </c>
      <c r="D102" s="0" t="s">
        <v>3775</v>
      </c>
      <c r="E102" s="0" t="s">
        <v>3776</v>
      </c>
      <c r="F102" s="0" t="s">
        <v>3535</v>
      </c>
      <c r="G102" s="0" t="s">
        <v>3777</v>
      </c>
    </row>
    <row customHeight="1" ht="11.25">
      <c r="A103" s="0" t="s">
        <v>14</v>
      </c>
      <c r="B103" s="0" t="s">
        <v>3769</v>
      </c>
      <c r="C103" s="0" t="s">
        <v>3770</v>
      </c>
      <c r="D103" s="0" t="s">
        <v>3778</v>
      </c>
      <c r="E103" s="0" t="s">
        <v>3779</v>
      </c>
      <c r="F103" s="0" t="s">
        <v>3535</v>
      </c>
      <c r="G103" s="0" t="s">
        <v>3780</v>
      </c>
    </row>
    <row customHeight="1" ht="11.25">
      <c r="A104" s="0" t="s">
        <v>14</v>
      </c>
      <c r="B104" s="0" t="s">
        <v>3769</v>
      </c>
      <c r="C104" s="0" t="s">
        <v>3770</v>
      </c>
      <c r="D104" s="0" t="s">
        <v>3781</v>
      </c>
      <c r="E104" s="0" t="s">
        <v>3782</v>
      </c>
      <c r="F104" s="0" t="s">
        <v>3535</v>
      </c>
      <c r="G104" s="0" t="s">
        <v>3783</v>
      </c>
    </row>
    <row customHeight="1" ht="11.25">
      <c r="A105" s="0" t="s">
        <v>14</v>
      </c>
      <c r="B105" s="0" t="s">
        <v>3769</v>
      </c>
      <c r="C105" s="0" t="s">
        <v>3770</v>
      </c>
      <c r="D105" s="0" t="s">
        <v>3784</v>
      </c>
      <c r="E105" s="0" t="s">
        <v>3785</v>
      </c>
      <c r="F105" s="0" t="s">
        <v>3535</v>
      </c>
      <c r="G105" s="0" t="s">
        <v>3786</v>
      </c>
    </row>
    <row customHeight="1" ht="11.25">
      <c r="A106" s="0" t="s">
        <v>14</v>
      </c>
      <c r="B106" s="0" t="s">
        <v>3769</v>
      </c>
      <c r="C106" s="0" t="s">
        <v>3770</v>
      </c>
      <c r="D106" s="0" t="s">
        <v>3787</v>
      </c>
      <c r="E106" s="0" t="s">
        <v>3788</v>
      </c>
      <c r="F106" s="0" t="s">
        <v>3535</v>
      </c>
      <c r="G106" s="0" t="s">
        <v>3789</v>
      </c>
    </row>
    <row customHeight="1" ht="11.25">
      <c r="A107" s="0" t="s">
        <v>14</v>
      </c>
      <c r="B107" s="0" t="s">
        <v>3769</v>
      </c>
      <c r="C107" s="0" t="s">
        <v>3770</v>
      </c>
      <c r="D107" s="0" t="s">
        <v>3790</v>
      </c>
      <c r="E107" s="0" t="s">
        <v>3791</v>
      </c>
      <c r="F107" s="0" t="s">
        <v>3792</v>
      </c>
      <c r="G107" s="0" t="s">
        <v>3793</v>
      </c>
    </row>
    <row customHeight="1" ht="11.25">
      <c r="A108" s="0" t="s">
        <v>14</v>
      </c>
      <c r="B108" s="0" t="s">
        <v>3769</v>
      </c>
      <c r="C108" s="0" t="s">
        <v>3770</v>
      </c>
      <c r="D108" s="0" t="s">
        <v>3794</v>
      </c>
      <c r="E108" s="0" t="s">
        <v>3795</v>
      </c>
      <c r="F108" s="0" t="s">
        <v>3792</v>
      </c>
      <c r="G108" s="0" t="s">
        <v>3796</v>
      </c>
    </row>
    <row customHeight="1" ht="11.25">
      <c r="A109" s="0" t="s">
        <v>14</v>
      </c>
      <c r="B109" s="0" t="s">
        <v>3769</v>
      </c>
      <c r="C109" s="0" t="s">
        <v>3770</v>
      </c>
      <c r="D109" s="0" t="s">
        <v>3797</v>
      </c>
      <c r="E109" s="0" t="s">
        <v>3798</v>
      </c>
      <c r="F109" s="0" t="s">
        <v>3535</v>
      </c>
      <c r="G109" s="0" t="s">
        <v>3799</v>
      </c>
    </row>
    <row customHeight="1" ht="11.25">
      <c r="A110" s="0" t="s">
        <v>14</v>
      </c>
      <c r="B110" s="0" t="s">
        <v>3769</v>
      </c>
      <c r="C110" s="0" t="s">
        <v>3770</v>
      </c>
      <c r="D110" s="0" t="s">
        <v>3800</v>
      </c>
      <c r="E110" s="0" t="s">
        <v>3801</v>
      </c>
      <c r="F110" s="0" t="s">
        <v>3535</v>
      </c>
      <c r="G110" s="0" t="s">
        <v>3802</v>
      </c>
    </row>
    <row customHeight="1" ht="11.25">
      <c r="A111" s="0" t="s">
        <v>14</v>
      </c>
      <c r="B111" s="0" t="s">
        <v>3769</v>
      </c>
      <c r="C111" s="0" t="s">
        <v>3770</v>
      </c>
      <c r="D111" s="0" t="s">
        <v>3803</v>
      </c>
      <c r="E111" s="0" t="s">
        <v>3804</v>
      </c>
      <c r="F111" s="0" t="s">
        <v>3535</v>
      </c>
      <c r="G111" s="0" t="s">
        <v>3805</v>
      </c>
    </row>
    <row customHeight="1" ht="11.25">
      <c r="A112" s="0" t="s">
        <v>14</v>
      </c>
      <c r="B112" s="0" t="s">
        <v>3769</v>
      </c>
      <c r="C112" s="0" t="s">
        <v>3770</v>
      </c>
      <c r="D112" s="0" t="s">
        <v>3806</v>
      </c>
      <c r="E112" s="0" t="s">
        <v>3807</v>
      </c>
      <c r="F112" s="0" t="s">
        <v>3535</v>
      </c>
      <c r="G112" s="0" t="s">
        <v>3808</v>
      </c>
    </row>
    <row customHeight="1" ht="11.25">
      <c r="A113" s="0" t="s">
        <v>14</v>
      </c>
      <c r="B113" s="0" t="s">
        <v>3769</v>
      </c>
      <c r="C113" s="0" t="s">
        <v>3770</v>
      </c>
      <c r="D113" s="0" t="s">
        <v>3809</v>
      </c>
      <c r="E113" s="0" t="s">
        <v>3810</v>
      </c>
      <c r="F113" s="0" t="s">
        <v>3535</v>
      </c>
      <c r="G113" s="0" t="s">
        <v>3811</v>
      </c>
    </row>
    <row customHeight="1" ht="11.25">
      <c r="A114" s="0" t="s">
        <v>14</v>
      </c>
      <c r="B114" s="0" t="s">
        <v>3769</v>
      </c>
      <c r="C114" s="0" t="s">
        <v>3770</v>
      </c>
      <c r="D114" s="0" t="s">
        <v>3812</v>
      </c>
      <c r="E114" s="0" t="s">
        <v>3813</v>
      </c>
      <c r="F114" s="0" t="s">
        <v>3535</v>
      </c>
      <c r="G114" s="0" t="s">
        <v>3814</v>
      </c>
    </row>
    <row customHeight="1" ht="11.25">
      <c r="A115" s="0" t="s">
        <v>14</v>
      </c>
      <c r="B115" s="0" t="s">
        <v>3769</v>
      </c>
      <c r="C115" s="0" t="s">
        <v>3770</v>
      </c>
      <c r="D115" s="0" t="s">
        <v>3815</v>
      </c>
      <c r="E115" s="0" t="s">
        <v>3816</v>
      </c>
      <c r="F115" s="0" t="s">
        <v>3535</v>
      </c>
      <c r="G115" s="0" t="s">
        <v>3817</v>
      </c>
    </row>
    <row customHeight="1" ht="11.25">
      <c r="A116" s="0" t="s">
        <v>14</v>
      </c>
      <c r="B116" s="0" t="s">
        <v>3818</v>
      </c>
      <c r="C116" s="0" t="s">
        <v>3819</v>
      </c>
      <c r="D116" s="0" t="s">
        <v>3820</v>
      </c>
      <c r="E116" s="0" t="s">
        <v>3821</v>
      </c>
      <c r="F116" s="0" t="s">
        <v>3535</v>
      </c>
      <c r="G116" s="0" t="s">
        <v>3822</v>
      </c>
    </row>
    <row customHeight="1" ht="11.25">
      <c r="A117" s="0" t="s">
        <v>14</v>
      </c>
      <c r="B117" s="0" t="s">
        <v>3818</v>
      </c>
      <c r="C117" s="0" t="s">
        <v>3819</v>
      </c>
      <c r="D117" s="0" t="s">
        <v>3823</v>
      </c>
      <c r="E117" s="0" t="s">
        <v>3824</v>
      </c>
      <c r="F117" s="0" t="s">
        <v>3535</v>
      </c>
      <c r="G117" s="0" t="s">
        <v>3825</v>
      </c>
    </row>
    <row customHeight="1" ht="11.25">
      <c r="A118" s="0" t="s">
        <v>14</v>
      </c>
      <c r="B118" s="0" t="s">
        <v>3818</v>
      </c>
      <c r="C118" s="0" t="s">
        <v>3819</v>
      </c>
      <c r="D118" s="0" t="s">
        <v>3826</v>
      </c>
      <c r="E118" s="0" t="s">
        <v>3827</v>
      </c>
      <c r="F118" s="0" t="s">
        <v>3627</v>
      </c>
      <c r="G118" s="0" t="s">
        <v>3828</v>
      </c>
    </row>
    <row customHeight="1" ht="11.25">
      <c r="A119" s="0" t="s">
        <v>14</v>
      </c>
      <c r="B119" s="0" t="s">
        <v>3818</v>
      </c>
      <c r="C119" s="0" t="s">
        <v>3819</v>
      </c>
      <c r="D119" s="0" t="s">
        <v>3829</v>
      </c>
      <c r="E119" s="0" t="s">
        <v>3830</v>
      </c>
      <c r="F119" s="0" t="s">
        <v>3535</v>
      </c>
      <c r="G119" s="0" t="s">
        <v>3831</v>
      </c>
    </row>
    <row customHeight="1" ht="11.25">
      <c r="A120" s="0" t="s">
        <v>14</v>
      </c>
      <c r="B120" s="0" t="s">
        <v>3818</v>
      </c>
      <c r="C120" s="0" t="s">
        <v>3819</v>
      </c>
      <c r="D120" s="0" t="s">
        <v>3832</v>
      </c>
      <c r="E120" s="0" t="s">
        <v>3833</v>
      </c>
      <c r="F120" s="0" t="s">
        <v>3535</v>
      </c>
      <c r="G120" s="0" t="s">
        <v>3834</v>
      </c>
    </row>
    <row customHeight="1" ht="11.25">
      <c r="A121" s="0" t="s">
        <v>14</v>
      </c>
      <c r="B121" s="0" t="s">
        <v>3818</v>
      </c>
      <c r="C121" s="0" t="s">
        <v>3819</v>
      </c>
      <c r="D121" s="0" t="s">
        <v>3818</v>
      </c>
      <c r="E121" s="0" t="s">
        <v>3819</v>
      </c>
      <c r="F121" s="0" t="s">
        <v>3532</v>
      </c>
      <c r="G121" s="0" t="s">
        <v>3835</v>
      </c>
    </row>
    <row customHeight="1" ht="11.25">
      <c r="A122" s="0" t="s">
        <v>14</v>
      </c>
      <c r="B122" s="0" t="s">
        <v>3818</v>
      </c>
      <c r="C122" s="0" t="s">
        <v>3819</v>
      </c>
      <c r="D122" s="0" t="s">
        <v>3836</v>
      </c>
      <c r="E122" s="0" t="s">
        <v>3837</v>
      </c>
      <c r="F122" s="0" t="s">
        <v>3535</v>
      </c>
      <c r="G122" s="0" t="s">
        <v>3838</v>
      </c>
    </row>
    <row customHeight="1" ht="11.25">
      <c r="A123" s="0" t="s">
        <v>14</v>
      </c>
      <c r="B123" s="0" t="s">
        <v>3818</v>
      </c>
      <c r="C123" s="0" t="s">
        <v>3819</v>
      </c>
      <c r="D123" s="0" t="s">
        <v>3839</v>
      </c>
      <c r="E123" s="0" t="s">
        <v>3840</v>
      </c>
      <c r="F123" s="0" t="s">
        <v>3535</v>
      </c>
      <c r="G123" s="0" t="s">
        <v>3841</v>
      </c>
    </row>
    <row customHeight="1" ht="11.25">
      <c r="A124" s="0" t="s">
        <v>14</v>
      </c>
      <c r="B124" s="0" t="s">
        <v>3818</v>
      </c>
      <c r="C124" s="0" t="s">
        <v>3819</v>
      </c>
      <c r="D124" s="0" t="s">
        <v>3842</v>
      </c>
      <c r="E124" s="0" t="s">
        <v>3843</v>
      </c>
      <c r="F124" s="0" t="s">
        <v>3535</v>
      </c>
      <c r="G124" s="0" t="s">
        <v>3844</v>
      </c>
    </row>
    <row customHeight="1" ht="11.25">
      <c r="A125" s="0" t="s">
        <v>14</v>
      </c>
      <c r="B125" s="0" t="s">
        <v>3818</v>
      </c>
      <c r="C125" s="0" t="s">
        <v>3819</v>
      </c>
      <c r="D125" s="0" t="s">
        <v>3845</v>
      </c>
      <c r="E125" s="0" t="s">
        <v>3846</v>
      </c>
      <c r="F125" s="0" t="s">
        <v>3535</v>
      </c>
      <c r="G125" s="0" t="s">
        <v>3847</v>
      </c>
    </row>
    <row customHeight="1" ht="11.25">
      <c r="A126" s="0" t="s">
        <v>14</v>
      </c>
      <c r="B126" s="0" t="s">
        <v>3818</v>
      </c>
      <c r="C126" s="0" t="s">
        <v>3819</v>
      </c>
      <c r="D126" s="0" t="s">
        <v>3848</v>
      </c>
      <c r="E126" s="0" t="s">
        <v>3849</v>
      </c>
      <c r="F126" s="0" t="s">
        <v>3535</v>
      </c>
      <c r="G126" s="0" t="s">
        <v>3850</v>
      </c>
    </row>
    <row customHeight="1" ht="11.25">
      <c r="A127" s="0" t="s">
        <v>14</v>
      </c>
      <c r="B127" s="0" t="s">
        <v>3818</v>
      </c>
      <c r="C127" s="0" t="s">
        <v>3819</v>
      </c>
      <c r="D127" s="0" t="s">
        <v>3851</v>
      </c>
      <c r="E127" s="0" t="s">
        <v>3852</v>
      </c>
      <c r="F127" s="0" t="s">
        <v>3535</v>
      </c>
      <c r="G127" s="0" t="s">
        <v>3853</v>
      </c>
    </row>
    <row customHeight="1" ht="11.25">
      <c r="A128" s="0" t="s">
        <v>14</v>
      </c>
      <c r="B128" s="0" t="s">
        <v>3818</v>
      </c>
      <c r="C128" s="0" t="s">
        <v>3819</v>
      </c>
      <c r="D128" s="0" t="s">
        <v>3854</v>
      </c>
      <c r="E128" s="0" t="s">
        <v>3855</v>
      </c>
      <c r="F128" s="0" t="s">
        <v>3535</v>
      </c>
      <c r="G128" s="0" t="s">
        <v>3856</v>
      </c>
    </row>
    <row customHeight="1" ht="11.25">
      <c r="A129" s="0" t="s">
        <v>14</v>
      </c>
      <c r="B129" s="0" t="s">
        <v>3818</v>
      </c>
      <c r="C129" s="0" t="s">
        <v>3819</v>
      </c>
      <c r="D129" s="0" t="s">
        <v>3857</v>
      </c>
      <c r="E129" s="0" t="s">
        <v>3858</v>
      </c>
      <c r="F129" s="0" t="s">
        <v>3535</v>
      </c>
      <c r="G129" s="0" t="s">
        <v>3859</v>
      </c>
    </row>
    <row customHeight="1" ht="11.25">
      <c r="A130" s="0" t="s">
        <v>14</v>
      </c>
      <c r="B130" s="0" t="s">
        <v>3818</v>
      </c>
      <c r="C130" s="0" t="s">
        <v>3819</v>
      </c>
      <c r="D130" s="0" t="s">
        <v>3860</v>
      </c>
      <c r="E130" s="0" t="s">
        <v>3861</v>
      </c>
      <c r="F130" s="0" t="s">
        <v>3535</v>
      </c>
      <c r="G130" s="0" t="s">
        <v>3862</v>
      </c>
    </row>
    <row customHeight="1" ht="11.25">
      <c r="A131" s="0" t="s">
        <v>14</v>
      </c>
      <c r="B131" s="0" t="s">
        <v>3818</v>
      </c>
      <c r="C131" s="0" t="s">
        <v>3819</v>
      </c>
      <c r="D131" s="0" t="s">
        <v>3863</v>
      </c>
      <c r="E131" s="0" t="s">
        <v>3864</v>
      </c>
      <c r="F131" s="0" t="s">
        <v>3535</v>
      </c>
      <c r="G131" s="0" t="s">
        <v>3865</v>
      </c>
    </row>
    <row customHeight="1" ht="11.25">
      <c r="A132" s="0" t="s">
        <v>14</v>
      </c>
      <c r="B132" s="0" t="s">
        <v>3818</v>
      </c>
      <c r="C132" s="0" t="s">
        <v>3819</v>
      </c>
      <c r="D132" s="0" t="s">
        <v>3866</v>
      </c>
      <c r="E132" s="0" t="s">
        <v>3867</v>
      </c>
      <c r="F132" s="0" t="s">
        <v>3535</v>
      </c>
      <c r="G132" s="0" t="s">
        <v>3868</v>
      </c>
    </row>
    <row customHeight="1" ht="11.25">
      <c r="A133" s="0" t="s">
        <v>14</v>
      </c>
      <c r="B133" s="0" t="s">
        <v>3869</v>
      </c>
      <c r="C133" s="0" t="s">
        <v>3870</v>
      </c>
      <c r="D133" s="0" t="s">
        <v>3871</v>
      </c>
      <c r="E133" s="0" t="s">
        <v>3872</v>
      </c>
      <c r="F133" s="0" t="s">
        <v>3535</v>
      </c>
      <c r="G133" s="0" t="s">
        <v>3873</v>
      </c>
    </row>
    <row customHeight="1" ht="11.25">
      <c r="A134" s="0" t="s">
        <v>14</v>
      </c>
      <c r="B134" s="0" t="s">
        <v>3869</v>
      </c>
      <c r="C134" s="0" t="s">
        <v>3870</v>
      </c>
      <c r="D134" s="0" t="s">
        <v>3874</v>
      </c>
      <c r="E134" s="0" t="s">
        <v>3875</v>
      </c>
      <c r="F134" s="0" t="s">
        <v>3627</v>
      </c>
      <c r="G134" s="0" t="s">
        <v>3876</v>
      </c>
    </row>
    <row customHeight="1" ht="11.25">
      <c r="A135" s="0" t="s">
        <v>14</v>
      </c>
      <c r="B135" s="0" t="s">
        <v>3869</v>
      </c>
      <c r="C135" s="0" t="s">
        <v>3870</v>
      </c>
      <c r="D135" s="0" t="s">
        <v>3877</v>
      </c>
      <c r="E135" s="0" t="s">
        <v>3878</v>
      </c>
      <c r="F135" s="0" t="s">
        <v>3535</v>
      </c>
      <c r="G135" s="0" t="s">
        <v>3879</v>
      </c>
    </row>
    <row customHeight="1" ht="11.25">
      <c r="A136" s="0" t="s">
        <v>14</v>
      </c>
      <c r="B136" s="0" t="s">
        <v>3869</v>
      </c>
      <c r="C136" s="0" t="s">
        <v>3870</v>
      </c>
      <c r="D136" s="0" t="s">
        <v>3869</v>
      </c>
      <c r="E136" s="0" t="s">
        <v>3870</v>
      </c>
      <c r="F136" s="0" t="s">
        <v>3532</v>
      </c>
      <c r="G136" s="0" t="s">
        <v>3880</v>
      </c>
    </row>
    <row customHeight="1" ht="11.25">
      <c r="A137" s="0" t="s">
        <v>14</v>
      </c>
      <c r="B137" s="0" t="s">
        <v>3869</v>
      </c>
      <c r="C137" s="0" t="s">
        <v>3870</v>
      </c>
      <c r="D137" s="0" t="s">
        <v>3881</v>
      </c>
      <c r="E137" s="0" t="s">
        <v>3882</v>
      </c>
      <c r="F137" s="0" t="s">
        <v>3535</v>
      </c>
      <c r="G137" s="0" t="s">
        <v>3883</v>
      </c>
    </row>
    <row customHeight="1" ht="11.25">
      <c r="A138" s="0" t="s">
        <v>14</v>
      </c>
      <c r="B138" s="0" t="s">
        <v>3869</v>
      </c>
      <c r="C138" s="0" t="s">
        <v>3870</v>
      </c>
      <c r="D138" s="0" t="s">
        <v>3884</v>
      </c>
      <c r="E138" s="0" t="s">
        <v>3885</v>
      </c>
      <c r="F138" s="0" t="s">
        <v>3535</v>
      </c>
      <c r="G138" s="0" t="s">
        <v>3886</v>
      </c>
    </row>
    <row customHeight="1" ht="11.25">
      <c r="A139" s="0" t="s">
        <v>14</v>
      </c>
      <c r="B139" s="0" t="s">
        <v>3869</v>
      </c>
      <c r="C139" s="0" t="s">
        <v>3870</v>
      </c>
      <c r="D139" s="0" t="s">
        <v>3666</v>
      </c>
      <c r="E139" s="0" t="s">
        <v>3887</v>
      </c>
      <c r="F139" s="0" t="s">
        <v>3535</v>
      </c>
      <c r="G139" s="0" t="s">
        <v>3888</v>
      </c>
    </row>
    <row customHeight="1" ht="11.25">
      <c r="A140" s="0" t="s">
        <v>14</v>
      </c>
      <c r="B140" s="0" t="s">
        <v>3869</v>
      </c>
      <c r="C140" s="0" t="s">
        <v>3870</v>
      </c>
      <c r="D140" s="0" t="s">
        <v>3889</v>
      </c>
      <c r="E140" s="0" t="s">
        <v>3890</v>
      </c>
      <c r="F140" s="0" t="s">
        <v>3535</v>
      </c>
      <c r="G140" s="0" t="s">
        <v>3891</v>
      </c>
    </row>
    <row customHeight="1" ht="11.25">
      <c r="A141" s="0" t="s">
        <v>14</v>
      </c>
      <c r="B141" s="0" t="s">
        <v>3869</v>
      </c>
      <c r="C141" s="0" t="s">
        <v>3870</v>
      </c>
      <c r="D141" s="0" t="s">
        <v>3892</v>
      </c>
      <c r="E141" s="0" t="s">
        <v>3893</v>
      </c>
      <c r="F141" s="0" t="s">
        <v>3535</v>
      </c>
      <c r="G141" s="0" t="s">
        <v>3894</v>
      </c>
    </row>
    <row customHeight="1" ht="11.25">
      <c r="A142" s="0" t="s">
        <v>14</v>
      </c>
      <c r="B142" s="0" t="s">
        <v>3869</v>
      </c>
      <c r="C142" s="0" t="s">
        <v>3870</v>
      </c>
      <c r="D142" s="0" t="s">
        <v>3895</v>
      </c>
      <c r="E142" s="0" t="s">
        <v>3896</v>
      </c>
      <c r="F142" s="0" t="s">
        <v>3535</v>
      </c>
      <c r="G142" s="0" t="s">
        <v>3897</v>
      </c>
    </row>
    <row customHeight="1" ht="11.25">
      <c r="A143" s="0" t="s">
        <v>14</v>
      </c>
      <c r="B143" s="0" t="s">
        <v>3869</v>
      </c>
      <c r="C143" s="0" t="s">
        <v>3870</v>
      </c>
      <c r="D143" s="0" t="s">
        <v>3898</v>
      </c>
      <c r="E143" s="0" t="s">
        <v>3899</v>
      </c>
      <c r="F143" s="0" t="s">
        <v>3535</v>
      </c>
      <c r="G143" s="0" t="s">
        <v>3900</v>
      </c>
    </row>
    <row customHeight="1" ht="11.25">
      <c r="A144" s="0" t="s">
        <v>14</v>
      </c>
      <c r="B144" s="0" t="s">
        <v>3901</v>
      </c>
      <c r="C144" s="0" t="s">
        <v>3902</v>
      </c>
      <c r="D144" s="0" t="s">
        <v>3903</v>
      </c>
      <c r="E144" s="0" t="s">
        <v>3904</v>
      </c>
      <c r="F144" s="0" t="s">
        <v>3535</v>
      </c>
      <c r="G144" s="0" t="s">
        <v>3905</v>
      </c>
    </row>
    <row customHeight="1" ht="11.25">
      <c r="A145" s="0" t="s">
        <v>14</v>
      </c>
      <c r="B145" s="0" t="s">
        <v>3901</v>
      </c>
      <c r="C145" s="0" t="s">
        <v>3902</v>
      </c>
      <c r="D145" s="0" t="s">
        <v>3906</v>
      </c>
      <c r="E145" s="0" t="s">
        <v>3907</v>
      </c>
      <c r="F145" s="0" t="s">
        <v>3535</v>
      </c>
      <c r="G145" s="0" t="s">
        <v>3908</v>
      </c>
    </row>
    <row customHeight="1" ht="11.25">
      <c r="A146" s="0" t="s">
        <v>14</v>
      </c>
      <c r="B146" s="0" t="s">
        <v>3901</v>
      </c>
      <c r="C146" s="0" t="s">
        <v>3902</v>
      </c>
      <c r="D146" s="0" t="s">
        <v>3909</v>
      </c>
      <c r="E146" s="0" t="s">
        <v>3910</v>
      </c>
      <c r="F146" s="0" t="s">
        <v>3535</v>
      </c>
      <c r="G146" s="0" t="s">
        <v>3911</v>
      </c>
    </row>
    <row customHeight="1" ht="11.25">
      <c r="A147" s="0" t="s">
        <v>14</v>
      </c>
      <c r="B147" s="0" t="s">
        <v>3901</v>
      </c>
      <c r="C147" s="0" t="s">
        <v>3902</v>
      </c>
      <c r="D147" s="0" t="s">
        <v>3912</v>
      </c>
      <c r="E147" s="0" t="s">
        <v>3913</v>
      </c>
      <c r="F147" s="0" t="s">
        <v>3535</v>
      </c>
      <c r="G147" s="0" t="s">
        <v>3914</v>
      </c>
    </row>
    <row customHeight="1" ht="11.25">
      <c r="A148" s="0" t="s">
        <v>14</v>
      </c>
      <c r="B148" s="0" t="s">
        <v>3901</v>
      </c>
      <c r="C148" s="0" t="s">
        <v>3902</v>
      </c>
      <c r="D148" s="0" t="s">
        <v>3915</v>
      </c>
      <c r="E148" s="0" t="s">
        <v>3916</v>
      </c>
      <c r="F148" s="0" t="s">
        <v>3535</v>
      </c>
      <c r="G148" s="0" t="s">
        <v>3917</v>
      </c>
    </row>
    <row customHeight="1" ht="11.25">
      <c r="A149" s="0" t="s">
        <v>14</v>
      </c>
      <c r="B149" s="0" t="s">
        <v>3901</v>
      </c>
      <c r="C149" s="0" t="s">
        <v>3902</v>
      </c>
      <c r="D149" s="0" t="s">
        <v>3918</v>
      </c>
      <c r="E149" s="0" t="s">
        <v>3919</v>
      </c>
      <c r="F149" s="0" t="s">
        <v>3535</v>
      </c>
      <c r="G149" s="0" t="s">
        <v>3920</v>
      </c>
    </row>
    <row customHeight="1" ht="11.25">
      <c r="A150" s="0" t="s">
        <v>14</v>
      </c>
      <c r="B150" s="0" t="s">
        <v>3901</v>
      </c>
      <c r="C150" s="0" t="s">
        <v>3902</v>
      </c>
      <c r="D150" s="0" t="s">
        <v>3921</v>
      </c>
      <c r="E150" s="0" t="s">
        <v>3922</v>
      </c>
      <c r="F150" s="0" t="s">
        <v>3535</v>
      </c>
      <c r="G150" s="0" t="s">
        <v>3923</v>
      </c>
    </row>
    <row customHeight="1" ht="11.25">
      <c r="A151" s="0" t="s">
        <v>14</v>
      </c>
      <c r="B151" s="0" t="s">
        <v>3901</v>
      </c>
      <c r="C151" s="0" t="s">
        <v>3902</v>
      </c>
      <c r="D151" s="0" t="s">
        <v>3924</v>
      </c>
      <c r="E151" s="0" t="s">
        <v>3925</v>
      </c>
      <c r="F151" s="0" t="s">
        <v>3535</v>
      </c>
      <c r="G151" s="0" t="s">
        <v>3926</v>
      </c>
    </row>
    <row customHeight="1" ht="11.25">
      <c r="A152" s="0" t="s">
        <v>14</v>
      </c>
      <c r="B152" s="0" t="s">
        <v>3901</v>
      </c>
      <c r="C152" s="0" t="s">
        <v>3902</v>
      </c>
      <c r="D152" s="0" t="s">
        <v>3901</v>
      </c>
      <c r="E152" s="0" t="s">
        <v>3902</v>
      </c>
      <c r="F152" s="0" t="s">
        <v>3532</v>
      </c>
      <c r="G152" s="0" t="s">
        <v>3927</v>
      </c>
    </row>
    <row customHeight="1" ht="11.25">
      <c r="A153" s="0" t="s">
        <v>14</v>
      </c>
      <c r="B153" s="0" t="s">
        <v>3901</v>
      </c>
      <c r="C153" s="0" t="s">
        <v>3902</v>
      </c>
      <c r="D153" s="0" t="s">
        <v>3928</v>
      </c>
      <c r="E153" s="0" t="s">
        <v>3929</v>
      </c>
      <c r="F153" s="0" t="s">
        <v>3535</v>
      </c>
      <c r="G153" s="0" t="s">
        <v>3930</v>
      </c>
    </row>
    <row customHeight="1" ht="11.25">
      <c r="A154" s="0" t="s">
        <v>14</v>
      </c>
      <c r="B154" s="0" t="s">
        <v>3901</v>
      </c>
      <c r="C154" s="0" t="s">
        <v>3902</v>
      </c>
      <c r="D154" s="0" t="s">
        <v>3931</v>
      </c>
      <c r="E154" s="0" t="s">
        <v>3932</v>
      </c>
      <c r="F154" s="0" t="s">
        <v>3535</v>
      </c>
      <c r="G154" s="0" t="s">
        <v>3933</v>
      </c>
    </row>
    <row customHeight="1" ht="11.25">
      <c r="A155" s="0" t="s">
        <v>14</v>
      </c>
      <c r="B155" s="0" t="s">
        <v>3901</v>
      </c>
      <c r="C155" s="0" t="s">
        <v>3902</v>
      </c>
      <c r="D155" s="0" t="s">
        <v>3934</v>
      </c>
      <c r="E155" s="0" t="s">
        <v>3935</v>
      </c>
      <c r="F155" s="0" t="s">
        <v>3535</v>
      </c>
      <c r="G155" s="0" t="s">
        <v>3936</v>
      </c>
    </row>
    <row customHeight="1" ht="11.25">
      <c r="A156" s="0" t="s">
        <v>14</v>
      </c>
      <c r="B156" s="0" t="s">
        <v>3901</v>
      </c>
      <c r="C156" s="0" t="s">
        <v>3902</v>
      </c>
      <c r="D156" s="0" t="s">
        <v>3937</v>
      </c>
      <c r="E156" s="0" t="s">
        <v>3938</v>
      </c>
      <c r="F156" s="0" t="s">
        <v>3535</v>
      </c>
      <c r="G156" s="0" t="s">
        <v>3939</v>
      </c>
    </row>
    <row customHeight="1" ht="11.25">
      <c r="A157" s="0" t="s">
        <v>14</v>
      </c>
      <c r="B157" s="0" t="s">
        <v>3901</v>
      </c>
      <c r="C157" s="0" t="s">
        <v>3902</v>
      </c>
      <c r="D157" s="0" t="s">
        <v>3940</v>
      </c>
      <c r="E157" s="0" t="s">
        <v>3941</v>
      </c>
      <c r="F157" s="0" t="s">
        <v>3535</v>
      </c>
      <c r="G157" s="0" t="s">
        <v>3942</v>
      </c>
    </row>
    <row customHeight="1" ht="11.25">
      <c r="A158" s="0" t="s">
        <v>14</v>
      </c>
      <c r="B158" s="0" t="s">
        <v>3901</v>
      </c>
      <c r="C158" s="0" t="s">
        <v>3902</v>
      </c>
      <c r="D158" s="0" t="s">
        <v>3943</v>
      </c>
      <c r="E158" s="0" t="s">
        <v>3944</v>
      </c>
      <c r="F158" s="0" t="s">
        <v>3535</v>
      </c>
      <c r="G158" s="0" t="s">
        <v>3945</v>
      </c>
    </row>
    <row customHeight="1" ht="11.25">
      <c r="A159" s="0" t="s">
        <v>14</v>
      </c>
      <c r="B159" s="0" t="s">
        <v>3901</v>
      </c>
      <c r="C159" s="0" t="s">
        <v>3902</v>
      </c>
      <c r="D159" s="0" t="s">
        <v>3946</v>
      </c>
      <c r="E159" s="0" t="s">
        <v>3947</v>
      </c>
      <c r="F159" s="0" t="s">
        <v>3535</v>
      </c>
      <c r="G159" s="0" t="s">
        <v>3948</v>
      </c>
    </row>
    <row customHeight="1" ht="11.25">
      <c r="A160" s="0" t="s">
        <v>14</v>
      </c>
      <c r="B160" s="0" t="s">
        <v>3949</v>
      </c>
      <c r="C160" s="0" t="s">
        <v>3950</v>
      </c>
      <c r="D160" s="0" t="s">
        <v>3951</v>
      </c>
      <c r="E160" s="0" t="s">
        <v>3952</v>
      </c>
      <c r="F160" s="0" t="s">
        <v>3535</v>
      </c>
      <c r="G160" s="0" t="s">
        <v>3953</v>
      </c>
    </row>
    <row customHeight="1" ht="11.25">
      <c r="A161" s="0" t="s">
        <v>14</v>
      </c>
      <c r="B161" s="0" t="s">
        <v>3949</v>
      </c>
      <c r="C161" s="0" t="s">
        <v>3950</v>
      </c>
      <c r="D161" s="0" t="s">
        <v>3949</v>
      </c>
      <c r="E161" s="0" t="s">
        <v>3950</v>
      </c>
      <c r="F161" s="0" t="s">
        <v>3532</v>
      </c>
      <c r="G161" s="0" t="s">
        <v>3954</v>
      </c>
    </row>
    <row customHeight="1" ht="11.25">
      <c r="A162" s="0" t="s">
        <v>14</v>
      </c>
      <c r="B162" s="0" t="s">
        <v>3949</v>
      </c>
      <c r="C162" s="0" t="s">
        <v>3950</v>
      </c>
      <c r="D162" s="0" t="s">
        <v>3955</v>
      </c>
      <c r="E162" s="0" t="s">
        <v>3956</v>
      </c>
      <c r="F162" s="0" t="s">
        <v>3535</v>
      </c>
      <c r="G162" s="0" t="s">
        <v>3957</v>
      </c>
    </row>
    <row customHeight="1" ht="11.25">
      <c r="A163" s="0" t="s">
        <v>14</v>
      </c>
      <c r="B163" s="0" t="s">
        <v>3949</v>
      </c>
      <c r="C163" s="0" t="s">
        <v>3950</v>
      </c>
      <c r="D163" s="0" t="s">
        <v>3958</v>
      </c>
      <c r="E163" s="0" t="s">
        <v>3959</v>
      </c>
      <c r="F163" s="0" t="s">
        <v>3535</v>
      </c>
      <c r="G163" s="0" t="s">
        <v>3960</v>
      </c>
    </row>
    <row customHeight="1" ht="11.25">
      <c r="A164" s="0" t="s">
        <v>14</v>
      </c>
      <c r="B164" s="0" t="s">
        <v>3949</v>
      </c>
      <c r="C164" s="0" t="s">
        <v>3950</v>
      </c>
      <c r="D164" s="0" t="s">
        <v>3961</v>
      </c>
      <c r="E164" s="0" t="s">
        <v>3962</v>
      </c>
      <c r="F164" s="0" t="s">
        <v>3535</v>
      </c>
      <c r="G164" s="0" t="s">
        <v>3963</v>
      </c>
    </row>
    <row customHeight="1" ht="11.25">
      <c r="A165" s="0" t="s">
        <v>14</v>
      </c>
      <c r="B165" s="0" t="s">
        <v>3949</v>
      </c>
      <c r="C165" s="0" t="s">
        <v>3950</v>
      </c>
      <c r="D165" s="0" t="s">
        <v>3964</v>
      </c>
      <c r="E165" s="0" t="s">
        <v>3965</v>
      </c>
      <c r="F165" s="0" t="s">
        <v>3535</v>
      </c>
      <c r="G165" s="0" t="s">
        <v>3966</v>
      </c>
    </row>
    <row customHeight="1" ht="11.25">
      <c r="A166" s="0" t="s">
        <v>14</v>
      </c>
      <c r="B166" s="0" t="s">
        <v>3949</v>
      </c>
      <c r="C166" s="0" t="s">
        <v>3950</v>
      </c>
      <c r="D166" s="0" t="s">
        <v>3967</v>
      </c>
      <c r="E166" s="0" t="s">
        <v>3968</v>
      </c>
      <c r="F166" s="0" t="s">
        <v>3535</v>
      </c>
      <c r="G166" s="0" t="s">
        <v>3969</v>
      </c>
    </row>
    <row customHeight="1" ht="11.25">
      <c r="A167" s="0" t="s">
        <v>14</v>
      </c>
      <c r="B167" s="0" t="s">
        <v>3949</v>
      </c>
      <c r="C167" s="0" t="s">
        <v>3950</v>
      </c>
      <c r="D167" s="0" t="s">
        <v>3970</v>
      </c>
      <c r="E167" s="0" t="s">
        <v>3971</v>
      </c>
      <c r="F167" s="0" t="s">
        <v>3535</v>
      </c>
      <c r="G167" s="0" t="s">
        <v>3972</v>
      </c>
    </row>
    <row customHeight="1" ht="11.25">
      <c r="A168" s="0" t="s">
        <v>14</v>
      </c>
      <c r="B168" s="0" t="s">
        <v>3949</v>
      </c>
      <c r="C168" s="0" t="s">
        <v>3950</v>
      </c>
      <c r="D168" s="0" t="s">
        <v>3973</v>
      </c>
      <c r="E168" s="0" t="s">
        <v>3974</v>
      </c>
      <c r="F168" s="0" t="s">
        <v>3535</v>
      </c>
      <c r="G168" s="0" t="s">
        <v>3975</v>
      </c>
    </row>
    <row customHeight="1" ht="11.25">
      <c r="A169" s="0" t="s">
        <v>14</v>
      </c>
      <c r="B169" s="0" t="s">
        <v>3949</v>
      </c>
      <c r="C169" s="0" t="s">
        <v>3950</v>
      </c>
      <c r="D169" s="0" t="s">
        <v>3976</v>
      </c>
      <c r="E169" s="0" t="s">
        <v>3977</v>
      </c>
      <c r="F169" s="0" t="s">
        <v>3535</v>
      </c>
      <c r="G169" s="0" t="s">
        <v>3978</v>
      </c>
    </row>
    <row customHeight="1" ht="11.25">
      <c r="A170" s="0" t="s">
        <v>14</v>
      </c>
      <c r="B170" s="0" t="s">
        <v>3949</v>
      </c>
      <c r="C170" s="0" t="s">
        <v>3950</v>
      </c>
      <c r="D170" s="0" t="s">
        <v>3979</v>
      </c>
      <c r="E170" s="0" t="s">
        <v>3980</v>
      </c>
      <c r="F170" s="0" t="s">
        <v>3535</v>
      </c>
      <c r="G170" s="0" t="s">
        <v>3981</v>
      </c>
    </row>
    <row customHeight="1" ht="11.25">
      <c r="A171" s="0" t="s">
        <v>14</v>
      </c>
      <c r="B171" s="0" t="s">
        <v>3949</v>
      </c>
      <c r="C171" s="0" t="s">
        <v>3950</v>
      </c>
      <c r="D171" s="0" t="s">
        <v>3982</v>
      </c>
      <c r="E171" s="0" t="s">
        <v>3983</v>
      </c>
      <c r="F171" s="0" t="s">
        <v>3535</v>
      </c>
      <c r="G171" s="0" t="s">
        <v>3984</v>
      </c>
    </row>
    <row customHeight="1" ht="11.25">
      <c r="A172" s="0" t="s">
        <v>14</v>
      </c>
      <c r="B172" s="0" t="s">
        <v>3985</v>
      </c>
      <c r="C172" s="0" t="s">
        <v>3986</v>
      </c>
      <c r="D172" s="0" t="s">
        <v>3987</v>
      </c>
      <c r="E172" s="0" t="s">
        <v>3988</v>
      </c>
      <c r="F172" s="0" t="s">
        <v>3535</v>
      </c>
      <c r="G172" s="0" t="s">
        <v>3989</v>
      </c>
    </row>
    <row customHeight="1" ht="11.25">
      <c r="A173" s="0" t="s">
        <v>14</v>
      </c>
      <c r="B173" s="0" t="s">
        <v>3985</v>
      </c>
      <c r="C173" s="0" t="s">
        <v>3986</v>
      </c>
      <c r="D173" s="0" t="s">
        <v>3990</v>
      </c>
      <c r="E173" s="0" t="s">
        <v>3991</v>
      </c>
      <c r="F173" s="0" t="s">
        <v>3535</v>
      </c>
      <c r="G173" s="0" t="s">
        <v>3992</v>
      </c>
    </row>
    <row customHeight="1" ht="11.25">
      <c r="A174" s="0" t="s">
        <v>14</v>
      </c>
      <c r="B174" s="0" t="s">
        <v>3985</v>
      </c>
      <c r="C174" s="0" t="s">
        <v>3986</v>
      </c>
      <c r="D174" s="0" t="s">
        <v>3993</v>
      </c>
      <c r="E174" s="0" t="s">
        <v>3994</v>
      </c>
      <c r="F174" s="0" t="s">
        <v>3535</v>
      </c>
      <c r="G174" s="0" t="s">
        <v>3995</v>
      </c>
    </row>
    <row customHeight="1" ht="11.25">
      <c r="A175" s="0" t="s">
        <v>14</v>
      </c>
      <c r="B175" s="0" t="s">
        <v>3985</v>
      </c>
      <c r="C175" s="0" t="s">
        <v>3986</v>
      </c>
      <c r="D175" s="0" t="s">
        <v>3985</v>
      </c>
      <c r="E175" s="0" t="s">
        <v>3986</v>
      </c>
      <c r="F175" s="0" t="s">
        <v>3532</v>
      </c>
      <c r="G175" s="0" t="s">
        <v>3996</v>
      </c>
    </row>
    <row customHeight="1" ht="11.25">
      <c r="A176" s="0" t="s">
        <v>14</v>
      </c>
      <c r="B176" s="0" t="s">
        <v>3985</v>
      </c>
      <c r="C176" s="0" t="s">
        <v>3986</v>
      </c>
      <c r="D176" s="0" t="s">
        <v>3997</v>
      </c>
      <c r="E176" s="0" t="s">
        <v>3998</v>
      </c>
      <c r="F176" s="0" t="s">
        <v>3535</v>
      </c>
      <c r="G176" s="0" t="s">
        <v>3999</v>
      </c>
    </row>
    <row customHeight="1" ht="11.25">
      <c r="A177" s="0" t="s">
        <v>14</v>
      </c>
      <c r="B177" s="0" t="s">
        <v>3985</v>
      </c>
      <c r="C177" s="0" t="s">
        <v>3986</v>
      </c>
      <c r="D177" s="0" t="s">
        <v>4000</v>
      </c>
      <c r="E177" s="0" t="s">
        <v>4001</v>
      </c>
      <c r="F177" s="0" t="s">
        <v>3535</v>
      </c>
      <c r="G177" s="0" t="s">
        <v>4002</v>
      </c>
    </row>
    <row customHeight="1" ht="11.25">
      <c r="A178" s="0" t="s">
        <v>14</v>
      </c>
      <c r="B178" s="0" t="s">
        <v>3985</v>
      </c>
      <c r="C178" s="0" t="s">
        <v>3986</v>
      </c>
      <c r="D178" s="0" t="s">
        <v>4003</v>
      </c>
      <c r="E178" s="0" t="s">
        <v>4004</v>
      </c>
      <c r="F178" s="0" t="s">
        <v>3535</v>
      </c>
      <c r="G178" s="0" t="s">
        <v>4005</v>
      </c>
    </row>
    <row customHeight="1" ht="11.25">
      <c r="A179" s="0" t="s">
        <v>14</v>
      </c>
      <c r="B179" s="0" t="s">
        <v>3985</v>
      </c>
      <c r="C179" s="0" t="s">
        <v>3986</v>
      </c>
      <c r="D179" s="0" t="s">
        <v>4006</v>
      </c>
      <c r="E179" s="0" t="s">
        <v>4007</v>
      </c>
      <c r="F179" s="0" t="s">
        <v>3535</v>
      </c>
      <c r="G179" s="0" t="s">
        <v>4008</v>
      </c>
    </row>
    <row customHeight="1" ht="11.25">
      <c r="A180" s="0" t="s">
        <v>14</v>
      </c>
      <c r="B180" s="0" t="s">
        <v>3985</v>
      </c>
      <c r="C180" s="0" t="s">
        <v>3986</v>
      </c>
      <c r="D180" s="0" t="s">
        <v>4009</v>
      </c>
      <c r="E180" s="0" t="s">
        <v>4010</v>
      </c>
      <c r="F180" s="0" t="s">
        <v>3535</v>
      </c>
      <c r="G180" s="0" t="s">
        <v>4011</v>
      </c>
    </row>
    <row customHeight="1" ht="11.25">
      <c r="A181" s="0" t="s">
        <v>14</v>
      </c>
      <c r="B181" s="0" t="s">
        <v>3985</v>
      </c>
      <c r="C181" s="0" t="s">
        <v>3986</v>
      </c>
      <c r="D181" s="0" t="s">
        <v>4012</v>
      </c>
      <c r="E181" s="0" t="s">
        <v>4013</v>
      </c>
      <c r="F181" s="0" t="s">
        <v>3535</v>
      </c>
      <c r="G181" s="0" t="s">
        <v>4014</v>
      </c>
    </row>
    <row customHeight="1" ht="11.25">
      <c r="A182" s="0" t="s">
        <v>14</v>
      </c>
      <c r="B182" s="0" t="s">
        <v>3985</v>
      </c>
      <c r="C182" s="0" t="s">
        <v>3986</v>
      </c>
      <c r="D182" s="0" t="s">
        <v>4015</v>
      </c>
      <c r="E182" s="0" t="s">
        <v>4016</v>
      </c>
      <c r="F182" s="0" t="s">
        <v>3535</v>
      </c>
      <c r="G182" s="0" t="s">
        <v>4017</v>
      </c>
    </row>
    <row customHeight="1" ht="11.25">
      <c r="A183" s="0" t="s">
        <v>14</v>
      </c>
      <c r="B183" s="0" t="s">
        <v>3985</v>
      </c>
      <c r="C183" s="0" t="s">
        <v>3986</v>
      </c>
      <c r="D183" s="0" t="s">
        <v>4018</v>
      </c>
      <c r="E183" s="0" t="s">
        <v>4019</v>
      </c>
      <c r="F183" s="0" t="s">
        <v>3535</v>
      </c>
      <c r="G183" s="0" t="s">
        <v>4020</v>
      </c>
    </row>
    <row customHeight="1" ht="11.25">
      <c r="A184" s="0" t="s">
        <v>14</v>
      </c>
      <c r="B184" s="0" t="s">
        <v>3985</v>
      </c>
      <c r="C184" s="0" t="s">
        <v>3986</v>
      </c>
      <c r="D184" s="0" t="s">
        <v>4021</v>
      </c>
      <c r="E184" s="0" t="s">
        <v>4022</v>
      </c>
      <c r="F184" s="0" t="s">
        <v>3535</v>
      </c>
      <c r="G184" s="0" t="s">
        <v>4023</v>
      </c>
    </row>
    <row customHeight="1" ht="11.25">
      <c r="A185" s="0" t="s">
        <v>14</v>
      </c>
      <c r="B185" s="0" t="s">
        <v>4024</v>
      </c>
      <c r="C185" s="0" t="s">
        <v>4025</v>
      </c>
      <c r="D185" s="0" t="s">
        <v>4026</v>
      </c>
      <c r="E185" s="0" t="s">
        <v>4027</v>
      </c>
      <c r="F185" s="0" t="s">
        <v>3535</v>
      </c>
      <c r="G185" s="0" t="s">
        <v>4028</v>
      </c>
    </row>
    <row customHeight="1" ht="11.25">
      <c r="A186" s="0" t="s">
        <v>14</v>
      </c>
      <c r="B186" s="0" t="s">
        <v>4024</v>
      </c>
      <c r="C186" s="0" t="s">
        <v>4025</v>
      </c>
      <c r="D186" s="0" t="s">
        <v>4029</v>
      </c>
      <c r="E186" s="0" t="s">
        <v>4030</v>
      </c>
      <c r="F186" s="0" t="s">
        <v>3535</v>
      </c>
      <c r="G186" s="0" t="s">
        <v>4031</v>
      </c>
    </row>
    <row customHeight="1" ht="11.25">
      <c r="A187" s="0" t="s">
        <v>14</v>
      </c>
      <c r="B187" s="0" t="s">
        <v>4024</v>
      </c>
      <c r="C187" s="0" t="s">
        <v>4025</v>
      </c>
      <c r="D187" s="0" t="s">
        <v>2014</v>
      </c>
      <c r="E187" s="0" t="s">
        <v>4032</v>
      </c>
      <c r="F187" s="0" t="s">
        <v>3535</v>
      </c>
      <c r="G187" s="0" t="s">
        <v>4033</v>
      </c>
    </row>
    <row customHeight="1" ht="11.25">
      <c r="A188" s="0" t="s">
        <v>14</v>
      </c>
      <c r="B188" s="0" t="s">
        <v>4024</v>
      </c>
      <c r="C188" s="0" t="s">
        <v>4025</v>
      </c>
      <c r="D188" s="0" t="s">
        <v>4034</v>
      </c>
      <c r="E188" s="0" t="s">
        <v>4035</v>
      </c>
      <c r="F188" s="0" t="s">
        <v>3535</v>
      </c>
      <c r="G188" s="0" t="s">
        <v>4036</v>
      </c>
    </row>
    <row customHeight="1" ht="11.25">
      <c r="A189" s="0" t="s">
        <v>14</v>
      </c>
      <c r="B189" s="0" t="s">
        <v>4024</v>
      </c>
      <c r="C189" s="0" t="s">
        <v>4025</v>
      </c>
      <c r="D189" s="0" t="s">
        <v>4024</v>
      </c>
      <c r="E189" s="0" t="s">
        <v>4025</v>
      </c>
      <c r="F189" s="0" t="s">
        <v>3532</v>
      </c>
      <c r="G189" s="0" t="s">
        <v>4037</v>
      </c>
    </row>
    <row customHeight="1" ht="11.25">
      <c r="A190" s="0" t="s">
        <v>14</v>
      </c>
      <c r="B190" s="0" t="s">
        <v>4024</v>
      </c>
      <c r="C190" s="0" t="s">
        <v>4025</v>
      </c>
      <c r="D190" s="0" t="s">
        <v>4038</v>
      </c>
      <c r="E190" s="0" t="s">
        <v>4039</v>
      </c>
      <c r="F190" s="0" t="s">
        <v>3535</v>
      </c>
      <c r="G190" s="0" t="s">
        <v>4040</v>
      </c>
    </row>
    <row customHeight="1" ht="11.25">
      <c r="A191" s="0" t="s">
        <v>14</v>
      </c>
      <c r="B191" s="0" t="s">
        <v>4024</v>
      </c>
      <c r="C191" s="0" t="s">
        <v>4025</v>
      </c>
      <c r="D191" s="0" t="s">
        <v>4041</v>
      </c>
      <c r="E191" s="0" t="s">
        <v>4042</v>
      </c>
      <c r="F191" s="0" t="s">
        <v>3535</v>
      </c>
      <c r="G191" s="0" t="s">
        <v>4043</v>
      </c>
    </row>
    <row customHeight="1" ht="11.25">
      <c r="A192" s="0" t="s">
        <v>14</v>
      </c>
      <c r="B192" s="0" t="s">
        <v>4024</v>
      </c>
      <c r="C192" s="0" t="s">
        <v>4025</v>
      </c>
      <c r="D192" s="0" t="s">
        <v>4044</v>
      </c>
      <c r="E192" s="0" t="s">
        <v>4045</v>
      </c>
      <c r="F192" s="0" t="s">
        <v>3535</v>
      </c>
      <c r="G192" s="0" t="s">
        <v>4046</v>
      </c>
    </row>
    <row customHeight="1" ht="11.25">
      <c r="A193" s="0" t="s">
        <v>14</v>
      </c>
      <c r="B193" s="0" t="s">
        <v>4024</v>
      </c>
      <c r="C193" s="0" t="s">
        <v>4025</v>
      </c>
      <c r="D193" s="0" t="s">
        <v>4047</v>
      </c>
      <c r="E193" s="0" t="s">
        <v>4048</v>
      </c>
      <c r="F193" s="0" t="s">
        <v>3535</v>
      </c>
      <c r="G193" s="0" t="s">
        <v>4049</v>
      </c>
    </row>
    <row customHeight="1" ht="11.25">
      <c r="A194" s="0" t="s">
        <v>14</v>
      </c>
      <c r="B194" s="0" t="s">
        <v>4024</v>
      </c>
      <c r="C194" s="0" t="s">
        <v>4025</v>
      </c>
      <c r="D194" s="0" t="s">
        <v>4050</v>
      </c>
      <c r="E194" s="0" t="s">
        <v>4051</v>
      </c>
      <c r="F194" s="0" t="s">
        <v>3535</v>
      </c>
      <c r="G194" s="0" t="s">
        <v>4052</v>
      </c>
    </row>
    <row customHeight="1" ht="11.25">
      <c r="A195" s="0" t="s">
        <v>14</v>
      </c>
      <c r="B195" s="0" t="s">
        <v>4024</v>
      </c>
      <c r="C195" s="0" t="s">
        <v>4025</v>
      </c>
      <c r="D195" s="0" t="s">
        <v>4053</v>
      </c>
      <c r="E195" s="0" t="s">
        <v>4054</v>
      </c>
      <c r="F195" s="0" t="s">
        <v>3535</v>
      </c>
      <c r="G195" s="0" t="s">
        <v>4055</v>
      </c>
    </row>
    <row customHeight="1" ht="11.25">
      <c r="A196" s="0" t="s">
        <v>14</v>
      </c>
      <c r="B196" s="0" t="s">
        <v>4024</v>
      </c>
      <c r="C196" s="0" t="s">
        <v>4025</v>
      </c>
      <c r="D196" s="0" t="s">
        <v>4056</v>
      </c>
      <c r="E196" s="0" t="s">
        <v>4057</v>
      </c>
      <c r="F196" s="0" t="s">
        <v>3535</v>
      </c>
      <c r="G196" s="0" t="s">
        <v>4058</v>
      </c>
    </row>
    <row customHeight="1" ht="11.25">
      <c r="A197" s="0" t="s">
        <v>14</v>
      </c>
      <c r="B197" s="0" t="s">
        <v>4059</v>
      </c>
      <c r="C197" s="0" t="s">
        <v>4060</v>
      </c>
      <c r="D197" s="0" t="s">
        <v>4061</v>
      </c>
      <c r="E197" s="0" t="s">
        <v>4062</v>
      </c>
      <c r="F197" s="0" t="s">
        <v>3627</v>
      </c>
      <c r="G197" s="0" t="s">
        <v>4063</v>
      </c>
    </row>
    <row customHeight="1" ht="11.25">
      <c r="A198" s="0" t="s">
        <v>14</v>
      </c>
      <c r="B198" s="0" t="s">
        <v>4059</v>
      </c>
      <c r="C198" s="0" t="s">
        <v>4060</v>
      </c>
      <c r="D198" s="0" t="s">
        <v>4064</v>
      </c>
      <c r="E198" s="0" t="s">
        <v>4065</v>
      </c>
      <c r="F198" s="0" t="s">
        <v>3535</v>
      </c>
      <c r="G198" s="0" t="s">
        <v>4066</v>
      </c>
    </row>
    <row customHeight="1" ht="11.25">
      <c r="A199" s="0" t="s">
        <v>14</v>
      </c>
      <c r="B199" s="0" t="s">
        <v>4059</v>
      </c>
      <c r="C199" s="0" t="s">
        <v>4060</v>
      </c>
      <c r="D199" s="0" t="s">
        <v>4067</v>
      </c>
      <c r="E199" s="0" t="s">
        <v>4068</v>
      </c>
      <c r="F199" s="0" t="s">
        <v>3535</v>
      </c>
      <c r="G199" s="0" t="s">
        <v>4069</v>
      </c>
    </row>
    <row customHeight="1" ht="11.25">
      <c r="A200" s="0" t="s">
        <v>14</v>
      </c>
      <c r="B200" s="0" t="s">
        <v>4059</v>
      </c>
      <c r="C200" s="0" t="s">
        <v>4060</v>
      </c>
      <c r="D200" s="0" t="s">
        <v>4070</v>
      </c>
      <c r="E200" s="0" t="s">
        <v>4071</v>
      </c>
      <c r="F200" s="0" t="s">
        <v>3535</v>
      </c>
      <c r="G200" s="0" t="s">
        <v>4072</v>
      </c>
    </row>
    <row customHeight="1" ht="11.25">
      <c r="A201" s="0" t="s">
        <v>14</v>
      </c>
      <c r="B201" s="0" t="s">
        <v>4059</v>
      </c>
      <c r="C201" s="0" t="s">
        <v>4060</v>
      </c>
      <c r="D201" s="0" t="s">
        <v>4073</v>
      </c>
      <c r="E201" s="0" t="s">
        <v>4074</v>
      </c>
      <c r="F201" s="0" t="s">
        <v>3535</v>
      </c>
      <c r="G201" s="0" t="s">
        <v>4075</v>
      </c>
    </row>
    <row customHeight="1" ht="11.25">
      <c r="A202" s="0" t="s">
        <v>14</v>
      </c>
      <c r="B202" s="0" t="s">
        <v>4059</v>
      </c>
      <c r="C202" s="0" t="s">
        <v>4060</v>
      </c>
      <c r="D202" s="0" t="s">
        <v>4059</v>
      </c>
      <c r="E202" s="0" t="s">
        <v>4060</v>
      </c>
      <c r="F202" s="0" t="s">
        <v>3532</v>
      </c>
      <c r="G202" s="0" t="s">
        <v>4076</v>
      </c>
    </row>
    <row customHeight="1" ht="11.25">
      <c r="A203" s="0" t="s">
        <v>14</v>
      </c>
      <c r="B203" s="0" t="s">
        <v>4059</v>
      </c>
      <c r="C203" s="0" t="s">
        <v>4060</v>
      </c>
      <c r="D203" s="0" t="s">
        <v>4077</v>
      </c>
      <c r="E203" s="0" t="s">
        <v>4078</v>
      </c>
      <c r="F203" s="0" t="s">
        <v>3535</v>
      </c>
      <c r="G203" s="0" t="s">
        <v>4079</v>
      </c>
    </row>
    <row customHeight="1" ht="11.25">
      <c r="A204" s="0" t="s">
        <v>14</v>
      </c>
      <c r="B204" s="0" t="s">
        <v>4059</v>
      </c>
      <c r="C204" s="0" t="s">
        <v>4060</v>
      </c>
      <c r="D204" s="0" t="s">
        <v>3854</v>
      </c>
      <c r="E204" s="0" t="s">
        <v>4080</v>
      </c>
      <c r="F204" s="0" t="s">
        <v>3535</v>
      </c>
      <c r="G204" s="0" t="s">
        <v>4081</v>
      </c>
    </row>
    <row customHeight="1" ht="11.25">
      <c r="A205" s="0" t="s">
        <v>14</v>
      </c>
      <c r="B205" s="0" t="s">
        <v>4059</v>
      </c>
      <c r="C205" s="0" t="s">
        <v>4060</v>
      </c>
      <c r="D205" s="0" t="s">
        <v>4082</v>
      </c>
      <c r="E205" s="0" t="s">
        <v>4083</v>
      </c>
      <c r="F205" s="0" t="s">
        <v>3535</v>
      </c>
      <c r="G205" s="0" t="s">
        <v>4084</v>
      </c>
    </row>
    <row customHeight="1" ht="11.25">
      <c r="A206" s="0" t="s">
        <v>14</v>
      </c>
      <c r="B206" s="0" t="s">
        <v>4059</v>
      </c>
      <c r="C206" s="0" t="s">
        <v>4060</v>
      </c>
      <c r="D206" s="0" t="s">
        <v>4085</v>
      </c>
      <c r="E206" s="0" t="s">
        <v>4086</v>
      </c>
      <c r="F206" s="0" t="s">
        <v>3535</v>
      </c>
      <c r="G206" s="0" t="s">
        <v>4087</v>
      </c>
    </row>
    <row customHeight="1" ht="11.25">
      <c r="A207" s="0" t="s">
        <v>14</v>
      </c>
      <c r="B207" s="0" t="s">
        <v>4059</v>
      </c>
      <c r="C207" s="0" t="s">
        <v>4060</v>
      </c>
      <c r="D207" s="0" t="s">
        <v>4088</v>
      </c>
      <c r="E207" s="0" t="s">
        <v>4089</v>
      </c>
      <c r="F207" s="0" t="s">
        <v>3792</v>
      </c>
      <c r="G207" s="0" t="s">
        <v>4090</v>
      </c>
    </row>
    <row customHeight="1" ht="11.25">
      <c r="A208" s="0" t="s">
        <v>14</v>
      </c>
      <c r="B208" s="0" t="s">
        <v>4059</v>
      </c>
      <c r="C208" s="0" t="s">
        <v>4060</v>
      </c>
      <c r="D208" s="0" t="s">
        <v>4091</v>
      </c>
      <c r="E208" s="0" t="s">
        <v>4092</v>
      </c>
      <c r="F208" s="0" t="s">
        <v>3535</v>
      </c>
      <c r="G208" s="0" t="s">
        <v>4093</v>
      </c>
    </row>
    <row customHeight="1" ht="11.25">
      <c r="A209" s="0" t="s">
        <v>14</v>
      </c>
      <c r="B209" s="0" t="s">
        <v>4059</v>
      </c>
      <c r="C209" s="0" t="s">
        <v>4060</v>
      </c>
      <c r="D209" s="0" t="s">
        <v>4094</v>
      </c>
      <c r="E209" s="0" t="s">
        <v>4095</v>
      </c>
      <c r="F209" s="0" t="s">
        <v>3535</v>
      </c>
      <c r="G209" s="0" t="s">
        <v>4096</v>
      </c>
    </row>
    <row customHeight="1" ht="11.25">
      <c r="A210" s="0" t="s">
        <v>14</v>
      </c>
      <c r="B210" s="0" t="s">
        <v>4059</v>
      </c>
      <c r="C210" s="0" t="s">
        <v>4060</v>
      </c>
      <c r="D210" s="0" t="s">
        <v>4097</v>
      </c>
      <c r="E210" s="0" t="s">
        <v>4098</v>
      </c>
      <c r="F210" s="0" t="s">
        <v>3535</v>
      </c>
      <c r="G210" s="0" t="s">
        <v>4099</v>
      </c>
    </row>
    <row customHeight="1" ht="11.25">
      <c r="A211" s="0" t="s">
        <v>14</v>
      </c>
      <c r="B211" s="0" t="s">
        <v>4059</v>
      </c>
      <c r="C211" s="0" t="s">
        <v>4060</v>
      </c>
      <c r="D211" s="0" t="s">
        <v>4100</v>
      </c>
      <c r="E211" s="0" t="s">
        <v>4101</v>
      </c>
      <c r="F211" s="0" t="s">
        <v>3535</v>
      </c>
      <c r="G211" s="0" t="s">
        <v>4102</v>
      </c>
    </row>
    <row customHeight="1" ht="11.25">
      <c r="A212" s="0" t="s">
        <v>14</v>
      </c>
      <c r="B212" s="0" t="s">
        <v>4059</v>
      </c>
      <c r="C212" s="0" t="s">
        <v>4060</v>
      </c>
      <c r="D212" s="0" t="s">
        <v>3728</v>
      </c>
      <c r="E212" s="0" t="s">
        <v>4103</v>
      </c>
      <c r="F212" s="0" t="s">
        <v>3535</v>
      </c>
      <c r="G212" s="0" t="s">
        <v>4104</v>
      </c>
    </row>
    <row customHeight="1" ht="11.25">
      <c r="A213" s="0" t="s">
        <v>14</v>
      </c>
      <c r="B213" s="0" t="s">
        <v>4105</v>
      </c>
      <c r="C213" s="0" t="s">
        <v>4106</v>
      </c>
      <c r="D213" s="0" t="s">
        <v>4107</v>
      </c>
      <c r="E213" s="0" t="s">
        <v>4108</v>
      </c>
      <c r="F213" s="0" t="s">
        <v>3627</v>
      </c>
      <c r="G213" s="0" t="s">
        <v>4109</v>
      </c>
    </row>
    <row customHeight="1" ht="11.25">
      <c r="A214" s="0" t="s">
        <v>14</v>
      </c>
      <c r="B214" s="0" t="s">
        <v>4105</v>
      </c>
      <c r="C214" s="0" t="s">
        <v>4106</v>
      </c>
      <c r="D214" s="0" t="s">
        <v>4110</v>
      </c>
      <c r="E214" s="0" t="s">
        <v>4111</v>
      </c>
      <c r="F214" s="0" t="s">
        <v>3535</v>
      </c>
      <c r="G214" s="0" t="s">
        <v>4112</v>
      </c>
    </row>
    <row customHeight="1" ht="11.25">
      <c r="A215" s="0" t="s">
        <v>14</v>
      </c>
      <c r="B215" s="0" t="s">
        <v>4105</v>
      </c>
      <c r="C215" s="0" t="s">
        <v>4106</v>
      </c>
      <c r="D215" s="0" t="s">
        <v>4113</v>
      </c>
      <c r="E215" s="0" t="s">
        <v>4114</v>
      </c>
      <c r="F215" s="0" t="s">
        <v>3535</v>
      </c>
      <c r="G215" s="0" t="s">
        <v>4115</v>
      </c>
    </row>
    <row customHeight="1" ht="11.25">
      <c r="A216" s="0" t="s">
        <v>14</v>
      </c>
      <c r="B216" s="0" t="s">
        <v>4105</v>
      </c>
      <c r="C216" s="0" t="s">
        <v>4106</v>
      </c>
      <c r="D216" s="0" t="s">
        <v>4116</v>
      </c>
      <c r="E216" s="0" t="s">
        <v>4117</v>
      </c>
      <c r="F216" s="0" t="s">
        <v>3535</v>
      </c>
      <c r="G216" s="0" t="s">
        <v>4118</v>
      </c>
    </row>
    <row customHeight="1" ht="11.25">
      <c r="A217" s="0" t="s">
        <v>14</v>
      </c>
      <c r="B217" s="0" t="s">
        <v>4105</v>
      </c>
      <c r="C217" s="0" t="s">
        <v>4106</v>
      </c>
      <c r="D217" s="0" t="s">
        <v>4119</v>
      </c>
      <c r="E217" s="0" t="s">
        <v>4120</v>
      </c>
      <c r="F217" s="0" t="s">
        <v>3535</v>
      </c>
      <c r="G217" s="0" t="s">
        <v>4121</v>
      </c>
    </row>
    <row customHeight="1" ht="11.25">
      <c r="A218" s="0" t="s">
        <v>14</v>
      </c>
      <c r="B218" s="0" t="s">
        <v>4105</v>
      </c>
      <c r="C218" s="0" t="s">
        <v>4106</v>
      </c>
      <c r="D218" s="0" t="s">
        <v>4122</v>
      </c>
      <c r="E218" s="0" t="s">
        <v>4123</v>
      </c>
      <c r="F218" s="0" t="s">
        <v>3535</v>
      </c>
      <c r="G218" s="0" t="s">
        <v>4124</v>
      </c>
    </row>
    <row customHeight="1" ht="11.25">
      <c r="A219" s="0" t="s">
        <v>14</v>
      </c>
      <c r="B219" s="0" t="s">
        <v>4105</v>
      </c>
      <c r="C219" s="0" t="s">
        <v>4106</v>
      </c>
      <c r="D219" s="0" t="s">
        <v>4125</v>
      </c>
      <c r="E219" s="0" t="s">
        <v>4126</v>
      </c>
      <c r="F219" s="0" t="s">
        <v>3535</v>
      </c>
      <c r="G219" s="0" t="s">
        <v>4127</v>
      </c>
    </row>
    <row customHeight="1" ht="11.25">
      <c r="A220" s="0" t="s">
        <v>14</v>
      </c>
      <c r="B220" s="0" t="s">
        <v>4105</v>
      </c>
      <c r="C220" s="0" t="s">
        <v>4106</v>
      </c>
      <c r="D220" s="0" t="s">
        <v>4105</v>
      </c>
      <c r="E220" s="0" t="s">
        <v>4106</v>
      </c>
      <c r="F220" s="0" t="s">
        <v>3532</v>
      </c>
      <c r="G220" s="0" t="s">
        <v>4128</v>
      </c>
    </row>
    <row customHeight="1" ht="11.25">
      <c r="A221" s="0" t="s">
        <v>14</v>
      </c>
      <c r="B221" s="0" t="s">
        <v>4105</v>
      </c>
      <c r="C221" s="0" t="s">
        <v>4106</v>
      </c>
      <c r="D221" s="0" t="s">
        <v>4129</v>
      </c>
      <c r="E221" s="0" t="s">
        <v>4130</v>
      </c>
      <c r="F221" s="0" t="s">
        <v>3535</v>
      </c>
      <c r="G221" s="0" t="s">
        <v>4131</v>
      </c>
    </row>
    <row customHeight="1" ht="11.25">
      <c r="A222" s="0" t="s">
        <v>14</v>
      </c>
      <c r="B222" s="0" t="s">
        <v>4105</v>
      </c>
      <c r="C222" s="0" t="s">
        <v>4106</v>
      </c>
      <c r="D222" s="0" t="s">
        <v>4132</v>
      </c>
      <c r="E222" s="0" t="s">
        <v>4133</v>
      </c>
      <c r="F222" s="0" t="s">
        <v>3535</v>
      </c>
      <c r="G222" s="0" t="s">
        <v>4134</v>
      </c>
    </row>
    <row customHeight="1" ht="11.25">
      <c r="A223" s="0" t="s">
        <v>14</v>
      </c>
      <c r="B223" s="0" t="s">
        <v>4105</v>
      </c>
      <c r="C223" s="0" t="s">
        <v>4106</v>
      </c>
      <c r="D223" s="0" t="s">
        <v>4135</v>
      </c>
      <c r="E223" s="0" t="s">
        <v>4136</v>
      </c>
      <c r="F223" s="0" t="s">
        <v>3792</v>
      </c>
      <c r="G223" s="0" t="s">
        <v>4137</v>
      </c>
    </row>
    <row customHeight="1" ht="11.25">
      <c r="A224" s="0" t="s">
        <v>14</v>
      </c>
      <c r="B224" s="0" t="s">
        <v>4105</v>
      </c>
      <c r="C224" s="0" t="s">
        <v>4106</v>
      </c>
      <c r="D224" s="0" t="s">
        <v>4138</v>
      </c>
      <c r="E224" s="0" t="s">
        <v>4139</v>
      </c>
      <c r="F224" s="0" t="s">
        <v>3535</v>
      </c>
      <c r="G224" s="0" t="s">
        <v>4140</v>
      </c>
    </row>
    <row customHeight="1" ht="11.25">
      <c r="A225" s="0" t="s">
        <v>14</v>
      </c>
      <c r="B225" s="0" t="s">
        <v>4105</v>
      </c>
      <c r="C225" s="0" t="s">
        <v>4106</v>
      </c>
      <c r="D225" s="0" t="s">
        <v>4141</v>
      </c>
      <c r="E225" s="0" t="s">
        <v>4142</v>
      </c>
      <c r="F225" s="0" t="s">
        <v>3535</v>
      </c>
      <c r="G225" s="0" t="s">
        <v>4143</v>
      </c>
    </row>
    <row customHeight="1" ht="11.25">
      <c r="A226" s="0" t="s">
        <v>14</v>
      </c>
      <c r="B226" s="0" t="s">
        <v>4144</v>
      </c>
      <c r="C226" s="0" t="s">
        <v>4145</v>
      </c>
      <c r="D226" s="0" t="s">
        <v>4146</v>
      </c>
      <c r="E226" s="0" t="s">
        <v>4147</v>
      </c>
      <c r="F226" s="0" t="s">
        <v>3627</v>
      </c>
      <c r="G226" s="0" t="s">
        <v>4148</v>
      </c>
    </row>
    <row customHeight="1" ht="11.25">
      <c r="A227" s="0" t="s">
        <v>14</v>
      </c>
      <c r="B227" s="0" t="s">
        <v>4144</v>
      </c>
      <c r="C227" s="0" t="s">
        <v>4145</v>
      </c>
      <c r="D227" s="0" t="s">
        <v>4149</v>
      </c>
      <c r="E227" s="0" t="s">
        <v>4150</v>
      </c>
      <c r="F227" s="0" t="s">
        <v>3535</v>
      </c>
      <c r="G227" s="0" t="s">
        <v>4151</v>
      </c>
    </row>
    <row customHeight="1" ht="11.25">
      <c r="A228" s="0" t="s">
        <v>14</v>
      </c>
      <c r="B228" s="0" t="s">
        <v>4144</v>
      </c>
      <c r="C228" s="0" t="s">
        <v>4145</v>
      </c>
      <c r="D228" s="0" t="s">
        <v>4152</v>
      </c>
      <c r="E228" s="0" t="s">
        <v>4153</v>
      </c>
      <c r="F228" s="0" t="s">
        <v>3535</v>
      </c>
      <c r="G228" s="0" t="s">
        <v>4154</v>
      </c>
    </row>
    <row customHeight="1" ht="11.25">
      <c r="A229" s="0" t="s">
        <v>14</v>
      </c>
      <c r="B229" s="0" t="s">
        <v>4144</v>
      </c>
      <c r="C229" s="0" t="s">
        <v>4145</v>
      </c>
      <c r="D229" s="0" t="s">
        <v>4155</v>
      </c>
      <c r="E229" s="0" t="s">
        <v>4156</v>
      </c>
      <c r="F229" s="0" t="s">
        <v>3535</v>
      </c>
      <c r="G229" s="0" t="s">
        <v>4157</v>
      </c>
    </row>
    <row customHeight="1" ht="11.25">
      <c r="A230" s="0" t="s">
        <v>14</v>
      </c>
      <c r="B230" s="0" t="s">
        <v>4144</v>
      </c>
      <c r="C230" s="0" t="s">
        <v>4145</v>
      </c>
      <c r="D230" s="0" t="s">
        <v>4158</v>
      </c>
      <c r="E230" s="0" t="s">
        <v>4159</v>
      </c>
      <c r="F230" s="0" t="s">
        <v>3535</v>
      </c>
      <c r="G230" s="0" t="s">
        <v>4160</v>
      </c>
    </row>
    <row customHeight="1" ht="11.25">
      <c r="A231" s="0" t="s">
        <v>14</v>
      </c>
      <c r="B231" s="0" t="s">
        <v>4144</v>
      </c>
      <c r="C231" s="0" t="s">
        <v>4145</v>
      </c>
      <c r="D231" s="0" t="s">
        <v>4144</v>
      </c>
      <c r="E231" s="0" t="s">
        <v>4145</v>
      </c>
      <c r="F231" s="0" t="s">
        <v>3532</v>
      </c>
      <c r="G231" s="0" t="s">
        <v>4161</v>
      </c>
    </row>
    <row customHeight="1" ht="11.25">
      <c r="A232" s="0" t="s">
        <v>14</v>
      </c>
      <c r="B232" s="0" t="s">
        <v>4144</v>
      </c>
      <c r="C232" s="0" t="s">
        <v>4145</v>
      </c>
      <c r="D232" s="0" t="s">
        <v>4162</v>
      </c>
      <c r="E232" s="0" t="s">
        <v>4163</v>
      </c>
      <c r="F232" s="0" t="s">
        <v>3535</v>
      </c>
      <c r="G232" s="0" t="s">
        <v>4164</v>
      </c>
    </row>
    <row customHeight="1" ht="11.25">
      <c r="A233" s="0" t="s">
        <v>14</v>
      </c>
      <c r="B233" s="0" t="s">
        <v>4144</v>
      </c>
      <c r="C233" s="0" t="s">
        <v>4145</v>
      </c>
      <c r="D233" s="0" t="s">
        <v>4165</v>
      </c>
      <c r="E233" s="0" t="s">
        <v>4166</v>
      </c>
      <c r="F233" s="0" t="s">
        <v>3535</v>
      </c>
      <c r="G233" s="0" t="s">
        <v>4167</v>
      </c>
    </row>
    <row customHeight="1" ht="11.25">
      <c r="A234" s="0" t="s">
        <v>14</v>
      </c>
      <c r="B234" s="0" t="s">
        <v>4144</v>
      </c>
      <c r="C234" s="0" t="s">
        <v>4145</v>
      </c>
      <c r="D234" s="0" t="s">
        <v>4168</v>
      </c>
      <c r="E234" s="0" t="s">
        <v>4169</v>
      </c>
      <c r="F234" s="0" t="s">
        <v>3535</v>
      </c>
      <c r="G234" s="0" t="s">
        <v>4170</v>
      </c>
    </row>
    <row customHeight="1" ht="11.25">
      <c r="A235" s="0" t="s">
        <v>14</v>
      </c>
      <c r="B235" s="0" t="s">
        <v>4144</v>
      </c>
      <c r="C235" s="0" t="s">
        <v>4145</v>
      </c>
      <c r="D235" s="0" t="s">
        <v>4171</v>
      </c>
      <c r="E235" s="0" t="s">
        <v>4172</v>
      </c>
      <c r="F235" s="0" t="s">
        <v>3535</v>
      </c>
      <c r="G235" s="0" t="s">
        <v>4173</v>
      </c>
    </row>
    <row customHeight="1" ht="11.25">
      <c r="A236" s="0" t="s">
        <v>14</v>
      </c>
      <c r="B236" s="0" t="s">
        <v>4144</v>
      </c>
      <c r="C236" s="0" t="s">
        <v>4145</v>
      </c>
      <c r="D236" s="0" t="s">
        <v>4174</v>
      </c>
      <c r="E236" s="0" t="s">
        <v>4175</v>
      </c>
      <c r="F236" s="0" t="s">
        <v>3535</v>
      </c>
      <c r="G236" s="0" t="s">
        <v>4176</v>
      </c>
    </row>
    <row customHeight="1" ht="11.25">
      <c r="A237" s="0" t="s">
        <v>14</v>
      </c>
      <c r="B237" s="0" t="s">
        <v>4144</v>
      </c>
      <c r="C237" s="0" t="s">
        <v>4145</v>
      </c>
      <c r="D237" s="0" t="s">
        <v>4177</v>
      </c>
      <c r="E237" s="0" t="s">
        <v>4178</v>
      </c>
      <c r="F237" s="0" t="s">
        <v>3535</v>
      </c>
      <c r="G237" s="0" t="s">
        <v>4179</v>
      </c>
    </row>
    <row customHeight="1" ht="11.25">
      <c r="A238" s="0" t="s">
        <v>14</v>
      </c>
      <c r="B238" s="0" t="s">
        <v>4144</v>
      </c>
      <c r="C238" s="0" t="s">
        <v>4145</v>
      </c>
      <c r="D238" s="0" t="s">
        <v>4180</v>
      </c>
      <c r="E238" s="0" t="s">
        <v>4181</v>
      </c>
      <c r="F238" s="0" t="s">
        <v>3535</v>
      </c>
      <c r="G238" s="0" t="s">
        <v>4182</v>
      </c>
    </row>
    <row customHeight="1" ht="11.25">
      <c r="A239" s="0" t="s">
        <v>14</v>
      </c>
      <c r="B239" s="0" t="s">
        <v>4183</v>
      </c>
      <c r="C239" s="0" t="s">
        <v>4184</v>
      </c>
      <c r="D239" s="0" t="s">
        <v>4185</v>
      </c>
      <c r="E239" s="0" t="s">
        <v>4186</v>
      </c>
      <c r="F239" s="0" t="s">
        <v>3535</v>
      </c>
      <c r="G239" s="0" t="s">
        <v>4187</v>
      </c>
    </row>
    <row customHeight="1" ht="11.25">
      <c r="A240" s="0" t="s">
        <v>14</v>
      </c>
      <c r="B240" s="0" t="s">
        <v>4183</v>
      </c>
      <c r="C240" s="0" t="s">
        <v>4184</v>
      </c>
      <c r="D240" s="0" t="s">
        <v>4188</v>
      </c>
      <c r="E240" s="0" t="s">
        <v>4189</v>
      </c>
      <c r="F240" s="0" t="s">
        <v>3535</v>
      </c>
      <c r="G240" s="0" t="s">
        <v>4190</v>
      </c>
    </row>
    <row customHeight="1" ht="11.25">
      <c r="A241" s="0" t="s">
        <v>14</v>
      </c>
      <c r="B241" s="0" t="s">
        <v>4183</v>
      </c>
      <c r="C241" s="0" t="s">
        <v>4184</v>
      </c>
      <c r="D241" s="0" t="s">
        <v>4183</v>
      </c>
      <c r="E241" s="0" t="s">
        <v>4184</v>
      </c>
      <c r="F241" s="0" t="s">
        <v>3532</v>
      </c>
      <c r="G241" s="0" t="s">
        <v>4191</v>
      </c>
    </row>
    <row customHeight="1" ht="11.25">
      <c r="A242" s="0" t="s">
        <v>14</v>
      </c>
      <c r="B242" s="0" t="s">
        <v>4183</v>
      </c>
      <c r="C242" s="0" t="s">
        <v>4184</v>
      </c>
      <c r="D242" s="0" t="s">
        <v>4192</v>
      </c>
      <c r="E242" s="0" t="s">
        <v>4193</v>
      </c>
      <c r="F242" s="0" t="s">
        <v>3535</v>
      </c>
      <c r="G242" s="0" t="s">
        <v>4194</v>
      </c>
    </row>
    <row customHeight="1" ht="11.25">
      <c r="A243" s="0" t="s">
        <v>14</v>
      </c>
      <c r="B243" s="0" t="s">
        <v>4183</v>
      </c>
      <c r="C243" s="0" t="s">
        <v>4184</v>
      </c>
      <c r="D243" s="0" t="s">
        <v>4195</v>
      </c>
      <c r="E243" s="0" t="s">
        <v>4196</v>
      </c>
      <c r="F243" s="0" t="s">
        <v>3535</v>
      </c>
      <c r="G243" s="0" t="s">
        <v>4197</v>
      </c>
    </row>
    <row customHeight="1" ht="11.25">
      <c r="A244" s="0" t="s">
        <v>14</v>
      </c>
      <c r="B244" s="0" t="s">
        <v>4183</v>
      </c>
      <c r="C244" s="0" t="s">
        <v>4184</v>
      </c>
      <c r="D244" s="0" t="s">
        <v>4198</v>
      </c>
      <c r="E244" s="0" t="s">
        <v>4199</v>
      </c>
      <c r="F244" s="0" t="s">
        <v>3535</v>
      </c>
      <c r="G244" s="0" t="s">
        <v>4200</v>
      </c>
    </row>
    <row customHeight="1" ht="11.25">
      <c r="A245" s="0" t="s">
        <v>14</v>
      </c>
      <c r="B245" s="0" t="s">
        <v>4183</v>
      </c>
      <c r="C245" s="0" t="s">
        <v>4184</v>
      </c>
      <c r="D245" s="0" t="s">
        <v>4201</v>
      </c>
      <c r="E245" s="0" t="s">
        <v>4202</v>
      </c>
      <c r="F245" s="0" t="s">
        <v>3535</v>
      </c>
      <c r="G245" s="0" t="s">
        <v>4203</v>
      </c>
    </row>
    <row customHeight="1" ht="11.25">
      <c r="A246" s="0" t="s">
        <v>14</v>
      </c>
      <c r="B246" s="0" t="s">
        <v>4183</v>
      </c>
      <c r="C246" s="0" t="s">
        <v>4184</v>
      </c>
      <c r="D246" s="0" t="s">
        <v>4204</v>
      </c>
      <c r="E246" s="0" t="s">
        <v>4205</v>
      </c>
      <c r="F246" s="0" t="s">
        <v>3535</v>
      </c>
      <c r="G246" s="0" t="s">
        <v>4206</v>
      </c>
    </row>
    <row customHeight="1" ht="11.25">
      <c r="A247" s="0" t="s">
        <v>14</v>
      </c>
      <c r="B247" s="0" t="s">
        <v>4183</v>
      </c>
      <c r="C247" s="0" t="s">
        <v>4184</v>
      </c>
      <c r="D247" s="0" t="s">
        <v>4207</v>
      </c>
      <c r="E247" s="0" t="s">
        <v>4208</v>
      </c>
      <c r="F247" s="0" t="s">
        <v>3535</v>
      </c>
      <c r="G247" s="0" t="s">
        <v>4209</v>
      </c>
    </row>
    <row customHeight="1" ht="11.25">
      <c r="A248" s="0" t="s">
        <v>14</v>
      </c>
      <c r="B248" s="0" t="s">
        <v>4210</v>
      </c>
      <c r="C248" s="0" t="s">
        <v>4211</v>
      </c>
      <c r="D248" s="0" t="s">
        <v>4212</v>
      </c>
      <c r="E248" s="0" t="s">
        <v>4213</v>
      </c>
      <c r="F248" s="0" t="s">
        <v>3535</v>
      </c>
      <c r="G248" s="0" t="s">
        <v>4214</v>
      </c>
    </row>
    <row customHeight="1" ht="11.25">
      <c r="A249" s="0" t="s">
        <v>14</v>
      </c>
      <c r="B249" s="0" t="s">
        <v>4210</v>
      </c>
      <c r="C249" s="0" t="s">
        <v>4211</v>
      </c>
      <c r="D249" s="0" t="s">
        <v>4215</v>
      </c>
      <c r="E249" s="0" t="s">
        <v>4216</v>
      </c>
      <c r="F249" s="0" t="s">
        <v>3627</v>
      </c>
      <c r="G249" s="0" t="s">
        <v>4217</v>
      </c>
    </row>
    <row customHeight="1" ht="11.25">
      <c r="A250" s="0" t="s">
        <v>14</v>
      </c>
      <c r="B250" s="0" t="s">
        <v>4210</v>
      </c>
      <c r="C250" s="0" t="s">
        <v>4211</v>
      </c>
      <c r="D250" s="0" t="s">
        <v>4218</v>
      </c>
      <c r="E250" s="0" t="s">
        <v>4219</v>
      </c>
      <c r="F250" s="0" t="s">
        <v>3535</v>
      </c>
      <c r="G250" s="0" t="s">
        <v>4220</v>
      </c>
    </row>
    <row customHeight="1" ht="11.25">
      <c r="A251" s="0" t="s">
        <v>14</v>
      </c>
      <c r="B251" s="0" t="s">
        <v>4210</v>
      </c>
      <c r="C251" s="0" t="s">
        <v>4211</v>
      </c>
      <c r="D251" s="0" t="s">
        <v>4221</v>
      </c>
      <c r="E251" s="0" t="s">
        <v>4222</v>
      </c>
      <c r="F251" s="0" t="s">
        <v>3535</v>
      </c>
      <c r="G251" s="0" t="s">
        <v>4223</v>
      </c>
    </row>
    <row customHeight="1" ht="11.25">
      <c r="A252" s="0" t="s">
        <v>14</v>
      </c>
      <c r="B252" s="0" t="s">
        <v>4210</v>
      </c>
      <c r="C252" s="0" t="s">
        <v>4211</v>
      </c>
      <c r="D252" s="0" t="s">
        <v>4210</v>
      </c>
      <c r="E252" s="0" t="s">
        <v>4211</v>
      </c>
      <c r="F252" s="0" t="s">
        <v>3532</v>
      </c>
      <c r="G252" s="0" t="s">
        <v>4224</v>
      </c>
    </row>
    <row customHeight="1" ht="11.25">
      <c r="A253" s="0" t="s">
        <v>14</v>
      </c>
      <c r="B253" s="0" t="s">
        <v>4210</v>
      </c>
      <c r="C253" s="0" t="s">
        <v>4211</v>
      </c>
      <c r="D253" s="0" t="s">
        <v>4225</v>
      </c>
      <c r="E253" s="0" t="s">
        <v>4226</v>
      </c>
      <c r="F253" s="0" t="s">
        <v>3535</v>
      </c>
      <c r="G253" s="0" t="s">
        <v>4227</v>
      </c>
    </row>
    <row customHeight="1" ht="11.25">
      <c r="A254" s="0" t="s">
        <v>14</v>
      </c>
      <c r="B254" s="0" t="s">
        <v>4210</v>
      </c>
      <c r="C254" s="0" t="s">
        <v>4211</v>
      </c>
      <c r="D254" s="0" t="s">
        <v>4228</v>
      </c>
      <c r="E254" s="0" t="s">
        <v>4229</v>
      </c>
      <c r="F254" s="0" t="s">
        <v>3535</v>
      </c>
      <c r="G254" s="0" t="s">
        <v>4230</v>
      </c>
    </row>
    <row customHeight="1" ht="11.25">
      <c r="A255" s="0" t="s">
        <v>14</v>
      </c>
      <c r="B255" s="0" t="s">
        <v>4210</v>
      </c>
      <c r="C255" s="0" t="s">
        <v>4211</v>
      </c>
      <c r="D255" s="0" t="s">
        <v>4231</v>
      </c>
      <c r="E255" s="0" t="s">
        <v>4232</v>
      </c>
      <c r="F255" s="0" t="s">
        <v>3535</v>
      </c>
      <c r="G255" s="0" t="s">
        <v>4233</v>
      </c>
    </row>
    <row customHeight="1" ht="11.25">
      <c r="A256" s="0" t="s">
        <v>14</v>
      </c>
      <c r="B256" s="0" t="s">
        <v>4210</v>
      </c>
      <c r="C256" s="0" t="s">
        <v>4211</v>
      </c>
      <c r="D256" s="0" t="s">
        <v>4234</v>
      </c>
      <c r="E256" s="0" t="s">
        <v>4235</v>
      </c>
      <c r="F256" s="0" t="s">
        <v>3535</v>
      </c>
      <c r="G256" s="0" t="s">
        <v>4236</v>
      </c>
    </row>
    <row customHeight="1" ht="11.25">
      <c r="A257" s="0" t="s">
        <v>14</v>
      </c>
      <c r="B257" s="0" t="s">
        <v>4210</v>
      </c>
      <c r="C257" s="0" t="s">
        <v>4211</v>
      </c>
      <c r="D257" s="0" t="s">
        <v>4237</v>
      </c>
      <c r="E257" s="0" t="s">
        <v>4238</v>
      </c>
      <c r="F257" s="0" t="s">
        <v>3535</v>
      </c>
      <c r="G257" s="0" t="s">
        <v>4239</v>
      </c>
    </row>
    <row customHeight="1" ht="11.25">
      <c r="A258" s="0" t="s">
        <v>14</v>
      </c>
      <c r="B258" s="0" t="s">
        <v>4210</v>
      </c>
      <c r="C258" s="0" t="s">
        <v>4211</v>
      </c>
      <c r="D258" s="0" t="s">
        <v>4240</v>
      </c>
      <c r="E258" s="0" t="s">
        <v>4241</v>
      </c>
      <c r="F258" s="0" t="s">
        <v>3535</v>
      </c>
      <c r="G258" s="0" t="s">
        <v>4242</v>
      </c>
    </row>
    <row customHeight="1" ht="11.25">
      <c r="A259" s="0" t="s">
        <v>14</v>
      </c>
      <c r="B259" s="0" t="s">
        <v>4210</v>
      </c>
      <c r="C259" s="0" t="s">
        <v>4211</v>
      </c>
      <c r="D259" s="0" t="s">
        <v>4243</v>
      </c>
      <c r="E259" s="0" t="s">
        <v>4244</v>
      </c>
      <c r="F259" s="0" t="s">
        <v>3535</v>
      </c>
      <c r="G259" s="0" t="s">
        <v>4245</v>
      </c>
    </row>
    <row customHeight="1" ht="11.25">
      <c r="A260" s="0" t="s">
        <v>14</v>
      </c>
      <c r="B260" s="0" t="s">
        <v>4210</v>
      </c>
      <c r="C260" s="0" t="s">
        <v>4211</v>
      </c>
      <c r="D260" s="0" t="s">
        <v>4246</v>
      </c>
      <c r="E260" s="0" t="s">
        <v>4247</v>
      </c>
      <c r="F260" s="0" t="s">
        <v>3535</v>
      </c>
      <c r="G260" s="0" t="s">
        <v>4248</v>
      </c>
    </row>
    <row customHeight="1" ht="11.25">
      <c r="A261" s="0" t="s">
        <v>14</v>
      </c>
      <c r="B261" s="0" t="s">
        <v>4210</v>
      </c>
      <c r="C261" s="0" t="s">
        <v>4211</v>
      </c>
      <c r="D261" s="0" t="s">
        <v>2112</v>
      </c>
      <c r="E261" s="0" t="s">
        <v>4249</v>
      </c>
      <c r="F261" s="0" t="s">
        <v>3535</v>
      </c>
      <c r="G261" s="0" t="s">
        <v>4250</v>
      </c>
    </row>
    <row customHeight="1" ht="11.25">
      <c r="A262" s="0" t="s">
        <v>14</v>
      </c>
      <c r="B262" s="0" t="s">
        <v>4251</v>
      </c>
      <c r="C262" s="0" t="s">
        <v>4252</v>
      </c>
      <c r="D262" s="0" t="s">
        <v>4253</v>
      </c>
      <c r="E262" s="0" t="s">
        <v>4254</v>
      </c>
      <c r="F262" s="0" t="s">
        <v>3535</v>
      </c>
      <c r="G262" s="0" t="s">
        <v>4255</v>
      </c>
    </row>
    <row customHeight="1" ht="11.25">
      <c r="A263" s="0" t="s">
        <v>14</v>
      </c>
      <c r="B263" s="0" t="s">
        <v>4251</v>
      </c>
      <c r="C263" s="0" t="s">
        <v>4252</v>
      </c>
      <c r="D263" s="0" t="s">
        <v>4256</v>
      </c>
      <c r="E263" s="0" t="s">
        <v>4257</v>
      </c>
      <c r="F263" s="0" t="s">
        <v>3535</v>
      </c>
      <c r="G263" s="0" t="s">
        <v>4258</v>
      </c>
    </row>
    <row customHeight="1" ht="11.25">
      <c r="A264" s="0" t="s">
        <v>14</v>
      </c>
      <c r="B264" s="0" t="s">
        <v>4251</v>
      </c>
      <c r="C264" s="0" t="s">
        <v>4252</v>
      </c>
      <c r="D264" s="0" t="s">
        <v>4259</v>
      </c>
      <c r="E264" s="0" t="s">
        <v>4260</v>
      </c>
      <c r="F264" s="0" t="s">
        <v>3535</v>
      </c>
      <c r="G264" s="0" t="s">
        <v>4261</v>
      </c>
    </row>
    <row customHeight="1" ht="11.25">
      <c r="A265" s="0" t="s">
        <v>14</v>
      </c>
      <c r="B265" s="0" t="s">
        <v>4251</v>
      </c>
      <c r="C265" s="0" t="s">
        <v>4252</v>
      </c>
      <c r="D265" s="0" t="s">
        <v>4262</v>
      </c>
      <c r="E265" s="0" t="s">
        <v>4263</v>
      </c>
      <c r="F265" s="0" t="s">
        <v>3535</v>
      </c>
      <c r="G265" s="0" t="s">
        <v>4264</v>
      </c>
    </row>
    <row customHeight="1" ht="11.25">
      <c r="A266" s="0" t="s">
        <v>14</v>
      </c>
      <c r="B266" s="0" t="s">
        <v>4251</v>
      </c>
      <c r="C266" s="0" t="s">
        <v>4252</v>
      </c>
      <c r="D266" s="0" t="s">
        <v>4265</v>
      </c>
      <c r="E266" s="0" t="s">
        <v>4266</v>
      </c>
      <c r="F266" s="0" t="s">
        <v>3535</v>
      </c>
      <c r="G266" s="0" t="s">
        <v>4267</v>
      </c>
    </row>
    <row customHeight="1" ht="11.25">
      <c r="A267" s="0" t="s">
        <v>14</v>
      </c>
      <c r="B267" s="0" t="s">
        <v>4251</v>
      </c>
      <c r="C267" s="0" t="s">
        <v>4252</v>
      </c>
      <c r="D267" s="0" t="s">
        <v>4268</v>
      </c>
      <c r="E267" s="0" t="s">
        <v>4269</v>
      </c>
      <c r="F267" s="0" t="s">
        <v>3535</v>
      </c>
      <c r="G267" s="0" t="s">
        <v>4270</v>
      </c>
    </row>
    <row customHeight="1" ht="11.25">
      <c r="A268" s="0" t="s">
        <v>14</v>
      </c>
      <c r="B268" s="0" t="s">
        <v>4251</v>
      </c>
      <c r="C268" s="0" t="s">
        <v>4252</v>
      </c>
      <c r="D268" s="0" t="s">
        <v>4251</v>
      </c>
      <c r="E268" s="0" t="s">
        <v>4252</v>
      </c>
      <c r="F268" s="0" t="s">
        <v>3532</v>
      </c>
      <c r="G268" s="0" t="s">
        <v>4271</v>
      </c>
    </row>
    <row customHeight="1" ht="11.25">
      <c r="A269" s="0" t="s">
        <v>14</v>
      </c>
      <c r="B269" s="0" t="s">
        <v>4251</v>
      </c>
      <c r="C269" s="0" t="s">
        <v>4252</v>
      </c>
      <c r="D269" s="0" t="s">
        <v>4272</v>
      </c>
      <c r="E269" s="0" t="s">
        <v>4273</v>
      </c>
      <c r="F269" s="0" t="s">
        <v>3535</v>
      </c>
      <c r="G269" s="0" t="s">
        <v>4274</v>
      </c>
    </row>
    <row customHeight="1" ht="11.25">
      <c r="A270" s="0" t="s">
        <v>14</v>
      </c>
      <c r="B270" s="0" t="s">
        <v>4251</v>
      </c>
      <c r="C270" s="0" t="s">
        <v>4252</v>
      </c>
      <c r="D270" s="0" t="s">
        <v>4275</v>
      </c>
      <c r="E270" s="0" t="s">
        <v>4276</v>
      </c>
      <c r="F270" s="0" t="s">
        <v>3535</v>
      </c>
      <c r="G270" s="0" t="s">
        <v>4277</v>
      </c>
    </row>
    <row customHeight="1" ht="11.25">
      <c r="A271" s="0" t="s">
        <v>14</v>
      </c>
      <c r="B271" s="0" t="s">
        <v>4251</v>
      </c>
      <c r="C271" s="0" t="s">
        <v>4252</v>
      </c>
      <c r="D271" s="0" t="s">
        <v>4278</v>
      </c>
      <c r="E271" s="0" t="s">
        <v>4279</v>
      </c>
      <c r="F271" s="0" t="s">
        <v>3535</v>
      </c>
      <c r="G271" s="0" t="s">
        <v>4280</v>
      </c>
    </row>
    <row customHeight="1" ht="11.25">
      <c r="A272" s="0" t="s">
        <v>14</v>
      </c>
      <c r="B272" s="0" t="s">
        <v>4251</v>
      </c>
      <c r="C272" s="0" t="s">
        <v>4252</v>
      </c>
      <c r="D272" s="0" t="s">
        <v>4281</v>
      </c>
      <c r="E272" s="0" t="s">
        <v>4282</v>
      </c>
      <c r="F272" s="0" t="s">
        <v>3535</v>
      </c>
      <c r="G272" s="0" t="s">
        <v>4283</v>
      </c>
    </row>
    <row customHeight="1" ht="11.25">
      <c r="A273" s="0" t="s">
        <v>14</v>
      </c>
      <c r="B273" s="0" t="s">
        <v>4251</v>
      </c>
      <c r="C273" s="0" t="s">
        <v>4252</v>
      </c>
      <c r="D273" s="0" t="s">
        <v>4284</v>
      </c>
      <c r="E273" s="0" t="s">
        <v>4285</v>
      </c>
      <c r="F273" s="0" t="s">
        <v>3535</v>
      </c>
      <c r="G273" s="0" t="s">
        <v>4286</v>
      </c>
    </row>
    <row customHeight="1" ht="11.25">
      <c r="A274" s="0" t="s">
        <v>14</v>
      </c>
      <c r="B274" s="0" t="s">
        <v>4251</v>
      </c>
      <c r="C274" s="0" t="s">
        <v>4252</v>
      </c>
      <c r="D274" s="0" t="s">
        <v>4287</v>
      </c>
      <c r="E274" s="0" t="s">
        <v>4288</v>
      </c>
      <c r="F274" s="0" t="s">
        <v>3535</v>
      </c>
      <c r="G274" s="0" t="s">
        <v>4289</v>
      </c>
    </row>
    <row customHeight="1" ht="11.25">
      <c r="A275" s="0" t="s">
        <v>14</v>
      </c>
      <c r="B275" s="0" t="s">
        <v>4251</v>
      </c>
      <c r="C275" s="0" t="s">
        <v>4252</v>
      </c>
      <c r="D275" s="0" t="s">
        <v>4290</v>
      </c>
      <c r="E275" s="0" t="s">
        <v>4291</v>
      </c>
      <c r="F275" s="0" t="s">
        <v>3535</v>
      </c>
      <c r="G275" s="0" t="s">
        <v>4292</v>
      </c>
    </row>
    <row customHeight="1" ht="11.25">
      <c r="A276" s="0" t="s">
        <v>14</v>
      </c>
      <c r="B276" s="0" t="s">
        <v>4251</v>
      </c>
      <c r="C276" s="0" t="s">
        <v>4252</v>
      </c>
      <c r="D276" s="0" t="s">
        <v>4293</v>
      </c>
      <c r="E276" s="0" t="s">
        <v>4294</v>
      </c>
      <c r="F276" s="0" t="s">
        <v>3535</v>
      </c>
      <c r="G276" s="0" t="s">
        <v>4295</v>
      </c>
    </row>
    <row customHeight="1" ht="11.25">
      <c r="A277" s="0" t="s">
        <v>14</v>
      </c>
      <c r="B277" s="0" t="s">
        <v>4251</v>
      </c>
      <c r="C277" s="0" t="s">
        <v>4252</v>
      </c>
      <c r="D277" s="0" t="s">
        <v>4296</v>
      </c>
      <c r="E277" s="0" t="s">
        <v>4297</v>
      </c>
      <c r="F277" s="0" t="s">
        <v>3535</v>
      </c>
      <c r="G277" s="0" t="s">
        <v>4298</v>
      </c>
    </row>
    <row customHeight="1" ht="11.25">
      <c r="A278" s="0" t="s">
        <v>14</v>
      </c>
      <c r="B278" s="0" t="s">
        <v>4299</v>
      </c>
      <c r="C278" s="0" t="s">
        <v>4300</v>
      </c>
      <c r="D278" s="0" t="s">
        <v>4299</v>
      </c>
      <c r="E278" s="0" t="s">
        <v>4300</v>
      </c>
      <c r="F278" s="0" t="s">
        <v>3616</v>
      </c>
      <c r="G278" s="0" t="s">
        <v>4301</v>
      </c>
    </row>
    <row customHeight="1" ht="11.25">
      <c r="A279" s="0" t="s">
        <v>14</v>
      </c>
      <c r="B279" s="0" t="s">
        <v>4302</v>
      </c>
      <c r="C279" s="0" t="s">
        <v>4303</v>
      </c>
      <c r="D279" s="0" t="s">
        <v>4304</v>
      </c>
      <c r="E279" s="0" t="s">
        <v>4305</v>
      </c>
      <c r="F279" s="0" t="s">
        <v>3535</v>
      </c>
      <c r="G279" s="0" t="s">
        <v>4306</v>
      </c>
    </row>
    <row customHeight="1" ht="11.25">
      <c r="A280" s="0" t="s">
        <v>14</v>
      </c>
      <c r="B280" s="0" t="s">
        <v>4302</v>
      </c>
      <c r="C280" s="0" t="s">
        <v>4303</v>
      </c>
      <c r="D280" s="0" t="s">
        <v>4307</v>
      </c>
      <c r="E280" s="0" t="s">
        <v>4308</v>
      </c>
      <c r="F280" s="0" t="s">
        <v>3627</v>
      </c>
      <c r="G280" s="0" t="s">
        <v>4309</v>
      </c>
    </row>
    <row customHeight="1" ht="11.25">
      <c r="A281" s="0" t="s">
        <v>14</v>
      </c>
      <c r="B281" s="0" t="s">
        <v>4302</v>
      </c>
      <c r="C281" s="0" t="s">
        <v>4303</v>
      </c>
      <c r="D281" s="0" t="s">
        <v>4310</v>
      </c>
      <c r="E281" s="0" t="s">
        <v>4311</v>
      </c>
      <c r="F281" s="0" t="s">
        <v>3535</v>
      </c>
      <c r="G281" s="0" t="s">
        <v>4312</v>
      </c>
    </row>
    <row customHeight="1" ht="11.25">
      <c r="A282" s="0" t="s">
        <v>14</v>
      </c>
      <c r="B282" s="0" t="s">
        <v>4302</v>
      </c>
      <c r="C282" s="0" t="s">
        <v>4303</v>
      </c>
      <c r="D282" s="0" t="s">
        <v>4313</v>
      </c>
      <c r="E282" s="0" t="s">
        <v>4314</v>
      </c>
      <c r="F282" s="0" t="s">
        <v>3535</v>
      </c>
      <c r="G282" s="0" t="s">
        <v>4315</v>
      </c>
    </row>
    <row customHeight="1" ht="11.25">
      <c r="A283" s="0" t="s">
        <v>14</v>
      </c>
      <c r="B283" s="0" t="s">
        <v>4302</v>
      </c>
      <c r="C283" s="0" t="s">
        <v>4303</v>
      </c>
      <c r="D283" s="0" t="s">
        <v>4316</v>
      </c>
      <c r="E283" s="0" t="s">
        <v>4317</v>
      </c>
      <c r="F283" s="0" t="s">
        <v>3535</v>
      </c>
      <c r="G283" s="0" t="s">
        <v>4318</v>
      </c>
    </row>
    <row customHeight="1" ht="11.25">
      <c r="A284" s="0" t="s">
        <v>14</v>
      </c>
      <c r="B284" s="0" t="s">
        <v>4302</v>
      </c>
      <c r="C284" s="0" t="s">
        <v>4303</v>
      </c>
      <c r="D284" s="0" t="s">
        <v>4319</v>
      </c>
      <c r="E284" s="0" t="s">
        <v>4320</v>
      </c>
      <c r="F284" s="0" t="s">
        <v>3535</v>
      </c>
      <c r="G284" s="0" t="s">
        <v>4321</v>
      </c>
    </row>
    <row customHeight="1" ht="11.25">
      <c r="A285" s="0" t="s">
        <v>14</v>
      </c>
      <c r="B285" s="0" t="s">
        <v>4302</v>
      </c>
      <c r="C285" s="0" t="s">
        <v>4303</v>
      </c>
      <c r="D285" s="0" t="s">
        <v>4302</v>
      </c>
      <c r="E285" s="0" t="s">
        <v>4303</v>
      </c>
      <c r="F285" s="0" t="s">
        <v>3532</v>
      </c>
      <c r="G285" s="0" t="s">
        <v>4322</v>
      </c>
    </row>
    <row customHeight="1" ht="11.25">
      <c r="A286" s="0" t="s">
        <v>14</v>
      </c>
      <c r="B286" s="0" t="s">
        <v>4302</v>
      </c>
      <c r="C286" s="0" t="s">
        <v>4303</v>
      </c>
      <c r="D286" s="0" t="s">
        <v>4323</v>
      </c>
      <c r="E286" s="0" t="s">
        <v>4324</v>
      </c>
      <c r="F286" s="0" t="s">
        <v>3535</v>
      </c>
      <c r="G286" s="0" t="s">
        <v>4325</v>
      </c>
    </row>
    <row customHeight="1" ht="11.25">
      <c r="A287" s="0" t="s">
        <v>14</v>
      </c>
      <c r="B287" s="0" t="s">
        <v>4326</v>
      </c>
      <c r="C287" s="0" t="s">
        <v>4327</v>
      </c>
      <c r="D287" s="0" t="s">
        <v>4328</v>
      </c>
      <c r="E287" s="0" t="s">
        <v>4329</v>
      </c>
      <c r="F287" s="0" t="s">
        <v>3535</v>
      </c>
      <c r="G287" s="0" t="s">
        <v>4330</v>
      </c>
    </row>
    <row customHeight="1" ht="11.25">
      <c r="A288" s="0" t="s">
        <v>14</v>
      </c>
      <c r="B288" s="0" t="s">
        <v>4326</v>
      </c>
      <c r="C288" s="0" t="s">
        <v>4327</v>
      </c>
      <c r="D288" s="0" t="s">
        <v>4331</v>
      </c>
      <c r="E288" s="0" t="s">
        <v>4332</v>
      </c>
      <c r="F288" s="0" t="s">
        <v>3535</v>
      </c>
      <c r="G288" s="0" t="s">
        <v>4333</v>
      </c>
    </row>
    <row customHeight="1" ht="11.25">
      <c r="A289" s="0" t="s">
        <v>14</v>
      </c>
      <c r="B289" s="0" t="s">
        <v>4326</v>
      </c>
      <c r="C289" s="0" t="s">
        <v>4327</v>
      </c>
      <c r="D289" s="0" t="s">
        <v>4334</v>
      </c>
      <c r="E289" s="0" t="s">
        <v>4335</v>
      </c>
      <c r="F289" s="0" t="s">
        <v>3535</v>
      </c>
      <c r="G289" s="0" t="s">
        <v>4336</v>
      </c>
    </row>
    <row customHeight="1" ht="11.25">
      <c r="A290" s="0" t="s">
        <v>14</v>
      </c>
      <c r="B290" s="0" t="s">
        <v>4326</v>
      </c>
      <c r="C290" s="0" t="s">
        <v>4327</v>
      </c>
      <c r="D290" s="0" t="s">
        <v>4337</v>
      </c>
      <c r="E290" s="0" t="s">
        <v>4338</v>
      </c>
      <c r="F290" s="0" t="s">
        <v>3535</v>
      </c>
      <c r="G290" s="0" t="s">
        <v>4339</v>
      </c>
    </row>
    <row customHeight="1" ht="11.25">
      <c r="A291" s="0" t="s">
        <v>14</v>
      </c>
      <c r="B291" s="0" t="s">
        <v>4326</v>
      </c>
      <c r="C291" s="0" t="s">
        <v>4327</v>
      </c>
      <c r="D291" s="0" t="s">
        <v>4340</v>
      </c>
      <c r="E291" s="0" t="s">
        <v>4341</v>
      </c>
      <c r="F291" s="0" t="s">
        <v>3535</v>
      </c>
      <c r="G291" s="0" t="s">
        <v>4342</v>
      </c>
    </row>
    <row customHeight="1" ht="11.25">
      <c r="A292" s="0" t="s">
        <v>14</v>
      </c>
      <c r="B292" s="0" t="s">
        <v>4326</v>
      </c>
      <c r="C292" s="0" t="s">
        <v>4327</v>
      </c>
      <c r="D292" s="0" t="s">
        <v>4343</v>
      </c>
      <c r="E292" s="0" t="s">
        <v>4344</v>
      </c>
      <c r="F292" s="0" t="s">
        <v>3535</v>
      </c>
      <c r="G292" s="0" t="s">
        <v>4345</v>
      </c>
    </row>
    <row customHeight="1" ht="11.25">
      <c r="A293" s="0" t="s">
        <v>14</v>
      </c>
      <c r="B293" s="0" t="s">
        <v>4326</v>
      </c>
      <c r="C293" s="0" t="s">
        <v>4327</v>
      </c>
      <c r="D293" s="0" t="s">
        <v>4326</v>
      </c>
      <c r="E293" s="0" t="s">
        <v>4327</v>
      </c>
      <c r="F293" s="0" t="s">
        <v>3532</v>
      </c>
      <c r="G293" s="0" t="s">
        <v>4346</v>
      </c>
    </row>
    <row customHeight="1" ht="11.25">
      <c r="A294" s="0" t="s">
        <v>14</v>
      </c>
      <c r="B294" s="0" t="s">
        <v>4326</v>
      </c>
      <c r="C294" s="0" t="s">
        <v>4327</v>
      </c>
      <c r="D294" s="0" t="s">
        <v>4347</v>
      </c>
      <c r="E294" s="0" t="s">
        <v>4348</v>
      </c>
      <c r="F294" s="0" t="s">
        <v>3535</v>
      </c>
      <c r="G294" s="0" t="s">
        <v>4349</v>
      </c>
    </row>
    <row customHeight="1" ht="11.25">
      <c r="A295" s="0" t="s">
        <v>14</v>
      </c>
      <c r="B295" s="0" t="s">
        <v>4350</v>
      </c>
      <c r="C295" s="0" t="s">
        <v>4351</v>
      </c>
      <c r="D295" s="0" t="s">
        <v>4352</v>
      </c>
      <c r="E295" s="0" t="s">
        <v>4353</v>
      </c>
      <c r="F295" s="0" t="s">
        <v>3535</v>
      </c>
      <c r="G295" s="0" t="s">
        <v>4354</v>
      </c>
    </row>
    <row customHeight="1" ht="11.25">
      <c r="A296" s="0" t="s">
        <v>14</v>
      </c>
      <c r="B296" s="0" t="s">
        <v>4350</v>
      </c>
      <c r="C296" s="0" t="s">
        <v>4351</v>
      </c>
      <c r="D296" s="0" t="s">
        <v>4355</v>
      </c>
      <c r="E296" s="0" t="s">
        <v>4356</v>
      </c>
      <c r="F296" s="0" t="s">
        <v>3535</v>
      </c>
      <c r="G296" s="0" t="s">
        <v>4357</v>
      </c>
    </row>
    <row customHeight="1" ht="11.25">
      <c r="A297" s="0" t="s">
        <v>14</v>
      </c>
      <c r="B297" s="0" t="s">
        <v>4350</v>
      </c>
      <c r="C297" s="0" t="s">
        <v>4351</v>
      </c>
      <c r="D297" s="0" t="s">
        <v>4358</v>
      </c>
      <c r="E297" s="0" t="s">
        <v>4359</v>
      </c>
      <c r="F297" s="0" t="s">
        <v>3535</v>
      </c>
      <c r="G297" s="0" t="s">
        <v>4360</v>
      </c>
    </row>
    <row customHeight="1" ht="11.25">
      <c r="A298" s="0" t="s">
        <v>14</v>
      </c>
      <c r="B298" s="0" t="s">
        <v>4350</v>
      </c>
      <c r="C298" s="0" t="s">
        <v>4351</v>
      </c>
      <c r="D298" s="0" t="s">
        <v>4361</v>
      </c>
      <c r="E298" s="0" t="s">
        <v>4362</v>
      </c>
      <c r="F298" s="0" t="s">
        <v>3535</v>
      </c>
      <c r="G298" s="0" t="s">
        <v>4363</v>
      </c>
    </row>
    <row customHeight="1" ht="11.25">
      <c r="A299" s="0" t="s">
        <v>14</v>
      </c>
      <c r="B299" s="0" t="s">
        <v>4350</v>
      </c>
      <c r="C299" s="0" t="s">
        <v>4351</v>
      </c>
      <c r="D299" s="0" t="s">
        <v>4364</v>
      </c>
      <c r="E299" s="0" t="s">
        <v>4365</v>
      </c>
      <c r="F299" s="0" t="s">
        <v>3535</v>
      </c>
      <c r="G299" s="0" t="s">
        <v>4366</v>
      </c>
    </row>
    <row customHeight="1" ht="11.25">
      <c r="A300" s="0" t="s">
        <v>14</v>
      </c>
      <c r="B300" s="0" t="s">
        <v>4350</v>
      </c>
      <c r="C300" s="0" t="s">
        <v>4351</v>
      </c>
      <c r="D300" s="0" t="s">
        <v>4350</v>
      </c>
      <c r="E300" s="0" t="s">
        <v>4351</v>
      </c>
      <c r="F300" s="0" t="s">
        <v>3532</v>
      </c>
      <c r="G300" s="0" t="s">
        <v>4367</v>
      </c>
    </row>
    <row customHeight="1" ht="11.25">
      <c r="A301" s="0" t="s">
        <v>14</v>
      </c>
      <c r="B301" s="0" t="s">
        <v>4350</v>
      </c>
      <c r="C301" s="0" t="s">
        <v>4351</v>
      </c>
      <c r="D301" s="0" t="s">
        <v>4368</v>
      </c>
      <c r="E301" s="0" t="s">
        <v>4369</v>
      </c>
      <c r="F301" s="0" t="s">
        <v>3535</v>
      </c>
      <c r="G301" s="0" t="s">
        <v>4370</v>
      </c>
    </row>
    <row customHeight="1" ht="11.25">
      <c r="A302" s="0" t="s">
        <v>14</v>
      </c>
      <c r="B302" s="0" t="s">
        <v>4371</v>
      </c>
      <c r="C302" s="0" t="s">
        <v>4372</v>
      </c>
      <c r="D302" s="0" t="s">
        <v>2014</v>
      </c>
      <c r="E302" s="0" t="s">
        <v>4373</v>
      </c>
      <c r="F302" s="0" t="s">
        <v>3535</v>
      </c>
      <c r="G302" s="0" t="s">
        <v>4374</v>
      </c>
    </row>
    <row customHeight="1" ht="11.25">
      <c r="A303" s="0" t="s">
        <v>14</v>
      </c>
      <c r="B303" s="0" t="s">
        <v>4371</v>
      </c>
      <c r="C303" s="0" t="s">
        <v>4372</v>
      </c>
      <c r="D303" s="0" t="s">
        <v>4375</v>
      </c>
      <c r="E303" s="0" t="s">
        <v>4376</v>
      </c>
      <c r="F303" s="0" t="s">
        <v>3535</v>
      </c>
      <c r="G303" s="0" t="s">
        <v>4377</v>
      </c>
    </row>
    <row customHeight="1" ht="11.25">
      <c r="A304" s="0" t="s">
        <v>14</v>
      </c>
      <c r="B304" s="0" t="s">
        <v>4371</v>
      </c>
      <c r="C304" s="0" t="s">
        <v>4372</v>
      </c>
      <c r="D304" s="0" t="s">
        <v>4378</v>
      </c>
      <c r="E304" s="0" t="s">
        <v>4379</v>
      </c>
      <c r="F304" s="0" t="s">
        <v>3535</v>
      </c>
      <c r="G304" s="0" t="s">
        <v>4380</v>
      </c>
    </row>
    <row customHeight="1" ht="11.25">
      <c r="A305" s="0" t="s">
        <v>14</v>
      </c>
      <c r="B305" s="0" t="s">
        <v>4371</v>
      </c>
      <c r="C305" s="0" t="s">
        <v>4372</v>
      </c>
      <c r="D305" s="0" t="s">
        <v>4381</v>
      </c>
      <c r="E305" s="0" t="s">
        <v>4382</v>
      </c>
      <c r="F305" s="0" t="s">
        <v>3535</v>
      </c>
      <c r="G305" s="0" t="s">
        <v>4383</v>
      </c>
    </row>
    <row customHeight="1" ht="11.25">
      <c r="A306" s="0" t="s">
        <v>14</v>
      </c>
      <c r="B306" s="0" t="s">
        <v>4371</v>
      </c>
      <c r="C306" s="0" t="s">
        <v>4372</v>
      </c>
      <c r="D306" s="0" t="s">
        <v>4384</v>
      </c>
      <c r="E306" s="0" t="s">
        <v>4385</v>
      </c>
      <c r="F306" s="0" t="s">
        <v>3535</v>
      </c>
      <c r="G306" s="0" t="s">
        <v>4386</v>
      </c>
    </row>
    <row customHeight="1" ht="11.25">
      <c r="A307" s="0" t="s">
        <v>14</v>
      </c>
      <c r="B307" s="0" t="s">
        <v>4371</v>
      </c>
      <c r="C307" s="0" t="s">
        <v>4372</v>
      </c>
      <c r="D307" s="0" t="s">
        <v>4387</v>
      </c>
      <c r="E307" s="0" t="s">
        <v>4388</v>
      </c>
      <c r="F307" s="0" t="s">
        <v>3535</v>
      </c>
      <c r="G307" s="0" t="s">
        <v>4389</v>
      </c>
    </row>
    <row customHeight="1" ht="11.25">
      <c r="A308" s="0" t="s">
        <v>14</v>
      </c>
      <c r="B308" s="0" t="s">
        <v>4371</v>
      </c>
      <c r="C308" s="0" t="s">
        <v>4372</v>
      </c>
      <c r="D308" s="0" t="s">
        <v>4390</v>
      </c>
      <c r="E308" s="0" t="s">
        <v>4391</v>
      </c>
      <c r="F308" s="0" t="s">
        <v>3535</v>
      </c>
      <c r="G308" s="0" t="s">
        <v>4392</v>
      </c>
    </row>
    <row customHeight="1" ht="11.25">
      <c r="A309" s="0" t="s">
        <v>14</v>
      </c>
      <c r="B309" s="0" t="s">
        <v>4371</v>
      </c>
      <c r="C309" s="0" t="s">
        <v>4372</v>
      </c>
      <c r="D309" s="0" t="s">
        <v>2028</v>
      </c>
      <c r="E309" s="0" t="s">
        <v>4393</v>
      </c>
      <c r="F309" s="0" t="s">
        <v>3535</v>
      </c>
      <c r="G309" s="0" t="s">
        <v>4394</v>
      </c>
    </row>
    <row customHeight="1" ht="11.25">
      <c r="A310" s="0" t="s">
        <v>14</v>
      </c>
      <c r="B310" s="0" t="s">
        <v>4371</v>
      </c>
      <c r="C310" s="0" t="s">
        <v>4372</v>
      </c>
      <c r="D310" s="0" t="s">
        <v>4395</v>
      </c>
      <c r="E310" s="0" t="s">
        <v>4396</v>
      </c>
      <c r="F310" s="0" t="s">
        <v>3535</v>
      </c>
      <c r="G310" s="0" t="s">
        <v>4397</v>
      </c>
    </row>
    <row customHeight="1" ht="11.25">
      <c r="A311" s="0" t="s">
        <v>14</v>
      </c>
      <c r="B311" s="0" t="s">
        <v>4371</v>
      </c>
      <c r="C311" s="0" t="s">
        <v>4372</v>
      </c>
      <c r="D311" s="0" t="s">
        <v>4398</v>
      </c>
      <c r="E311" s="0" t="s">
        <v>4399</v>
      </c>
      <c r="F311" s="0" t="s">
        <v>3535</v>
      </c>
      <c r="G311" s="0" t="s">
        <v>4400</v>
      </c>
    </row>
    <row customHeight="1" ht="11.25">
      <c r="A312" s="0" t="s">
        <v>14</v>
      </c>
      <c r="B312" s="0" t="s">
        <v>4371</v>
      </c>
      <c r="C312" s="0" t="s">
        <v>4372</v>
      </c>
      <c r="D312" s="0" t="s">
        <v>4401</v>
      </c>
      <c r="E312" s="0" t="s">
        <v>4402</v>
      </c>
      <c r="F312" s="0" t="s">
        <v>3535</v>
      </c>
      <c r="G312" s="0" t="s">
        <v>4403</v>
      </c>
    </row>
    <row customHeight="1" ht="11.25">
      <c r="A313" s="0" t="s">
        <v>14</v>
      </c>
      <c r="B313" s="0" t="s">
        <v>4371</v>
      </c>
      <c r="C313" s="0" t="s">
        <v>4372</v>
      </c>
      <c r="D313" s="0" t="s">
        <v>4371</v>
      </c>
      <c r="E313" s="0" t="s">
        <v>4372</v>
      </c>
      <c r="F313" s="0" t="s">
        <v>3532</v>
      </c>
      <c r="G313" s="0" t="s">
        <v>4404</v>
      </c>
    </row>
    <row customHeight="1" ht="11.25">
      <c r="A314" s="0" t="s">
        <v>14</v>
      </c>
      <c r="B314" s="0" t="s">
        <v>212</v>
      </c>
      <c r="C314" s="0" t="s">
        <v>213</v>
      </c>
      <c r="D314" s="0" t="s">
        <v>212</v>
      </c>
      <c r="E314" s="0" t="s">
        <v>213</v>
      </c>
      <c r="F314" s="0" t="s">
        <v>3529</v>
      </c>
      <c r="G314" s="0" t="s">
        <v>211</v>
      </c>
    </row>
    <row customHeight="1" ht="11.25">
      <c r="A315" s="0" t="s">
        <v>14</v>
      </c>
      <c r="B315" s="0" t="s">
        <v>4405</v>
      </c>
      <c r="C315" s="0" t="s">
        <v>4406</v>
      </c>
      <c r="D315" s="0" t="s">
        <v>4407</v>
      </c>
      <c r="E315" s="0" t="s">
        <v>4408</v>
      </c>
      <c r="F315" s="0" t="s">
        <v>3535</v>
      </c>
      <c r="G315" s="0" t="s">
        <v>4409</v>
      </c>
    </row>
    <row customHeight="1" ht="11.25">
      <c r="A316" s="0" t="s">
        <v>14</v>
      </c>
      <c r="B316" s="0" t="s">
        <v>4405</v>
      </c>
      <c r="C316" s="0" t="s">
        <v>4406</v>
      </c>
      <c r="D316" s="0" t="s">
        <v>4410</v>
      </c>
      <c r="E316" s="0" t="s">
        <v>4411</v>
      </c>
      <c r="F316" s="0" t="s">
        <v>3627</v>
      </c>
      <c r="G316" s="0" t="s">
        <v>4412</v>
      </c>
    </row>
    <row customHeight="1" ht="11.25">
      <c r="A317" s="0" t="s">
        <v>14</v>
      </c>
      <c r="B317" s="0" t="s">
        <v>4405</v>
      </c>
      <c r="C317" s="0" t="s">
        <v>4406</v>
      </c>
      <c r="D317" s="0" t="s">
        <v>4413</v>
      </c>
      <c r="E317" s="0" t="s">
        <v>4414</v>
      </c>
      <c r="F317" s="0" t="s">
        <v>3535</v>
      </c>
      <c r="G317" s="0" t="s">
        <v>4415</v>
      </c>
    </row>
    <row customHeight="1" ht="11.25">
      <c r="A318" s="0" t="s">
        <v>14</v>
      </c>
      <c r="B318" s="0" t="s">
        <v>4405</v>
      </c>
      <c r="C318" s="0" t="s">
        <v>4406</v>
      </c>
      <c r="D318" s="0" t="s">
        <v>4416</v>
      </c>
      <c r="E318" s="0" t="s">
        <v>4417</v>
      </c>
      <c r="F318" s="0" t="s">
        <v>3535</v>
      </c>
      <c r="G318" s="0" t="s">
        <v>4418</v>
      </c>
    </row>
    <row customHeight="1" ht="11.25">
      <c r="A319" s="0" t="s">
        <v>14</v>
      </c>
      <c r="B319" s="0" t="s">
        <v>4405</v>
      </c>
      <c r="C319" s="0" t="s">
        <v>4406</v>
      </c>
      <c r="D319" s="0" t="s">
        <v>3554</v>
      </c>
      <c r="E319" s="0" t="s">
        <v>4419</v>
      </c>
      <c r="F319" s="0" t="s">
        <v>3535</v>
      </c>
      <c r="G319" s="0" t="s">
        <v>4420</v>
      </c>
    </row>
    <row customHeight="1" ht="11.25">
      <c r="A320" s="0" t="s">
        <v>14</v>
      </c>
      <c r="B320" s="0" t="s">
        <v>4405</v>
      </c>
      <c r="C320" s="0" t="s">
        <v>4406</v>
      </c>
      <c r="D320" s="0" t="s">
        <v>4421</v>
      </c>
      <c r="E320" s="0" t="s">
        <v>4422</v>
      </c>
      <c r="F320" s="0" t="s">
        <v>3535</v>
      </c>
      <c r="G320" s="0" t="s">
        <v>4423</v>
      </c>
    </row>
    <row customHeight="1" ht="11.25">
      <c r="A321" s="0" t="s">
        <v>14</v>
      </c>
      <c r="B321" s="0" t="s">
        <v>4405</v>
      </c>
      <c r="C321" s="0" t="s">
        <v>4406</v>
      </c>
      <c r="D321" s="0" t="s">
        <v>4424</v>
      </c>
      <c r="E321" s="0" t="s">
        <v>4425</v>
      </c>
      <c r="F321" s="0" t="s">
        <v>3535</v>
      </c>
      <c r="G321" s="0" t="s">
        <v>4426</v>
      </c>
    </row>
    <row customHeight="1" ht="11.25">
      <c r="A322" s="0" t="s">
        <v>14</v>
      </c>
      <c r="B322" s="0" t="s">
        <v>4405</v>
      </c>
      <c r="C322" s="0" t="s">
        <v>4406</v>
      </c>
      <c r="D322" s="0" t="s">
        <v>4427</v>
      </c>
      <c r="E322" s="0" t="s">
        <v>4428</v>
      </c>
      <c r="F322" s="0" t="s">
        <v>3535</v>
      </c>
      <c r="G322" s="0" t="s">
        <v>4429</v>
      </c>
    </row>
    <row customHeight="1" ht="11.25">
      <c r="A323" s="0" t="s">
        <v>14</v>
      </c>
      <c r="B323" s="0" t="s">
        <v>4405</v>
      </c>
      <c r="C323" s="0" t="s">
        <v>4406</v>
      </c>
      <c r="D323" s="0" t="s">
        <v>4430</v>
      </c>
      <c r="E323" s="0" t="s">
        <v>4431</v>
      </c>
      <c r="F323" s="0" t="s">
        <v>3535</v>
      </c>
      <c r="G323" s="0" t="s">
        <v>4432</v>
      </c>
    </row>
    <row customHeight="1" ht="11.25">
      <c r="A324" s="0" t="s">
        <v>14</v>
      </c>
      <c r="B324" s="0" t="s">
        <v>4405</v>
      </c>
      <c r="C324" s="0" t="s">
        <v>4406</v>
      </c>
      <c r="D324" s="0" t="s">
        <v>4433</v>
      </c>
      <c r="E324" s="0" t="s">
        <v>4434</v>
      </c>
      <c r="F324" s="0" t="s">
        <v>3535</v>
      </c>
      <c r="G324" s="0" t="s">
        <v>4435</v>
      </c>
    </row>
    <row customHeight="1" ht="11.25">
      <c r="A325" s="0" t="s">
        <v>14</v>
      </c>
      <c r="B325" s="0" t="s">
        <v>4405</v>
      </c>
      <c r="C325" s="0" t="s">
        <v>4406</v>
      </c>
      <c r="D325" s="0" t="s">
        <v>4436</v>
      </c>
      <c r="E325" s="0" t="s">
        <v>4437</v>
      </c>
      <c r="F325" s="0" t="s">
        <v>3535</v>
      </c>
      <c r="G325" s="0" t="s">
        <v>4438</v>
      </c>
    </row>
    <row customHeight="1" ht="11.25">
      <c r="A326" s="0" t="s">
        <v>14</v>
      </c>
      <c r="B326" s="0" t="s">
        <v>4405</v>
      </c>
      <c r="C326" s="0" t="s">
        <v>4406</v>
      </c>
      <c r="D326" s="0" t="s">
        <v>4439</v>
      </c>
      <c r="E326" s="0" t="s">
        <v>4440</v>
      </c>
      <c r="F326" s="0" t="s">
        <v>3535</v>
      </c>
      <c r="G326" s="0" t="s">
        <v>4441</v>
      </c>
    </row>
    <row customHeight="1" ht="11.25">
      <c r="A327" s="0" t="s">
        <v>14</v>
      </c>
      <c r="B327" s="0" t="s">
        <v>4405</v>
      </c>
      <c r="C327" s="0" t="s">
        <v>4406</v>
      </c>
      <c r="D327" s="0" t="s">
        <v>4405</v>
      </c>
      <c r="E327" s="0" t="s">
        <v>4406</v>
      </c>
      <c r="F327" s="0" t="s">
        <v>3532</v>
      </c>
      <c r="G327"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19E79-1671-80F3-DC21-5409A90A83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75" width="9.140625"/>
    <col min="2" max="2" style="5075" width="84.28125" customWidth="1"/>
    <col min="3" max="3" style="5075" width="9.140625"/>
  </cols>
  <sheetData>
    <row customHeight="1" ht="11.25">
      <c r="A1" s="845" t="s">
        <v>4462</v>
      </c>
      <c r="B1" s="845" t="s">
        <v>4463</v>
      </c>
      <c r="C1" s="845" t="s">
        <v>654</v>
      </c>
    </row>
    <row customHeight="1" ht="11.25">
      <c r="A2" s="845">
        <v>4189678</v>
      </c>
      <c r="B2" s="845" t="s">
        <v>4464</v>
      </c>
      <c r="C2" s="845" t="s">
        <v>4465</v>
      </c>
    </row>
    <row customHeight="1" ht="11.25">
      <c r="A3" s="845">
        <v>4190415</v>
      </c>
      <c r="B3" s="845" t="s">
        <v>4466</v>
      </c>
      <c r="C3" s="845"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6F37-C15C-E2FA-A98B-42BBBD5666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80" width="38.421875" customWidth="1"/>
    <col min="2" max="5" style="5080" width="9.140625"/>
  </cols>
  <sheetData>
    <row customHeight="1" ht="15">
      <c r="A1" s="149" t="s">
        <v>4467</v>
      </c>
      <c r="B1" s="149" t="s">
        <v>4468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1780D-3D4D-8CD5-0421-E7BC27F31E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4469</v>
      </c>
      <c r="B1" s="0" t="b">
        <v>1</v>
      </c>
    </row>
    <row customHeight="1" ht="11.25">
      <c r="A2" s="0" t="s">
        <v>4470</v>
      </c>
      <c r="B2" s="0" t="b">
        <v>0</v>
      </c>
    </row>
    <row customHeight="1" ht="11.25">
      <c r="A3" s="0" t="s">
        <v>4471</v>
      </c>
      <c r="B3" s="0" t="b">
        <v>0</v>
      </c>
    </row>
    <row customHeight="1" ht="11.25">
      <c r="A4" s="0" t="s">
        <v>4472</v>
      </c>
      <c r="B4" s="0" t="b">
        <v>1</v>
      </c>
    </row>
    <row customHeight="1" ht="11.25">
      <c r="A5" s="0" t="s">
        <v>4473</v>
      </c>
      <c r="B5" s="0" t="b">
        <v>0</v>
      </c>
    </row>
    <row customHeight="1" ht="11.25">
      <c r="A6" s="0" t="s">
        <v>4474</v>
      </c>
      <c r="B6" s="0" t="b">
        <v>0</v>
      </c>
    </row>
    <row customHeight="1" ht="11.25">
      <c r="A7" s="0" t="s">
        <v>4475</v>
      </c>
      <c r="B7" s="0" t="b">
        <v>0</v>
      </c>
    </row>
    <row customHeight="1" ht="11.25">
      <c r="A8" s="0" t="s">
        <v>4476</v>
      </c>
      <c r="B8" s="0" t="b">
        <v>0</v>
      </c>
    </row>
    <row customHeight="1" ht="11.25">
      <c r="A9" s="0" t="s">
        <v>4477</v>
      </c>
      <c r="B9" s="0" t="b">
        <v>0</v>
      </c>
    </row>
    <row customHeight="1" ht="11.25">
      <c r="A10" s="0" t="s">
        <v>4478</v>
      </c>
      <c r="B10" s="0" t="b">
        <v>0</v>
      </c>
    </row>
    <row customHeight="1" ht="11.25">
      <c r="A11" s="0" t="s">
        <v>4479</v>
      </c>
      <c r="B11" s="0" t="b">
        <v>1</v>
      </c>
    </row>
    <row customHeight="1" ht="11.25">
      <c r="A12" s="0" t="s">
        <v>4480</v>
      </c>
      <c r="B12" s="0" t="b">
        <v>0</v>
      </c>
    </row>
    <row customHeight="1" ht="11.25">
      <c r="A13" s="0" t="s">
        <v>4481</v>
      </c>
      <c r="B13" s="0" t="b">
        <v>0</v>
      </c>
    </row>
    <row customHeight="1" ht="11.25">
      <c r="A14" s="0" t="s">
        <v>4482</v>
      </c>
      <c r="B14" s="0" t="b">
        <v>0</v>
      </c>
    </row>
    <row customHeight="1" ht="11.25">
      <c r="A15" s="0" t="s">
        <v>4483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7D6C-47A1-6543-AC0A-C699CE1A04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8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5232C-6A45-3AF3-27D2-26F7230425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7" width="36.28125" customWidth="1"/>
    <col min="2" max="2" style="5057" width="21.140625" customWidth="1"/>
  </cols>
  <sheetData>
    <row customHeight="1" ht="11.25">
      <c r="A1" s="52" t="s">
        <v>4484</v>
      </c>
      <c r="B1" s="52" t="s">
        <v>4485</v>
      </c>
    </row>
    <row customHeight="1" ht="11.25">
      <c r="A2" s="48" t="s">
        <v>4486</v>
      </c>
      <c r="B2" s="48" t="s">
        <v>4487</v>
      </c>
    </row>
    <row customHeight="1" ht="11.25">
      <c r="A3" s="48" t="s">
        <v>4488</v>
      </c>
      <c r="B3" s="48" t="s">
        <v>4489</v>
      </c>
    </row>
    <row customHeight="1" ht="11.25">
      <c r="A4" s="48" t="s">
        <v>4490</v>
      </c>
      <c r="B4" s="48" t="s">
        <v>4491</v>
      </c>
    </row>
    <row customHeight="1" ht="11.25">
      <c r="A5" s="48" t="s">
        <v>4492</v>
      </c>
      <c r="B5" s="48" t="s">
        <v>4493</v>
      </c>
    </row>
    <row customHeight="1" ht="11.25">
      <c r="A6" s="48" t="s">
        <v>4494</v>
      </c>
      <c r="B6" s="48" t="s">
        <v>4495</v>
      </c>
    </row>
    <row customHeight="1" ht="11.25">
      <c r="A7" s="48" t="s">
        <v>4496</v>
      </c>
      <c r="B7" s="48" t="s">
        <v>4497</v>
      </c>
    </row>
    <row customHeight="1" ht="11.25">
      <c r="A8" s="48" t="s">
        <v>4498</v>
      </c>
      <c r="B8" s="48" t="s">
        <v>4499</v>
      </c>
    </row>
    <row customHeight="1" ht="11.25">
      <c r="A9" s="48" t="s">
        <v>4500</v>
      </c>
      <c r="B9" s="48" t="s">
        <v>4501</v>
      </c>
    </row>
    <row customHeight="1" ht="11.25">
      <c r="A10" s="48" t="s">
        <v>4502</v>
      </c>
      <c r="B10" s="48" t="s">
        <v>4503</v>
      </c>
    </row>
    <row customHeight="1" ht="11.25">
      <c r="A11" s="48" t="s">
        <v>4504</v>
      </c>
      <c r="B11" s="48" t="s">
        <v>4505</v>
      </c>
    </row>
    <row customHeight="1" ht="11.25">
      <c r="A12" s="48" t="s">
        <v>4506</v>
      </c>
      <c r="B12" s="48" t="s">
        <v>4507</v>
      </c>
    </row>
    <row customHeight="1" ht="11.25">
      <c r="A13" s="48" t="s">
        <v>4508</v>
      </c>
      <c r="B13" s="48" t="s">
        <v>4509</v>
      </c>
    </row>
    <row customHeight="1" ht="11.25">
      <c r="A14" s="48" t="s">
        <v>4510</v>
      </c>
      <c r="B14" s="48" t="s">
        <v>4511</v>
      </c>
    </row>
    <row customHeight="1" ht="11.25">
      <c r="A15" s="48" t="s">
        <v>4512</v>
      </c>
      <c r="B15" s="48" t="s">
        <v>4513</v>
      </c>
    </row>
    <row customHeight="1" ht="11.25">
      <c r="A16" s="48" t="s">
        <v>4514</v>
      </c>
      <c r="B16" s="48" t="s">
        <v>4515</v>
      </c>
    </row>
    <row customHeight="1" ht="11.25">
      <c r="A17" s="48" t="s">
        <v>4516</v>
      </c>
      <c r="B17" s="48" t="s">
        <v>4517</v>
      </c>
    </row>
    <row customHeight="1" ht="11.25">
      <c r="A18" s="48" t="s">
        <v>4518</v>
      </c>
      <c r="B18" s="48" t="s">
        <v>4519</v>
      </c>
    </row>
    <row customHeight="1" ht="11.25">
      <c r="A19" s="48" t="s">
        <v>4520</v>
      </c>
      <c r="B19" s="48" t="s">
        <v>4521</v>
      </c>
    </row>
    <row customHeight="1" ht="11.25">
      <c r="A20" s="48" t="s">
        <v>4522</v>
      </c>
      <c r="B20" s="48" t="s">
        <v>4523</v>
      </c>
    </row>
    <row customHeight="1" ht="11.25">
      <c r="A21" s="48" t="s">
        <v>4524</v>
      </c>
      <c r="B21" s="48" t="s">
        <v>4525</v>
      </c>
    </row>
    <row customHeight="1" ht="11.25">
      <c r="A22" s="48" t="s">
        <v>4526</v>
      </c>
      <c r="B22" s="48" t="s">
        <v>4527</v>
      </c>
    </row>
    <row customHeight="1" ht="11.25">
      <c r="A23" s="48" t="s">
        <v>4528</v>
      </c>
      <c r="B23" s="48" t="s">
        <v>4529</v>
      </c>
    </row>
    <row customHeight="1" ht="11.25">
      <c r="A24" s="48" t="s">
        <v>4530</v>
      </c>
      <c r="B24" s="48" t="s">
        <v>4531</v>
      </c>
    </row>
    <row customHeight="1" ht="11.25">
      <c r="A25" s="48" t="s">
        <v>4532</v>
      </c>
      <c r="B25" s="48" t="s">
        <v>4533</v>
      </c>
    </row>
    <row customHeight="1" ht="11.25">
      <c r="A26" s="48" t="s">
        <v>4534</v>
      </c>
      <c r="B26" s="48" t="s">
        <v>4535</v>
      </c>
    </row>
    <row customHeight="1" ht="11.25">
      <c r="A27" s="48" t="s">
        <v>4536</v>
      </c>
      <c r="B27" s="48" t="s">
        <v>4537</v>
      </c>
    </row>
    <row customHeight="1" ht="11.25">
      <c r="A28" s="48" t="s">
        <v>4538</v>
      </c>
      <c r="B28" s="48" t="s">
        <v>4539</v>
      </c>
    </row>
    <row customHeight="1" ht="11.25">
      <c r="A29" s="48" t="s">
        <v>4540</v>
      </c>
      <c r="B29" s="48" t="s">
        <v>4541</v>
      </c>
    </row>
    <row customHeight="1" ht="11.25">
      <c r="A30" s="48" t="s">
        <v>4542</v>
      </c>
      <c r="B30" s="48" t="s">
        <v>4543</v>
      </c>
    </row>
    <row customHeight="1" ht="11.25">
      <c r="A31" s="48" t="s">
        <v>4544</v>
      </c>
      <c r="B31" s="48" t="s">
        <v>4545</v>
      </c>
    </row>
    <row customHeight="1" ht="11.25">
      <c r="A32" s="48" t="s">
        <v>4546</v>
      </c>
      <c r="B32" s="48" t="s">
        <v>4547</v>
      </c>
    </row>
    <row customHeight="1" ht="11.25">
      <c r="A33" s="48" t="s">
        <v>4548</v>
      </c>
      <c r="B33" s="48" t="s">
        <v>4549</v>
      </c>
    </row>
    <row customHeight="1" ht="11.25">
      <c r="A34" s="48" t="s">
        <v>4550</v>
      </c>
      <c r="B34" s="48" t="s">
        <v>4551</v>
      </c>
    </row>
    <row customHeight="1" ht="11.25">
      <c r="A35" s="48" t="s">
        <v>4552</v>
      </c>
      <c r="B35" s="48" t="s">
        <v>4553</v>
      </c>
    </row>
    <row customHeight="1" ht="11.25">
      <c r="A36" s="48" t="s">
        <v>4554</v>
      </c>
      <c r="B36" s="48" t="s">
        <v>4555</v>
      </c>
    </row>
    <row customHeight="1" ht="11.25">
      <c r="A37" s="48" t="s">
        <v>4556</v>
      </c>
      <c r="B37" s="48" t="s">
        <v>4557</v>
      </c>
    </row>
    <row customHeight="1" ht="11.25">
      <c r="A38" s="48" t="s">
        <v>4558</v>
      </c>
      <c r="B38" s="48" t="s">
        <v>4559</v>
      </c>
    </row>
    <row customHeight="1" ht="11.25">
      <c r="A39" s="48" t="s">
        <v>4560</v>
      </c>
      <c r="B39" s="48" t="s">
        <v>4561</v>
      </c>
    </row>
    <row customHeight="1" ht="11.25">
      <c r="A40" s="48" t="s">
        <v>4562</v>
      </c>
      <c r="B40" s="48" t="s">
        <v>4563</v>
      </c>
    </row>
    <row customHeight="1" ht="11.25">
      <c r="A41" s="48" t="s">
        <v>4564</v>
      </c>
      <c r="B41" s="48" t="s">
        <v>4565</v>
      </c>
    </row>
    <row customHeight="1" ht="11.25">
      <c r="A42" s="48" t="s">
        <v>4566</v>
      </c>
      <c r="B42" s="48" t="s">
        <v>4567</v>
      </c>
    </row>
    <row customHeight="1" ht="11.25">
      <c r="A43" s="48" t="s">
        <v>4568</v>
      </c>
      <c r="B43" s="48" t="s">
        <v>4569</v>
      </c>
    </row>
    <row customHeight="1" ht="11.25">
      <c r="A44" s="48" t="s">
        <v>4570</v>
      </c>
      <c r="B44" s="48" t="s">
        <v>4571</v>
      </c>
    </row>
    <row customHeight="1" ht="11.25">
      <c r="A45" s="48" t="s">
        <v>4572</v>
      </c>
      <c r="B45" s="48" t="s">
        <v>4573</v>
      </c>
    </row>
    <row customHeight="1" ht="11.25">
      <c r="A46" s="48" t="s">
        <v>4574</v>
      </c>
      <c r="B46" s="48" t="s">
        <v>4575</v>
      </c>
    </row>
    <row customHeight="1" ht="11.25">
      <c r="A47" s="48" t="s">
        <v>4576</v>
      </c>
      <c r="B47" s="48" t="s">
        <v>4577</v>
      </c>
    </row>
    <row customHeight="1" ht="11.25">
      <c r="A48" s="48" t="s">
        <v>4578</v>
      </c>
      <c r="B48" s="48" t="s">
        <v>4579</v>
      </c>
    </row>
    <row customHeight="1" ht="11.25">
      <c r="A49" s="48" t="s">
        <v>4580</v>
      </c>
      <c r="B49" s="48" t="s">
        <v>4581</v>
      </c>
    </row>
    <row customHeight="1" ht="11.25">
      <c r="A50" s="48" t="s">
        <v>4582</v>
      </c>
      <c r="B50" s="48" t="s">
        <v>4583</v>
      </c>
    </row>
    <row customHeight="1" ht="11.25">
      <c r="A51" s="48" t="s">
        <v>4584</v>
      </c>
      <c r="B51" s="48" t="s">
        <v>4585</v>
      </c>
    </row>
    <row customHeight="1" ht="11.25">
      <c r="A52" s="48" t="s">
        <v>4586</v>
      </c>
      <c r="B52" s="48" t="s">
        <v>4587</v>
      </c>
    </row>
    <row customHeight="1" ht="11.25">
      <c r="A53" s="48" t="s">
        <v>4588</v>
      </c>
      <c r="B53" s="48" t="s">
        <v>4589</v>
      </c>
    </row>
    <row customHeight="1" ht="11.25">
      <c r="A54" s="48" t="s">
        <v>4590</v>
      </c>
      <c r="B54" s="48" t="s">
        <v>4591</v>
      </c>
    </row>
    <row customHeight="1" ht="11.25">
      <c r="A55" s="48" t="s">
        <v>4592</v>
      </c>
      <c r="B55" s="48" t="s">
        <v>4593</v>
      </c>
    </row>
    <row customHeight="1" ht="11.25">
      <c r="A56" s="48" t="s">
        <v>4594</v>
      </c>
      <c r="B56" s="48" t="s">
        <v>4595</v>
      </c>
    </row>
    <row customHeight="1" ht="11.25">
      <c r="A57" s="48" t="s">
        <v>4596</v>
      </c>
      <c r="B57" s="48" t="s">
        <v>4597</v>
      </c>
    </row>
    <row customHeight="1" ht="11.25">
      <c r="A58" s="48" t="s">
        <v>4598</v>
      </c>
      <c r="B58" s="48" t="s">
        <v>4599</v>
      </c>
    </row>
    <row customHeight="1" ht="11.25">
      <c r="A59" s="48" t="s">
        <v>4600</v>
      </c>
      <c r="B59" s="48" t="s">
        <v>4601</v>
      </c>
    </row>
    <row customHeight="1" ht="11.25">
      <c r="A60" s="48" t="s">
        <v>4602</v>
      </c>
      <c r="B60" s="48" t="s">
        <v>4603</v>
      </c>
    </row>
    <row customHeight="1" ht="11.25">
      <c r="A61" s="48"/>
      <c r="B61" s="48" t="s">
        <v>4604</v>
      </c>
    </row>
    <row customHeight="1" ht="11.25">
      <c r="A62" s="48"/>
      <c r="B62" s="48" t="s">
        <v>4605</v>
      </c>
    </row>
    <row customHeight="1" ht="11.25">
      <c r="A63" s="48"/>
      <c r="B63" s="48" t="s">
        <v>4606</v>
      </c>
    </row>
    <row customHeight="1" ht="11.25">
      <c r="A64" s="48"/>
      <c r="B64" s="48" t="s">
        <v>4607</v>
      </c>
    </row>
    <row customHeight="1" ht="11.25">
      <c r="A65" s="48"/>
      <c r="B65" s="48" t="s">
        <v>4608</v>
      </c>
    </row>
    <row customHeight="1" ht="11.25">
      <c r="A66" s="48"/>
      <c r="B66" s="48" t="s">
        <v>4609</v>
      </c>
    </row>
    <row customHeight="1" ht="11.25">
      <c r="A67" s="48"/>
      <c r="B67" s="48" t="s">
        <v>4610</v>
      </c>
    </row>
    <row customHeight="1" ht="11.25">
      <c r="A68" s="48"/>
      <c r="B68" s="48" t="s">
        <v>4611</v>
      </c>
    </row>
    <row customHeight="1" ht="11.25">
      <c r="A69" s="48"/>
      <c r="B69" s="48" t="s">
        <v>4612</v>
      </c>
    </row>
    <row customHeight="1" ht="11.25">
      <c r="A70" s="48"/>
      <c r="B70" s="48" t="s">
        <v>4613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CD411-BE11-159C-DE58-9D6F963102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4614</v>
      </c>
    </row>
    <row customHeight="1" ht="90">
      <c r="B2" s="79" t="s">
        <v>4615</v>
      </c>
    </row>
    <row customHeight="1" ht="67.5">
      <c r="B3" s="79" t="s">
        <v>4616</v>
      </c>
    </row>
    <row customHeight="1" ht="33.75">
      <c r="B4" s="79" t="s">
        <v>4617</v>
      </c>
    </row>
    <row customHeight="1" ht="11.25">
      <c r="B5" s="79" t="s">
        <v>4618</v>
      </c>
    </row>
    <row customHeight="1" ht="22.5">
      <c r="B6" s="79" t="s">
        <v>4619</v>
      </c>
    </row>
    <row customHeight="1" ht="22.5">
      <c r="B7" s="79" t="s">
        <v>4620</v>
      </c>
    </row>
    <row customHeight="1" ht="22.5">
      <c r="B8" s="79" t="s">
        <v>4621</v>
      </c>
    </row>
    <row customHeight="1" ht="22.5">
      <c r="B9" s="79" t="s">
        <v>4622</v>
      </c>
    </row>
    <row customHeight="1" ht="56.25">
      <c r="B10" s="79" t="s">
        <v>4623</v>
      </c>
    </row>
    <row customHeight="1" ht="12.75">
      <c r="B11" s="145" t="s">
        <v>4624</v>
      </c>
    </row>
    <row customHeight="1" ht="11.25">
      <c r="B12" s="78" t="s">
        <v>4625</v>
      </c>
    </row>
    <row customHeight="1" ht="22.5">
      <c r="B13" s="79" t="s">
        <v>4626</v>
      </c>
    </row>
    <row customHeight="1" ht="67.5">
      <c r="B14" s="79" t="s">
        <v>4627</v>
      </c>
    </row>
    <row customHeight="1" ht="22.5">
      <c r="B15" s="79" t="s">
        <v>4628</v>
      </c>
    </row>
    <row customHeight="1" ht="11.25">
      <c r="B16" s="78" t="s">
        <v>4629</v>
      </c>
      <c r="D16" s="86"/>
    </row>
    <row customHeight="1" ht="33.75">
      <c r="B17" s="79" t="s">
        <v>4630</v>
      </c>
    </row>
    <row customHeight="1" ht="33.75">
      <c r="B18" s="79" t="s">
        <v>4631</v>
      </c>
    </row>
    <row customHeight="1" ht="11.25">
      <c r="B19" s="79" t="s">
        <v>4632</v>
      </c>
    </row>
    <row customHeight="1" ht="33.75">
      <c r="B20" s="79" t="s">
        <v>4633</v>
      </c>
    </row>
    <row customHeight="1" ht="11.25">
      <c r="B21" s="78" t="s">
        <v>4634</v>
      </c>
    </row>
    <row customHeight="1" ht="11.25">
      <c r="B22" s="79" t="s">
        <v>4635</v>
      </c>
    </row>
    <row r="24" customHeight="1" ht="22.5">
      <c r="B24" s="147" t="s">
        <v>4636</v>
      </c>
    </row>
    <row r="26" customHeight="1" ht="11.25">
      <c r="B26" s="78" t="s">
        <v>4637</v>
      </c>
    </row>
    <row customHeight="1" ht="22.5">
      <c r="B27" s="146" t="s">
        <v>557</v>
      </c>
    </row>
    <row customHeight="1" ht="56.25">
      <c r="B28" s="146" t="s">
        <v>4638</v>
      </c>
    </row>
    <row customHeight="1" ht="11.25">
      <c r="B29" s="196" t="s">
        <v>4639</v>
      </c>
    </row>
    <row customHeight="1" ht="22.5">
      <c r="B30" s="146" t="s">
        <v>4640</v>
      </c>
    </row>
    <row r="32" customHeight="1" ht="11.25">
      <c r="A32" s="174"/>
      <c r="B32" s="175" t="s">
        <v>4641</v>
      </c>
    </row>
    <row customHeight="1" ht="14.25">
      <c r="A33" s="176">
        <v>1</v>
      </c>
      <c r="B33" s="177" t="s">
        <v>4642</v>
      </c>
    </row>
    <row customHeight="1" ht="14.25">
      <c r="A34" s="176">
        <v>2</v>
      </c>
      <c r="B34" s="177" t="s">
        <v>4643</v>
      </c>
    </row>
    <row customHeight="1" ht="11.25">
      <c r="B35" s="175" t="s">
        <v>4644</v>
      </c>
    </row>
    <row customHeight="1" ht="11.25">
      <c r="B36" s="177" t="s">
        <v>4645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