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akinfieva\Desktop\САЙТ\"/>
    </mc:Choice>
  </mc:AlternateContent>
  <bookViews>
    <workbookView xWindow="0" yWindow="0" windowWidth="28800" windowHeight="12435" tabRatio="870" firstSheet="21" activeTab="2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state="hidden" r:id="rId42"/>
    <sheet name="Предложение" sheetId="43" r:id="rId43"/>
    <sheet name="Сведения о закупках" sheetId="44"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Т-подвоз'!$1162:$1163</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Т-подвоз'!$1164:$1165</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тарифов'!$64:$364</definedName>
    <definedName name="BLOCK_PT_HEAT">'Перечень тарифов'!$13:$62</definedName>
    <definedName name="BLOCK_PT_HOTVSNA">'Перечень тарифов'!$366:$380</definedName>
    <definedName name="BLOCK_PT_VOTV">'Перечень тарифов'!$382:$396</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территорий'!$E$75:$I$75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REESTR_DS!$B$2:$B$22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тарифов'!$Z$12:$Z$398</definedName>
    <definedName name="DIFFERENTIATION_TARIFF_VD_ID">'Перечень тарифов'!$AB$12:$AB$398</definedName>
    <definedName name="DIFFERENTIATION_TARIFF_VTAR_ID">'Перечень тарифов'!$AA$12:$AA$398</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Предложение!$L$220</definedName>
    <definedName name="OFFER_METHOD">Предложение!$K$24:$K$218</definedName>
    <definedName name="OFFER_METHOD_FLAG">TEHSHEET!$L$6</definedName>
    <definedName name="OFFER_TARIFF_A_1">Предложение!$24:$26</definedName>
    <definedName name="OFFER_TARIFF_A_2">Предложение!$222:$224</definedName>
    <definedName name="OFFER_TARIFF_A_3">Предложение!$418:$420</definedName>
    <definedName name="OFFER_TARIFF_A_4">Предложение!$614:$616</definedName>
    <definedName name="OFFER_TARIFF_A_5">Предложение!$810:$812</definedName>
    <definedName name="OFFER_TARIFF_A_COLDVSNA_1">Предложение!$48:$50</definedName>
    <definedName name="OFFER_TARIFF_A_COLDVSNA_2">Предложение!$246:$248</definedName>
    <definedName name="OFFER_TARIFF_A_COLDVSNA_3">Предложение!$442:$444</definedName>
    <definedName name="OFFER_TARIFF_A_COLDVSNA_4">Предложение!$638:$640</definedName>
    <definedName name="OFFER_TARIFF_A_COLDVSNA_5">Предложение!$834:$836</definedName>
    <definedName name="OFFER_TARIFF_A_HOTVSNA_1">Предложение!$201:$203</definedName>
    <definedName name="OFFER_TARIFF_A_HOTVSNA_2">Предложение!$399:$401</definedName>
    <definedName name="OFFER_TARIFF_A_HOTVSNA_3">Предложение!$595:$597</definedName>
    <definedName name="OFFER_TARIFF_A_HOTVSNA_4">Предложение!$791:$793</definedName>
    <definedName name="OFFER_TARIFF_A_HOTVSNA_5">Предложение!$987:$989</definedName>
    <definedName name="OFFER_TARIFF_A_VOTV_1">Предложение!$210:$212</definedName>
    <definedName name="OFFER_TARIFF_A_VOTV_2">Предложение!$408:$410</definedName>
    <definedName name="OFFER_TARIFF_A_VOTV_3">Предложение!$604:$606</definedName>
    <definedName name="OFFER_TARIFF_A_VOTV_4">Предложение!$800:$802</definedName>
    <definedName name="OFFER_TARIFF_A_VOTV_5">Предложение!$996:$998</definedName>
    <definedName name="OFFER_TARIFF_B_1">Предложение!$27:$29</definedName>
    <definedName name="OFFER_TARIFF_B_2">Предложение!$225:$227</definedName>
    <definedName name="OFFER_TARIFF_B_3">Предложение!$421:$423</definedName>
    <definedName name="OFFER_TARIFF_B_4">Предложение!$617:$619</definedName>
    <definedName name="OFFER_TARIFF_B_5">Предложение!$813:$815</definedName>
    <definedName name="OFFER_TARIFF_B_COLDVSNA_1">Предложение!$51:$53</definedName>
    <definedName name="OFFER_TARIFF_B_COLDVSNA_2">Предложение!$249:$251</definedName>
    <definedName name="OFFER_TARIFF_B_COLDVSNA_3">Предложение!$445:$447</definedName>
    <definedName name="OFFER_TARIFF_B_COLDVSNA_4">Предложение!$641:$643</definedName>
    <definedName name="OFFER_TARIFF_B_COLDVSNA_5">Предложение!$837:$839</definedName>
    <definedName name="OFFER_TARIFF_B_HOTVSNA_1">Предложение!$204:$206</definedName>
    <definedName name="OFFER_TARIFF_B_HOTVSNA_2">Предложение!$402:$404</definedName>
    <definedName name="OFFER_TARIFF_B_HOTVSNA_3">Предложение!$598:$600</definedName>
    <definedName name="OFFER_TARIFF_B_HOTVSNA_4">Предложение!$794:$796</definedName>
    <definedName name="OFFER_TARIFF_B_HOTVSNA_5">Предложение!$990:$992</definedName>
    <definedName name="OFFER_TARIFF_B_VOTV_1">Предложение!$213:$215</definedName>
    <definedName name="OFFER_TARIFF_B_VOTV_2">Предложение!$411:$413</definedName>
    <definedName name="OFFER_TARIFF_B_VOTV_3">Предложение!$607:$609</definedName>
    <definedName name="OFFER_TARIFF_B_VOTV_4">Предложение!$803:$805</definedName>
    <definedName name="OFFER_TARIFF_B_VOTV_5">Предложение!$999:$1001</definedName>
    <definedName name="OFFER_TARIFF_C_1">Предложение!$30:$32</definedName>
    <definedName name="OFFER_TARIFF_C_2">Предложение!$228:$230</definedName>
    <definedName name="OFFER_TARIFF_C_3">Предложение!$424:$426</definedName>
    <definedName name="OFFER_TARIFF_C_4">Предложение!$620:$622</definedName>
    <definedName name="OFFER_TARIFF_C_5">Предложение!$816:$818</definedName>
    <definedName name="OFFER_TARIFF_C_COLDVSNA_1">Предложение!$54:$56</definedName>
    <definedName name="OFFER_TARIFF_C_COLDVSNA_2">Предложение!$252:$254</definedName>
    <definedName name="OFFER_TARIFF_C_COLDVSNA_3">Предложение!$448:$450</definedName>
    <definedName name="OFFER_TARIFF_C_COLDVSNA_4">Предложение!$644:$646</definedName>
    <definedName name="OFFER_TARIFF_C_COLDVSNA_5">Предложение!$840:$842</definedName>
    <definedName name="OFFER_TARIFF_C_HOTVSNA_1">Предложение!$207:$209</definedName>
    <definedName name="OFFER_TARIFF_C_HOTVSNA_2">Предложение!$405:$407</definedName>
    <definedName name="OFFER_TARIFF_C_HOTVSNA_3">Предложение!$601:$603</definedName>
    <definedName name="OFFER_TARIFF_C_HOTVSNA_4">Предложение!$797:$799</definedName>
    <definedName name="OFFER_TARIFF_C_HOTVSNA_5">Предложение!$993:$995</definedName>
    <definedName name="OFFER_TARIFF_C_VOTV_1">Предложение!$216:$218</definedName>
    <definedName name="OFFER_TARIFF_C_VOTV_2">Предложение!$414:$416</definedName>
    <definedName name="OFFER_TARIFF_C_VOTV_3">Предложение!$610:$612</definedName>
    <definedName name="OFFER_TARIFF_C_VOTV_4">Предложение!$806:$808</definedName>
    <definedName name="OFFER_TARIFF_C_VOTV_5">Предложение!$1002:$1004</definedName>
    <definedName name="OFFER_TARIFF_D_1">Предложение!$33:$35</definedName>
    <definedName name="OFFER_TARIFF_D_2">Предложение!$231:$233</definedName>
    <definedName name="OFFER_TARIFF_D_3">Предложение!$427:$429</definedName>
    <definedName name="OFFER_TARIFF_D_4">Предложение!$623:$625</definedName>
    <definedName name="OFFER_TARIFF_D_5">Предложение!$819:$821</definedName>
    <definedName name="OFFER_TARIFF_D_COLDVSNA_1">Предложение!$57:$197</definedName>
    <definedName name="OFFER_TARIFF_D_COLDVSNA_2">Предложение!$255:$395</definedName>
    <definedName name="OFFER_TARIFF_D_COLDVSNA_3">Предложение!$451:$591</definedName>
    <definedName name="OFFER_TARIFF_D_COLDVSNA_4">Предложение!$647:$787</definedName>
    <definedName name="OFFER_TARIFF_D_COLDVSNA_5">Предложение!$843:$983</definedName>
    <definedName name="OFFER_TARIFF_E_COLDVSNA_1">Предложение!$198:$200</definedName>
    <definedName name="OFFER_TARIFF_E_COLDVSNA_2">Предложение!$396:$398</definedName>
    <definedName name="OFFER_TARIFF_E_COLDVSNA_3">Предложение!$592:$594</definedName>
    <definedName name="OFFER_TARIFF_E_COLDVSNA_4">Предложение!$788:$790</definedName>
    <definedName name="OFFER_TARIFF_E_COLDVSNA_5">Предложение!$984:$986</definedName>
    <definedName name="OFFER_TARIFF_E1_1">Предложение!$36:$38</definedName>
    <definedName name="OFFER_TARIFF_E1_2">Предложение!$234:$236</definedName>
    <definedName name="OFFER_TARIFF_E1_3">Предложение!$430:$432</definedName>
    <definedName name="OFFER_TARIFF_E1_4">Предложение!$626:$628</definedName>
    <definedName name="OFFER_TARIFF_E1_5">Предложение!$822:$824</definedName>
    <definedName name="OFFER_TARIFF_E2_1">Предложение!$39:$41</definedName>
    <definedName name="OFFER_TARIFF_E2_2">Предложение!$237:$239</definedName>
    <definedName name="OFFER_TARIFF_E2_3">Предложение!$433:$435</definedName>
    <definedName name="OFFER_TARIFF_E2_4">Предложение!$629:$631</definedName>
    <definedName name="OFFER_TARIFF_E2_5">Предложение!$825:$827</definedName>
    <definedName name="OFFER_TARIFF_F_1">Предложение!$42:$44</definedName>
    <definedName name="OFFER_TARIFF_F_2">Предложение!$240:$242</definedName>
    <definedName name="OFFER_TARIFF_F_3">Предложение!$436:$438</definedName>
    <definedName name="OFFER_TARIFF_F_4">Предложение!$632:$634</definedName>
    <definedName name="OFFER_TARIFF_F_5">Предложение!$828:$830</definedName>
    <definedName name="OFFER_TARIFF_G_1">Предложение!$45:$47</definedName>
    <definedName name="OFFER_TARIFF_G_2">Предложение!$243:$245</definedName>
    <definedName name="OFFER_TARIFF_G_3">Предложение!$439:$441</definedName>
    <definedName name="OFFER_TARIFF_G_4">Предложение!$635:$637</definedName>
    <definedName name="OFFER_TARIFF_G_5">Предложение!$831:$833</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территорий'!$C$12:$C$75</definedName>
    <definedName name="pDel_LT_MO">'Список территорий'!$D$11:$D$75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Предложение!$G$248</definedName>
    <definedName name="pIns_PT_VTAR_A_COLDVSNA_OFFER_3">Предложение!$G$444</definedName>
    <definedName name="pIns_PT_VTAR_A_COLDVSNA_OFFER_4">Предложение!$G$640</definedName>
    <definedName name="pIns_PT_VTAR_A_COLDVSNA_OFFER_5">Предложение!$G$836</definedName>
    <definedName name="pIns_PT_VTAR_A_COLDVSNA_OFFER5">Предложение!$G$836</definedName>
    <definedName name="pIns_PT_VTAR_A_HOTVSNA">'ГВС. Т-гор.вода'!$T$53</definedName>
    <definedName name="pIns_PT_VTAR_A_HOTVSNA_OFFER_1">Предложение!$G$203</definedName>
    <definedName name="pIns_PT_VTAR_A_HOTVSNA_OFFER_2">Предложение!$G$401</definedName>
    <definedName name="pIns_PT_VTAR_A_HOTVSNA_OFFER_3">Предложение!$G$597</definedName>
    <definedName name="pIns_PT_VTAR_A_HOTVSNA_OFFER_4">Предложение!$G$793</definedName>
    <definedName name="pIns_PT_VTAR_A_HOTVSNA_OFFER_5">Предложение!$G$989</definedName>
    <definedName name="pIns_PT_VTAR_A_OFFER_1">Предложение!$G$26</definedName>
    <definedName name="pIns_PT_VTAR_A_OFFER_2">Предложение!$G$224</definedName>
    <definedName name="pIns_PT_VTAR_A_OFFER_3">Предложение!$G$420</definedName>
    <definedName name="pIns_PT_VTAR_A_OFFER_4">Предложение!$G$616</definedName>
    <definedName name="pIns_PT_VTAR_A_OFFER_5">Предложение!$G$812</definedName>
    <definedName name="pIns_PT_VTAR_A_VOTV">'ВО. Т-во'!$T$53</definedName>
    <definedName name="pIns_PT_VTAR_A_VOTV_OFFER_1">Предложение!$G$212</definedName>
    <definedName name="pIns_PT_VTAR_A_VOTV_OFFER_2">Предложение!$G$410</definedName>
    <definedName name="pIns_PT_VTAR_A_VOTV_OFFER_3">Предложение!$G$606</definedName>
    <definedName name="pIns_PT_VTAR_A_VOTV_OFFER_4">Предложение!$G$802</definedName>
    <definedName name="pIns_PT_VTAR_A_VOTV_OFFER_5">Предложение!$G$998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Предложение!$G$251</definedName>
    <definedName name="pIns_PT_VTAR_B_COLDVSNA_OFFER_3">Предложение!$G$447</definedName>
    <definedName name="pIns_PT_VTAR_B_COLDVSNA_OFFER_4">Предложение!$G$643</definedName>
    <definedName name="pIns_PT_VTAR_B_COLDVSNA_OFFER_5">Предложение!$G$839</definedName>
    <definedName name="pIns_PT_VTAR_B_HOTVSNA">'ГВС. Т-транс'!$T$53</definedName>
    <definedName name="pIns_PT_VTAR_B_HOTVSNA_OFFER_1">Предложение!$G$206</definedName>
    <definedName name="pIns_PT_VTAR_B_HOTVSNA_OFFER_2">Предложение!$G$404</definedName>
    <definedName name="pIns_PT_VTAR_B_HOTVSNA_OFFER_3">Предложение!$G$600</definedName>
    <definedName name="pIns_PT_VTAR_B_HOTVSNA_OFFER_4">Предложение!$G$796</definedName>
    <definedName name="pIns_PT_VTAR_B_HOTVSNA_OFFER_5">Предложение!$G$992</definedName>
    <definedName name="pIns_PT_VTAR_B_OFFER_1">Предложение!$G$29</definedName>
    <definedName name="pIns_PT_VTAR_B_OFFER_2">Предложение!$G$227</definedName>
    <definedName name="pIns_PT_VTAR_B_OFFER_3">Предложение!$G$423</definedName>
    <definedName name="pIns_PT_VTAR_B_OFFER_4">Предложение!$G$619</definedName>
    <definedName name="pIns_PT_VTAR_B_OFFER_5">Предложение!$G$815</definedName>
    <definedName name="pIns_PT_VTAR_B_VOTV">'ВО. Т-транс'!$T$53</definedName>
    <definedName name="pIns_PT_VTAR_B_VOTV_OFFER_1">Предложение!$G$215</definedName>
    <definedName name="pIns_PT_VTAR_B_VOTV_OFFER_2">Предложение!$G$413</definedName>
    <definedName name="pIns_PT_VTAR_B_VOTV_OFFER_3">Предложение!$G$609</definedName>
    <definedName name="pIns_PT_VTAR_B_VOTV_OFFER_4">Предложение!$G$805</definedName>
    <definedName name="pIns_PT_VTAR_B_VOTV_OFFER_5">Предложение!$G$1001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Предложение!$G$254</definedName>
    <definedName name="pIns_PT_VTAR_C_COLDVSNA_OFFER_3">Предложение!$G$450</definedName>
    <definedName name="pIns_PT_VTAR_C_COLDVSNA_OFFER_4">Предложение!$G$646</definedName>
    <definedName name="pIns_PT_VTAR_C_COLDVSNA_OFFER_5">Предложение!$G$842</definedName>
    <definedName name="pIns_PT_VTAR_C_HOTVSNA">'ГВС. Т-подкл'!$T$63</definedName>
    <definedName name="pIns_PT_VTAR_C_HOTVSNA_OFFER_1">Предложение!$G$209</definedName>
    <definedName name="pIns_PT_VTAR_C_HOTVSNA_OFFER_2">Предложение!$G$407</definedName>
    <definedName name="pIns_PT_VTAR_C_HOTVSNA_OFFER_3">Предложение!$G$603</definedName>
    <definedName name="pIns_PT_VTAR_C_HOTVSNA_OFFER_4">Предложение!$G$799</definedName>
    <definedName name="pIns_PT_VTAR_C_HOTVSNA_OFFER_5">Предложение!$G$995</definedName>
    <definedName name="pIns_PT_VTAR_C_OFFER_1">Предложение!$G$32</definedName>
    <definedName name="pIns_PT_VTAR_C_OFFER_2">Предложение!$G$230</definedName>
    <definedName name="pIns_PT_VTAR_C_OFFER_3">Предложение!$G$426</definedName>
    <definedName name="pIns_PT_VTAR_C_OFFER_4">Предложение!$G$622</definedName>
    <definedName name="pIns_PT_VTAR_C_OFFER_5">Предложение!$G$818</definedName>
    <definedName name="pIns_PT_VTAR_C_VOTV">'ВО. Т-подкл'!$T$63</definedName>
    <definedName name="pIns_PT_VTAR_C_VOTV_OFFER_1">Предложение!$G$218</definedName>
    <definedName name="pIns_PT_VTAR_C_VOTV_OFFER_2">Предложение!$G$416</definedName>
    <definedName name="pIns_PT_VTAR_C_VOTV_OFFER_3">Предложение!$G$612</definedName>
    <definedName name="pIns_PT_VTAR_C_VOTV_OFFER_4">Предложение!$G$808</definedName>
    <definedName name="pIns_PT_VTAR_C_VOTV_OFFER_5">Предложение!$G$1004</definedName>
    <definedName name="pIns_PT_VTAR_D">'ТС. Т-гор.вода'!$V$65</definedName>
    <definedName name="pIns_PT_VTAR_D_COLDVSNA">'ХВС. Т-подвоз'!$T$1161</definedName>
    <definedName name="pIns_PT_VTAR_D_COLDVSNA_OFFER_1">Предложение!$G$197</definedName>
    <definedName name="pIns_PT_VTAR_D_COLDVSNA_OFFER_2">Предложение!$G$395</definedName>
    <definedName name="pIns_PT_VTAR_D_COLDVSNA_OFFER_3">Предложение!$G$591</definedName>
    <definedName name="pIns_PT_VTAR_D_COLDVSNA_OFFER_4">Предложение!$G$787</definedName>
    <definedName name="pIns_PT_VTAR_D_COLDVSNA_OFFER_5">Предложение!$G$983</definedName>
    <definedName name="pIns_PT_VTAR_D_OFFER_1">Предложение!$G$35</definedName>
    <definedName name="pIns_PT_VTAR_D_OFFER_2">Предложение!$G$233</definedName>
    <definedName name="pIns_PT_VTAR_D_OFFER_3">Предложение!$G$429</definedName>
    <definedName name="pIns_PT_VTAR_D_OFFER_4">Предложение!$G$625</definedName>
    <definedName name="pIns_PT_VTAR_D_OFFER_5">Предложение!$G$821</definedName>
    <definedName name="pIns_PT_VTAR_E_COLDVSNA">'ХВС. Т-подкл'!$T$63</definedName>
    <definedName name="pIns_PT_VTAR_E_COLDVSNA_OFFER_1">Предложение!$G$200</definedName>
    <definedName name="pIns_PT_VTAR_E_COLDVSNA_OFFER_2">Предложение!$G$398</definedName>
    <definedName name="pIns_PT_VTAR_E_COLDVSNA_OFFER_3">Предложение!$G$594</definedName>
    <definedName name="pIns_PT_VTAR_E_COLDVSNA_OFFER_4">Предложение!$G$790</definedName>
    <definedName name="pIns_PT_VTAR_E_COLDVSNA_OFFER_5">Предложение!$G$986</definedName>
    <definedName name="pIns_PT_VTAR_E1">'ТС. Т-передача ТЭ'!$T$57</definedName>
    <definedName name="pIns_PT_VTAR_E1_OFFER_1">Предложение!$G$38</definedName>
    <definedName name="pIns_PT_VTAR_E1_OFFER_2">Предложение!$G$236</definedName>
    <definedName name="pIns_PT_VTAR_E1_OFFER_3">Предложение!$G$432</definedName>
    <definedName name="pIns_PT_VTAR_E1_OFFER_4">Предложение!$G$628</definedName>
    <definedName name="pIns_PT_VTAR_E1_OFFER_5">Предложение!$G$824</definedName>
    <definedName name="pIns_PT_VTAR_E2">'ТС. Т-передача ТН'!$T$57</definedName>
    <definedName name="pIns_PT_VTAR_E2_OFFER_1">Предложение!$G$41</definedName>
    <definedName name="pIns_PT_VTAR_E2_OFFER_2">Предложение!$G$239</definedName>
    <definedName name="pIns_PT_VTAR_E2_OFFER_3">Предложение!$G$435</definedName>
    <definedName name="pIns_PT_VTAR_E2_OFFER_4">Предложение!$G$631</definedName>
    <definedName name="pIns_PT_VTAR_E2_OFFER_5">Предложение!$G$827</definedName>
    <definedName name="pIns_PT_VTAR_F">'ТС. Резерв мощности'!$T$57</definedName>
    <definedName name="pIns_PT_VTAR_F_OFFER_1">Предложение!$G$44</definedName>
    <definedName name="pIns_PT_VTAR_F_OFFER_2">Предложение!$G$242</definedName>
    <definedName name="pIns_PT_VTAR_F_OFFER_3">Предложение!$G$438</definedName>
    <definedName name="pIns_PT_VTAR_F_OFFER_4">Предложение!$G$634</definedName>
    <definedName name="pIns_PT_VTAR_F_OFFER_5">Предложение!$G$830</definedName>
    <definedName name="pIns_PT_VTAR_G">'ТС. Т-подкл'!$T$62</definedName>
    <definedName name="pIns_PT_VTAR_G_OFFER_1">Предложение!$G$47</definedName>
    <definedName name="pIns_PT_VTAR_G_OFFER_2">Предложение!$G$245</definedName>
    <definedName name="pIns_PT_VTAR_G_OFFER_3">Предложение!$G$441</definedName>
    <definedName name="pIns_PT_VTAR_G_OFFER_4">Предложение!$G$637</definedName>
    <definedName name="pIns_PT_VTAR_G_OFFER_5">Предложение!$G$833</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Т-подвоз'!$43:$54</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'ХВС. Т-подвоз'!$59:$70</definedName>
    <definedName name="pt_cs_31">'ХВС. Т-подвоз'!$75:$86</definedName>
    <definedName name="pt_cs_32">'ХВС. Т-подвоз'!$91:$102</definedName>
    <definedName name="pt_cs_33">'ХВС. Т-подвоз'!$107:$118</definedName>
    <definedName name="pt_cs_34">'ХВС. Т-подвоз'!$123:$134</definedName>
    <definedName name="pt_cs_35">'ХВС. Т-подвоз'!$139:$150</definedName>
    <definedName name="pt_cs_36">'ХВС. Т-подвоз'!$155:$166</definedName>
    <definedName name="pt_cs_37">'ХВС. Т-подвоз'!$171:$182</definedName>
    <definedName name="pt_cs_38">'ХВС. Т-подвоз'!$187:$198</definedName>
    <definedName name="pt_cs_39">'ХВС. Т-подвоз'!$203:$214</definedName>
    <definedName name="pt_cs_4">'ТС. Т-гор.вода'!$51:$62</definedName>
    <definedName name="pt_cs_40">'ХВС. Т-подвоз'!$219:$230</definedName>
    <definedName name="pt_cs_41">'ХВС. Т-подвоз'!$235:$246</definedName>
    <definedName name="pt_cs_42">'ХВС. Т-подвоз'!$251:$262</definedName>
    <definedName name="pt_cs_43">'ХВС. Т-подвоз'!$267:$278</definedName>
    <definedName name="pt_cs_44">'ХВС. Т-подвоз'!$283:$294</definedName>
    <definedName name="pt_cs_45">'ХВС. Т-подвоз'!$299:$310</definedName>
    <definedName name="pt_cs_46">'ХВС. Т-подвоз'!$315:$326</definedName>
    <definedName name="pt_cs_47">'ХВС. Т-подвоз'!$331:$342</definedName>
    <definedName name="pt_cs_48">'ХВС. Т-подвоз'!$347:$358</definedName>
    <definedName name="pt_cs_49">'ХВС. Т-подвоз'!$363:$374</definedName>
    <definedName name="pt_cs_4i">'Т-ТЭ | индикат'!$21:$30</definedName>
    <definedName name="pt_cs_4p">'Т-ТЭ | предел'!$21:$30</definedName>
    <definedName name="pt_cs_5">'ТС. Т-передача ТЭ'!$45:$54</definedName>
    <definedName name="pt_cs_50">'ХВС. Т-подвоз'!$379:$390</definedName>
    <definedName name="pt_cs_51">'ХВС. Т-подвоз'!$395:$406</definedName>
    <definedName name="pt_cs_52">'ХВС. Т-подвоз'!$411:$422</definedName>
    <definedName name="pt_cs_53">'ХВС. Т-подвоз'!$427:$438</definedName>
    <definedName name="pt_cs_54">'ХВС. Т-подвоз'!$443:$454</definedName>
    <definedName name="pt_cs_55">'ХВС. Т-подвоз'!$459:$470</definedName>
    <definedName name="pt_cs_56">'ХВС. Т-подвоз'!$475:$486</definedName>
    <definedName name="pt_cs_57">'ХВС. Т-подвоз'!$491:$502</definedName>
    <definedName name="pt_cs_58">'ХВС. Т-подвоз'!$507:$518</definedName>
    <definedName name="pt_cs_59">'ХВС. Т-подвоз'!$523:$534</definedName>
    <definedName name="pt_cs_6">'ТС. Т-передача ТН'!$45:$54</definedName>
    <definedName name="pt_cs_60">'ХВС. Т-подвоз'!$539:$550</definedName>
    <definedName name="pt_cs_61">'ХВС. Т-подвоз'!$555:$566</definedName>
    <definedName name="pt_cs_62">'ХВС. Т-подвоз'!$571:$582</definedName>
    <definedName name="pt_cs_63">'ХВС. Т-подвоз'!$587:$598</definedName>
    <definedName name="pt_cs_64">'ХВС. Т-подвоз'!$603:$614</definedName>
    <definedName name="pt_cs_65">'ХВС. Т-подвоз'!$619:$630</definedName>
    <definedName name="pt_cs_66">'ХВС. Т-подвоз'!$635:$646</definedName>
    <definedName name="pt_cs_67">'ХВС. Т-подвоз'!$651:$662</definedName>
    <definedName name="pt_cs_68">'ХВС. Т-подвоз'!$667:$678</definedName>
    <definedName name="pt_cs_69">'ХВС. Т-подвоз'!$683:$694</definedName>
    <definedName name="pt_cs_7">'ТС. Резерв мощности'!$45:$54</definedName>
    <definedName name="pt_cs_70">'ХВС. Т-подвоз'!$699:$710</definedName>
    <definedName name="pt_cs_71">'ХВС. Т-подвоз'!$715:$726</definedName>
    <definedName name="pt_cs_72">'ХВС. Т-подвоз'!$731:$742</definedName>
    <definedName name="pt_cs_73">'ХВС. Т-подвоз'!$747:$758</definedName>
    <definedName name="pt_cs_74">'ХВС. Т-подвоз'!$763:$774</definedName>
    <definedName name="pt_cs_75">'ХВС. Т-подвоз'!$779:$790</definedName>
    <definedName name="pt_cs_76">'ХВС. Т-подвоз'!$795:$806</definedName>
    <definedName name="pt_cs_77">'ХВС. Т-подвоз'!$811:$822</definedName>
    <definedName name="pt_cs_78">'ХВС. Т-подвоз'!$827:$838</definedName>
    <definedName name="pt_cs_79">'ХВС. Т-подвоз'!$843:$854</definedName>
    <definedName name="pt_cs_8">'ТС. Т-подкл'!$47:$58</definedName>
    <definedName name="pt_cs_80">'ХВС. Т-подвоз'!$859:$870</definedName>
    <definedName name="pt_cs_81">'ХВС. Т-подвоз'!$875:$886</definedName>
    <definedName name="pt_cs_82">'ХВС. Т-подвоз'!$891:$902</definedName>
    <definedName name="pt_cs_83">'ХВС. Т-подвоз'!$907:$918</definedName>
    <definedName name="pt_cs_84">'ХВС. Т-подвоз'!$923:$934</definedName>
    <definedName name="pt_cs_85">'ХВС. Т-подвоз'!$939:$950</definedName>
    <definedName name="pt_cs_86">'ХВС. Т-подвоз'!$955:$966</definedName>
    <definedName name="pt_cs_87">'ХВС. Т-подвоз'!$971:$982</definedName>
    <definedName name="pt_cs_88">'ХВС. Т-подвоз'!$987:$998</definedName>
    <definedName name="pt_cs_89">'ХВС. Т-подвоз'!$1003:$1014</definedName>
    <definedName name="pt_cs_9">'ХВС. Т-пит'!$43:$50</definedName>
    <definedName name="pt_cs_90">'ХВС. Т-подвоз'!$1019:$1030</definedName>
    <definedName name="pt_cs_91">'ХВС. Т-подвоз'!$1035:$1046</definedName>
    <definedName name="pt_cs_92">'ХВС. Т-подвоз'!$1051:$1062</definedName>
    <definedName name="pt_cs_93">'ХВС. Т-подвоз'!$1067:$1078</definedName>
    <definedName name="pt_cs_94">'ХВС. Т-подвоз'!$1083:$1094</definedName>
    <definedName name="pt_cs_95">'ХВС. Т-подвоз'!$1099:$1110</definedName>
    <definedName name="pt_cs_96">'ХВС. Т-подвоз'!$1115:$1126</definedName>
    <definedName name="pt_cs_97">'ХВС. Т-подвоз'!$1131:$1142</definedName>
    <definedName name="pt_cs_98">'ХВС. Т-подвоз'!$1147:$1158</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тарифов'!$AL$12:$AL$398</definedName>
    <definedName name="PT_DIFFERENTIATION_CS_ID">'Перечень тарифов'!$AF$12:$AF$398</definedName>
    <definedName name="PT_DIFFERENTIATION_IST_TE">'Перечень тарифов'!$AM$12:$AM$398</definedName>
    <definedName name="PT_DIFFERENTIATION_IST_TE_ID">'Перечень тарифов'!$AG$12:$AG$398</definedName>
    <definedName name="PT_DIFFERENTIATION_NTAR">'Перечень тарифов'!$AJ$12:$AJ$398</definedName>
    <definedName name="PT_DIFFERENTIATION_NTAR_ID">'Перечень тарифов'!$AD$12:$AD$398</definedName>
    <definedName name="PT_DIFFERENTIATION_NUM_CS">'Перечень тарифов'!$AP$12:$AP$398</definedName>
    <definedName name="PT_DIFFERENTIATION_NUM_IST_TE">'Перечень тарифов'!$AQ$12:$AQ$398</definedName>
    <definedName name="PT_DIFFERENTIATION_NUM_NTAR">'Перечень тарифов'!$AN$12:$AN$398</definedName>
    <definedName name="PT_DIFFERENTIATION_NUM_TER">'Перечень тарифов'!$AO$12:$AO$398</definedName>
    <definedName name="PT_DIFFERENTIATION_TER">'Перечень тарифов'!$AK$12:$AK$398</definedName>
    <definedName name="PT_DIFFERENTIATION_TER_ID">'Перечень тарифов'!$AE$12:$AE$398</definedName>
    <definedName name="PT_DIFFERENTIATION_VDET">'Перечень тарифов'!$AI$12:$AI$398</definedName>
    <definedName name="PT_DIFFERENTIATION_VTAR">'Перечень тарифов'!$AH$12:$AH$398</definedName>
    <definedName name="PT_DIFFERENTIATION_VTAR_ID">'Перечень тарифов'!$AC$12:$AC$398</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Т-подвоз'!$41:$56</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6">'ХВС. Т-подвоз'!$57:$72</definedName>
    <definedName name="pt_ntar_27">'ХВС. Т-подвоз'!$73:$88</definedName>
    <definedName name="pt_ntar_28">'ХВС. Т-подвоз'!$89:$104</definedName>
    <definedName name="pt_ntar_29">'ХВС. Т-подвоз'!$105:$120</definedName>
    <definedName name="pt_ntar_3">'ТС. Т-ТН'!$43:$56</definedName>
    <definedName name="pt_ntar_30">'ХВС. Т-подвоз'!$121:$136</definedName>
    <definedName name="pt_ntar_31">'ХВС. Т-подвоз'!$137:$152</definedName>
    <definedName name="pt_ntar_32">'ХВС. Т-подвоз'!$153:$168</definedName>
    <definedName name="pt_ntar_33">'ХВС. Т-подвоз'!$169:$184</definedName>
    <definedName name="pt_ntar_34">'ХВС. Т-подвоз'!$185:$200</definedName>
    <definedName name="pt_ntar_35">'ХВС. Т-подвоз'!$201:$216</definedName>
    <definedName name="pt_ntar_36">'ХВС. Т-подвоз'!$217:$232</definedName>
    <definedName name="pt_ntar_37">'ХВС. Т-подвоз'!$233:$248</definedName>
    <definedName name="pt_ntar_38">'ХВС. Т-подвоз'!$249:$264</definedName>
    <definedName name="pt_ntar_39">'ХВС. Т-подвоз'!$265:$280</definedName>
    <definedName name="pt_ntar_4">'ТС. Т-гор.вода'!$49:$64</definedName>
    <definedName name="pt_ntar_40">'ХВС. Т-подвоз'!$281:$296</definedName>
    <definedName name="pt_ntar_41">'ХВС. Т-подвоз'!$297:$312</definedName>
    <definedName name="pt_ntar_42">'ХВС. Т-подвоз'!$313:$328</definedName>
    <definedName name="pt_ntar_43">'ХВС. Т-подвоз'!$329:$344</definedName>
    <definedName name="pt_ntar_44">'ХВС. Т-подвоз'!$345:$360</definedName>
    <definedName name="pt_ntar_45">'ХВС. Т-подвоз'!$361:$376</definedName>
    <definedName name="pt_ntar_46">'ХВС. Т-подвоз'!$377:$392</definedName>
    <definedName name="pt_ntar_47">'ХВС. Т-подвоз'!$393:$408</definedName>
    <definedName name="pt_ntar_48">'ХВС. Т-подвоз'!$409:$424</definedName>
    <definedName name="pt_ntar_49">'ХВС. Т-подвоз'!$425:$440</definedName>
    <definedName name="pt_ntar_4i">'Т-ТЭ | индикат'!$19:$32</definedName>
    <definedName name="pt_ntar_4p">'Т-ТЭ | предел'!$19:$32</definedName>
    <definedName name="pt_ntar_5">'ТС. Т-передача ТЭ'!$43:$56</definedName>
    <definedName name="pt_ntar_50">'ХВС. Т-подвоз'!$441:$456</definedName>
    <definedName name="pt_ntar_51">'ХВС. Т-подвоз'!$457:$472</definedName>
    <definedName name="pt_ntar_52">'ХВС. Т-подвоз'!$473:$488</definedName>
    <definedName name="pt_ntar_53">'ХВС. Т-подвоз'!$489:$504</definedName>
    <definedName name="pt_ntar_54">'ХВС. Т-подвоз'!$505:$520</definedName>
    <definedName name="pt_ntar_55">'ХВС. Т-подвоз'!$521:$536</definedName>
    <definedName name="pt_ntar_56">'ХВС. Т-подвоз'!$537:$552</definedName>
    <definedName name="pt_ntar_57">'ХВС. Т-подвоз'!$553:$568</definedName>
    <definedName name="pt_ntar_58">'ХВС. Т-подвоз'!$569:$584</definedName>
    <definedName name="pt_ntar_59">'ХВС. Т-подвоз'!$585:$600</definedName>
    <definedName name="pt_ntar_6">'ТС. Т-передача ТН'!$43:$56</definedName>
    <definedName name="pt_ntar_60">'ХВС. Т-подвоз'!$601:$616</definedName>
    <definedName name="pt_ntar_61">'ХВС. Т-подвоз'!$617:$632</definedName>
    <definedName name="pt_ntar_62">'ХВС. Т-подвоз'!$633:$648</definedName>
    <definedName name="pt_ntar_63">'ХВС. Т-подвоз'!$649:$664</definedName>
    <definedName name="pt_ntar_64">'ХВС. Т-подвоз'!$665:$680</definedName>
    <definedName name="pt_ntar_65">'ХВС. Т-подвоз'!$681:$696</definedName>
    <definedName name="pt_ntar_66">'ХВС. Т-подвоз'!$697:$712</definedName>
    <definedName name="pt_ntar_67">'ХВС. Т-подвоз'!$713:$728</definedName>
    <definedName name="pt_ntar_68">'ХВС. Т-подвоз'!$729:$744</definedName>
    <definedName name="pt_ntar_69">'ХВС. Т-подвоз'!$745:$760</definedName>
    <definedName name="pt_ntar_7">'ТС. Резерв мощности'!$43:$56</definedName>
    <definedName name="pt_ntar_70">'ХВС. Т-подвоз'!$761:$776</definedName>
    <definedName name="pt_ntar_71">'ХВС. Т-подвоз'!$777:$792</definedName>
    <definedName name="pt_ntar_72">'ХВС. Т-подвоз'!$793:$808</definedName>
    <definedName name="pt_ntar_73">'ХВС. Т-подвоз'!$809:$824</definedName>
    <definedName name="pt_ntar_74">'ХВС. Т-подвоз'!$825:$840</definedName>
    <definedName name="pt_ntar_75">'ХВС. Т-подвоз'!$841:$856</definedName>
    <definedName name="pt_ntar_76">'ХВС. Т-подвоз'!$857:$872</definedName>
    <definedName name="pt_ntar_77">'ХВС. Т-подвоз'!$873:$888</definedName>
    <definedName name="pt_ntar_78">'ХВС. Т-подвоз'!$889:$904</definedName>
    <definedName name="pt_ntar_79">'ХВС. Т-подвоз'!$905:$920</definedName>
    <definedName name="pt_ntar_8">'ТС. Т-подкл'!$45:$61</definedName>
    <definedName name="pt_ntar_80">'ХВС. Т-подвоз'!$921:$936</definedName>
    <definedName name="pt_ntar_81">'ХВС. Т-подвоз'!$937:$952</definedName>
    <definedName name="pt_ntar_82">'ХВС. Т-подвоз'!$953:$968</definedName>
    <definedName name="pt_ntar_83">'ХВС. Т-подвоз'!$969:$984</definedName>
    <definedName name="pt_ntar_84">'ХВС. Т-подвоз'!$985:$1000</definedName>
    <definedName name="pt_ntar_85">'ХВС. Т-подвоз'!$1001:$1016</definedName>
    <definedName name="pt_ntar_86">'ХВС. Т-подвоз'!$1017:$1032</definedName>
    <definedName name="pt_ntar_87">'ХВС. Т-подвоз'!$1033:$1048</definedName>
    <definedName name="pt_ntar_88">'ХВС. Т-подвоз'!$1049:$1064</definedName>
    <definedName name="pt_ntar_89">'ХВС. Т-подвоз'!$1065:$1080</definedName>
    <definedName name="pt_ntar_9">'ХВС. Т-пит'!$41:$52</definedName>
    <definedName name="pt_ntar_90">'ХВС. Т-подвоз'!$1081:$1096</definedName>
    <definedName name="pt_ntar_91">'ХВС. Т-подвоз'!$1097:$1112</definedName>
    <definedName name="pt_ntar_92">'ХВС. Т-подвоз'!$1113:$1128</definedName>
    <definedName name="pt_ntar_93">'ХВС. Т-подвоз'!$1129:$1144</definedName>
    <definedName name="pt_ntar_94">'ХВС. Т-подвоз'!$1145:$1160</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Т-подвоз'!$42:$55</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0">'ХВС. Т-подвоз'!$58:$71</definedName>
    <definedName name="pt_ter_31">'ХВС. Т-подвоз'!$74:$87</definedName>
    <definedName name="pt_ter_32">'ХВС. Т-подвоз'!$90:$103</definedName>
    <definedName name="pt_ter_33">'ХВС. Т-подвоз'!$106:$119</definedName>
    <definedName name="pt_ter_34">'ХВС. Т-подвоз'!$122:$135</definedName>
    <definedName name="pt_ter_35">'ХВС. Т-подвоз'!$138:$151</definedName>
    <definedName name="pt_ter_36">'ХВС. Т-подвоз'!$154:$167</definedName>
    <definedName name="pt_ter_37">'ХВС. Т-подвоз'!$170:$183</definedName>
    <definedName name="pt_ter_38">'ХВС. Т-подвоз'!$186:$199</definedName>
    <definedName name="pt_ter_39">'ХВС. Т-подвоз'!$202:$215</definedName>
    <definedName name="pt_ter_4">'ТС. Т-гор.вода'!$50:$63</definedName>
    <definedName name="pt_ter_40">'ХВС. Т-подвоз'!$218:$231</definedName>
    <definedName name="pt_ter_41">'ХВС. Т-подвоз'!$234:$247</definedName>
    <definedName name="pt_ter_42">'ХВС. Т-подвоз'!$250:$263</definedName>
    <definedName name="pt_ter_43">'ХВС. Т-подвоз'!$266:$279</definedName>
    <definedName name="pt_ter_44">'ХВС. Т-подвоз'!$282:$295</definedName>
    <definedName name="pt_ter_45">'ХВС. Т-подвоз'!$298:$311</definedName>
    <definedName name="pt_ter_46">'ХВС. Т-подвоз'!$314:$327</definedName>
    <definedName name="pt_ter_47">'ХВС. Т-подвоз'!$330:$343</definedName>
    <definedName name="pt_ter_48">'ХВС. Т-подвоз'!$346:$359</definedName>
    <definedName name="pt_ter_49">'ХВС. Т-подвоз'!$362:$375</definedName>
    <definedName name="pt_ter_4i">'Т-ТЭ | индикат'!$20:$31</definedName>
    <definedName name="pt_ter_4p">'Т-ТЭ | предел'!$20:$31</definedName>
    <definedName name="pt_ter_5">'ТС. Т-передача ТЭ'!$44:$55</definedName>
    <definedName name="pt_ter_50">'ХВС. Т-подвоз'!$378:$391</definedName>
    <definedName name="pt_ter_51">'ХВС. Т-подвоз'!$394:$407</definedName>
    <definedName name="pt_ter_52">'ХВС. Т-подвоз'!$410:$423</definedName>
    <definedName name="pt_ter_53">'ХВС. Т-подвоз'!$426:$439</definedName>
    <definedName name="pt_ter_54">'ХВС. Т-подвоз'!$442:$455</definedName>
    <definedName name="pt_ter_55">'ХВС. Т-подвоз'!$458:$471</definedName>
    <definedName name="pt_ter_56">'ХВС. Т-подвоз'!$474:$487</definedName>
    <definedName name="pt_ter_57">'ХВС. Т-подвоз'!$490:$503</definedName>
    <definedName name="pt_ter_58">'ХВС. Т-подвоз'!$506:$519</definedName>
    <definedName name="pt_ter_59">'ХВС. Т-подвоз'!$522:$535</definedName>
    <definedName name="pt_ter_6">'ТС. Т-передача ТН'!$44:$55</definedName>
    <definedName name="pt_ter_60">'ХВС. Т-подвоз'!$538:$551</definedName>
    <definedName name="pt_ter_61">'ХВС. Т-подвоз'!$554:$567</definedName>
    <definedName name="pt_ter_62">'ХВС. Т-подвоз'!$570:$583</definedName>
    <definedName name="pt_ter_63">'ХВС. Т-подвоз'!$586:$599</definedName>
    <definedName name="pt_ter_64">'ХВС. Т-подвоз'!$602:$615</definedName>
    <definedName name="pt_ter_65">'ХВС. Т-подвоз'!$618:$631</definedName>
    <definedName name="pt_ter_66">'ХВС. Т-подвоз'!$634:$647</definedName>
    <definedName name="pt_ter_67">'ХВС. Т-подвоз'!$650:$663</definedName>
    <definedName name="pt_ter_68">'ХВС. Т-подвоз'!$666:$679</definedName>
    <definedName name="pt_ter_69">'ХВС. Т-подвоз'!$682:$695</definedName>
    <definedName name="pt_ter_7">'ТС. Резерв мощности'!$44:$55</definedName>
    <definedName name="pt_ter_70">'ХВС. Т-подвоз'!$698:$711</definedName>
    <definedName name="pt_ter_71">'ХВС. Т-подвоз'!$714:$727</definedName>
    <definedName name="pt_ter_72">'ХВС. Т-подвоз'!$730:$743</definedName>
    <definedName name="pt_ter_73">'ХВС. Т-подвоз'!$746:$759</definedName>
    <definedName name="pt_ter_74">'ХВС. Т-подвоз'!$762:$775</definedName>
    <definedName name="pt_ter_75">'ХВС. Т-подвоз'!$778:$791</definedName>
    <definedName name="pt_ter_76">'ХВС. Т-подвоз'!$794:$807</definedName>
    <definedName name="pt_ter_77">'ХВС. Т-подвоз'!$810:$823</definedName>
    <definedName name="pt_ter_78">'ХВС. Т-подвоз'!$826:$839</definedName>
    <definedName name="pt_ter_79">'ХВС. Т-подвоз'!$842:$855</definedName>
    <definedName name="pt_ter_8">'ТС. Т-подкл'!$46:$59</definedName>
    <definedName name="pt_ter_80">'ХВС. Т-подвоз'!$858:$871</definedName>
    <definedName name="pt_ter_81">'ХВС. Т-подвоз'!$874:$887</definedName>
    <definedName name="pt_ter_82">'ХВС. Т-подвоз'!$890:$903</definedName>
    <definedName name="pt_ter_83">'ХВС. Т-подвоз'!$906:$919</definedName>
    <definedName name="pt_ter_84">'ХВС. Т-подвоз'!$922:$935</definedName>
    <definedName name="pt_ter_85">'ХВС. Т-подвоз'!$938:$951</definedName>
    <definedName name="pt_ter_86">'ХВС. Т-подвоз'!$954:$967</definedName>
    <definedName name="pt_ter_87">'ХВС. Т-подвоз'!$970:$983</definedName>
    <definedName name="pt_ter_88">'ХВС. Т-подвоз'!$986:$999</definedName>
    <definedName name="pt_ter_89">'ХВС. Т-подвоз'!$1002:$1015</definedName>
    <definedName name="pt_ter_9">'ХВС. Т-пит'!$42:$51</definedName>
    <definedName name="pt_ter_90">'ХВС. Т-подвоз'!$1018:$1031</definedName>
    <definedName name="pt_ter_91">'ХВС. Т-подвоз'!$1034:$1047</definedName>
    <definedName name="pt_ter_92">'ХВС. Т-подвоз'!$1050:$1063</definedName>
    <definedName name="pt_ter_93">'ХВС. Т-подвоз'!$1066:$1079</definedName>
    <definedName name="pt_ter_94">'ХВС. Т-подвоз'!$1082:$1095</definedName>
    <definedName name="pt_ter_95">'ХВС. Т-подвоз'!$1098:$1111</definedName>
    <definedName name="pt_ter_96">'ХВС. Т-подвоз'!$1114:$1127</definedName>
    <definedName name="pt_ter_97">'ХВС. Т-подвоз'!$1130:$1143</definedName>
    <definedName name="pt_ter_98">'ХВС. Т-подвоз'!$1146:$1159</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68">'Список территорий'!$G$55:$I$55</definedName>
    <definedName name="ter_69">'Список территорий'!$G$58:$I$58</definedName>
    <definedName name="ter_70">'Список территорий'!$G$61:$I$61</definedName>
    <definedName name="ter_71">'Список территорий'!$G$64:$I$64</definedName>
    <definedName name="ter_72">'Список территорий'!$G$67:$I$67</definedName>
    <definedName name="ter_73">'Список территорий'!$G$70:$I$70</definedName>
    <definedName name="ter_74">'Список территорий'!$G$73:$I$73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территорий'!$E$11:$I$75</definedName>
    <definedName name="TERRITORY_ID">TEHSHEET!$E$56</definedName>
    <definedName name="TERRITORY_LIST_ID">'Список территорий'!$F$11:$F$75</definedName>
    <definedName name="TERRITORY_MO_LIST">'Список территорий'!$H$11:$H$75</definedName>
    <definedName name="TERRITORY_MR_LIST">'Список территорий'!$G$11:$G$75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fileRecoveryPr repairLoad="1"/>
</workbook>
</file>

<file path=xl/calcChain.xml><?xml version="1.0" encoding="utf-8"?>
<calcChain xmlns="http://schemas.openxmlformats.org/spreadsheetml/2006/main">
  <c r="R24" i="61" l="1"/>
  <c r="P18" i="61"/>
  <c r="Q18" i="61" s="1"/>
  <c r="R18" i="61" s="1"/>
  <c r="S18" i="61" s="1"/>
  <c r="T18" i="61" s="1"/>
  <c r="V18" i="61" s="1"/>
  <c r="X18" i="61" s="1"/>
  <c r="O18" i="6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S18" i="59"/>
  <c r="T18" i="59" s="1"/>
  <c r="V18" i="59" s="1"/>
  <c r="W18" i="59" s="1"/>
  <c r="X18" i="59" s="1"/>
  <c r="Q18" i="59"/>
  <c r="R18" i="59" s="1"/>
  <c r="N18" i="59"/>
  <c r="O18" i="59" s="1"/>
  <c r="O11" i="59"/>
  <c r="O10" i="59"/>
  <c r="O9" i="59"/>
  <c r="O8" i="59"/>
  <c r="L6" i="59"/>
  <c r="AA32" i="58"/>
  <c r="AA31" i="58"/>
  <c r="AA30" i="58"/>
  <c r="AA29" i="58"/>
  <c r="AA28" i="58"/>
  <c r="AA27" i="58"/>
  <c r="AA26" i="58"/>
  <c r="R26" i="58"/>
  <c r="AA25" i="58"/>
  <c r="AA24" i="58"/>
  <c r="AA23" i="58"/>
  <c r="AA22" i="58"/>
  <c r="AA21" i="58"/>
  <c r="AA20" i="58"/>
  <c r="AA19" i="58"/>
  <c r="S18" i="58"/>
  <c r="T18" i="58" s="1"/>
  <c r="V18" i="58" s="1"/>
  <c r="W18" i="58" s="1"/>
  <c r="X18" i="58" s="1"/>
  <c r="Q18" i="58"/>
  <c r="R18" i="58" s="1"/>
  <c r="N18" i="58"/>
  <c r="O18" i="58" s="1"/>
  <c r="O11" i="58"/>
  <c r="O10" i="58"/>
  <c r="O9" i="58"/>
  <c r="O8" i="58"/>
  <c r="L6" i="58"/>
  <c r="N101" i="57"/>
  <c r="L101" i="57"/>
  <c r="K101" i="57"/>
  <c r="J101" i="57"/>
  <c r="M101" i="57" s="1"/>
  <c r="I101" i="57"/>
  <c r="N100" i="57"/>
  <c r="L100" i="57"/>
  <c r="K100" i="57"/>
  <c r="J100" i="57"/>
  <c r="M100" i="57" s="1"/>
  <c r="I100" i="57"/>
  <c r="N99" i="57"/>
  <c r="L99" i="57"/>
  <c r="K99" i="57"/>
  <c r="J99" i="57"/>
  <c r="M99" i="57" s="1"/>
  <c r="I99" i="57"/>
  <c r="N98" i="57"/>
  <c r="L98" i="57"/>
  <c r="K98" i="57"/>
  <c r="J98" i="57"/>
  <c r="M98" i="57" s="1"/>
  <c r="I98" i="57"/>
  <c r="N97" i="57"/>
  <c r="L97" i="57"/>
  <c r="K97" i="57"/>
  <c r="J97" i="57"/>
  <c r="M97" i="57" s="1"/>
  <c r="I97" i="57"/>
  <c r="N96" i="57"/>
  <c r="L96" i="57"/>
  <c r="K96" i="57"/>
  <c r="J96" i="57"/>
  <c r="M96" i="57" s="1"/>
  <c r="I96" i="57"/>
  <c r="N95" i="57"/>
  <c r="L95" i="57"/>
  <c r="K95" i="57"/>
  <c r="J95" i="57"/>
  <c r="M95" i="57" s="1"/>
  <c r="I95" i="57"/>
  <c r="N94" i="57"/>
  <c r="L94" i="57"/>
  <c r="K94" i="57"/>
  <c r="J94" i="57"/>
  <c r="M94" i="57" s="1"/>
  <c r="I94" i="57"/>
  <c r="N93" i="57"/>
  <c r="L93" i="57"/>
  <c r="K93" i="57"/>
  <c r="J93" i="57"/>
  <c r="M93" i="57" s="1"/>
  <c r="I93" i="57"/>
  <c r="N92" i="57"/>
  <c r="L92" i="57"/>
  <c r="K92" i="57"/>
  <c r="J92" i="57"/>
  <c r="M92" i="57" s="1"/>
  <c r="I92" i="57"/>
  <c r="N91" i="57"/>
  <c r="L91" i="57"/>
  <c r="K91" i="57"/>
  <c r="J91" i="57"/>
  <c r="M91" i="57" s="1"/>
  <c r="I91" i="57"/>
  <c r="N90" i="57"/>
  <c r="L90" i="57"/>
  <c r="K90" i="57"/>
  <c r="J90" i="57"/>
  <c r="M90" i="57" s="1"/>
  <c r="I90" i="57"/>
  <c r="N89" i="57"/>
  <c r="L89" i="57"/>
  <c r="K89" i="57"/>
  <c r="J89" i="57"/>
  <c r="M89" i="57" s="1"/>
  <c r="I89" i="57"/>
  <c r="N88" i="57"/>
  <c r="L88" i="57"/>
  <c r="K88" i="57"/>
  <c r="J88" i="57"/>
  <c r="M88" i="57" s="1"/>
  <c r="I88" i="57"/>
  <c r="N87" i="57"/>
  <c r="L87" i="57"/>
  <c r="K87" i="57"/>
  <c r="J87" i="57"/>
  <c r="M87" i="57" s="1"/>
  <c r="I87" i="57"/>
  <c r="N86" i="57"/>
  <c r="L86" i="57"/>
  <c r="K86" i="57"/>
  <c r="J86" i="57"/>
  <c r="M86" i="57" s="1"/>
  <c r="I86" i="57"/>
  <c r="N85" i="57"/>
  <c r="L85" i="57"/>
  <c r="K85" i="57"/>
  <c r="J85" i="57"/>
  <c r="M85" i="57" s="1"/>
  <c r="I85" i="57"/>
  <c r="N84" i="57"/>
  <c r="L84" i="57"/>
  <c r="K84" i="57"/>
  <c r="J84" i="57"/>
  <c r="M84" i="57" s="1"/>
  <c r="I84" i="57"/>
  <c r="N83" i="57"/>
  <c r="L83" i="57"/>
  <c r="K83" i="57"/>
  <c r="J83" i="57"/>
  <c r="M83" i="57" s="1"/>
  <c r="I83" i="57"/>
  <c r="N82" i="57"/>
  <c r="L82" i="57"/>
  <c r="K82" i="57"/>
  <c r="J82" i="57"/>
  <c r="M82" i="57" s="1"/>
  <c r="I82" i="57"/>
  <c r="N81" i="57"/>
  <c r="L81" i="57"/>
  <c r="K81" i="57"/>
  <c r="J81" i="57"/>
  <c r="M81" i="57" s="1"/>
  <c r="I81" i="57"/>
  <c r="N80" i="57"/>
  <c r="L80" i="57"/>
  <c r="K80" i="57"/>
  <c r="J80" i="57"/>
  <c r="M80" i="57" s="1"/>
  <c r="I80" i="57"/>
  <c r="N79" i="57"/>
  <c r="L79" i="57"/>
  <c r="K79" i="57"/>
  <c r="J79" i="57"/>
  <c r="M79" i="57" s="1"/>
  <c r="I79" i="57"/>
  <c r="N78" i="57"/>
  <c r="L78" i="57"/>
  <c r="K78" i="57"/>
  <c r="J78" i="57"/>
  <c r="M78" i="57" s="1"/>
  <c r="I78" i="57"/>
  <c r="N77" i="57"/>
  <c r="L77" i="57"/>
  <c r="K77" i="57"/>
  <c r="J77" i="57"/>
  <c r="M77" i="57" s="1"/>
  <c r="I77" i="57"/>
  <c r="N76" i="57"/>
  <c r="L76" i="57"/>
  <c r="K76" i="57"/>
  <c r="J76" i="57"/>
  <c r="M76" i="57" s="1"/>
  <c r="I76" i="57"/>
  <c r="N75" i="57"/>
  <c r="L75" i="57"/>
  <c r="K75" i="57"/>
  <c r="J75" i="57"/>
  <c r="M75" i="57" s="1"/>
  <c r="I75" i="57"/>
  <c r="N74" i="57"/>
  <c r="L74" i="57"/>
  <c r="K74" i="57"/>
  <c r="J74" i="57"/>
  <c r="M74" i="57" s="1"/>
  <c r="I74" i="57"/>
  <c r="N73" i="57"/>
  <c r="L73" i="57"/>
  <c r="K73" i="57"/>
  <c r="J73" i="57"/>
  <c r="M73" i="57" s="1"/>
  <c r="I73" i="57"/>
  <c r="N72" i="57"/>
  <c r="L72" i="57"/>
  <c r="K72" i="57"/>
  <c r="J72" i="57"/>
  <c r="M72" i="57" s="1"/>
  <c r="I72" i="57"/>
  <c r="N71" i="57"/>
  <c r="L71" i="57"/>
  <c r="K71" i="57"/>
  <c r="J71" i="57"/>
  <c r="M71" i="57" s="1"/>
  <c r="I71" i="57"/>
  <c r="N70" i="57"/>
  <c r="L70" i="57"/>
  <c r="K70" i="57"/>
  <c r="J70" i="57"/>
  <c r="M70" i="57" s="1"/>
  <c r="I70" i="57"/>
  <c r="N69" i="57"/>
  <c r="L69" i="57"/>
  <c r="K69" i="57"/>
  <c r="J69" i="57"/>
  <c r="M69" i="57" s="1"/>
  <c r="I69" i="57"/>
  <c r="N68" i="57"/>
  <c r="L68" i="57"/>
  <c r="K68" i="57"/>
  <c r="J68" i="57"/>
  <c r="M68" i="57" s="1"/>
  <c r="I68" i="57"/>
  <c r="N67" i="57"/>
  <c r="L67" i="57"/>
  <c r="K67" i="57"/>
  <c r="J67" i="57"/>
  <c r="M67" i="57" s="1"/>
  <c r="I67" i="57"/>
  <c r="N66" i="57"/>
  <c r="L66" i="57"/>
  <c r="K66" i="57"/>
  <c r="J66" i="57"/>
  <c r="M66" i="57" s="1"/>
  <c r="I66" i="57"/>
  <c r="N65" i="57"/>
  <c r="L65" i="57"/>
  <c r="K65" i="57"/>
  <c r="J65" i="57"/>
  <c r="M65" i="57" s="1"/>
  <c r="I65" i="57"/>
  <c r="N64" i="57"/>
  <c r="L64" i="57"/>
  <c r="K64" i="57"/>
  <c r="J64" i="57"/>
  <c r="M64" i="57" s="1"/>
  <c r="I64" i="57"/>
  <c r="N63" i="57"/>
  <c r="L63" i="57"/>
  <c r="K63" i="57"/>
  <c r="J63" i="57"/>
  <c r="M63" i="57" s="1"/>
  <c r="I63" i="57"/>
  <c r="N62" i="57"/>
  <c r="L62" i="57"/>
  <c r="K62" i="57"/>
  <c r="J62" i="57"/>
  <c r="M62" i="57" s="1"/>
  <c r="I62" i="57"/>
  <c r="N61" i="57"/>
  <c r="L61" i="57"/>
  <c r="K61" i="57"/>
  <c r="J61" i="57"/>
  <c r="M61" i="57" s="1"/>
  <c r="I61" i="57"/>
  <c r="N60" i="57"/>
  <c r="L60" i="57"/>
  <c r="K60" i="57"/>
  <c r="J60" i="57"/>
  <c r="M60" i="57" s="1"/>
  <c r="I60" i="57"/>
  <c r="N59" i="57"/>
  <c r="L59" i="57"/>
  <c r="K59" i="57"/>
  <c r="J59" i="57"/>
  <c r="M59" i="57" s="1"/>
  <c r="I59" i="57"/>
  <c r="N58" i="57"/>
  <c r="L58" i="57"/>
  <c r="K58" i="57"/>
  <c r="J58" i="57"/>
  <c r="M58" i="57" s="1"/>
  <c r="I58" i="57"/>
  <c r="N57" i="57"/>
  <c r="L57" i="57"/>
  <c r="K57" i="57"/>
  <c r="J57" i="57"/>
  <c r="M57" i="57" s="1"/>
  <c r="I57" i="57"/>
  <c r="N56" i="57"/>
  <c r="L56" i="57"/>
  <c r="K56" i="57"/>
  <c r="J56" i="57"/>
  <c r="M56" i="57" s="1"/>
  <c r="I56" i="57"/>
  <c r="N55" i="57"/>
  <c r="L55" i="57"/>
  <c r="K55" i="57"/>
  <c r="J55" i="57"/>
  <c r="M55" i="57" s="1"/>
  <c r="I55" i="57"/>
  <c r="N54" i="57"/>
  <c r="L54" i="57"/>
  <c r="K54" i="57"/>
  <c r="J54" i="57"/>
  <c r="M54" i="57" s="1"/>
  <c r="I54" i="57"/>
  <c r="N53" i="57"/>
  <c r="L53" i="57"/>
  <c r="K53" i="57"/>
  <c r="J53" i="57"/>
  <c r="M53" i="57" s="1"/>
  <c r="I53" i="57"/>
  <c r="N52" i="57"/>
  <c r="L52" i="57"/>
  <c r="K52" i="57"/>
  <c r="J52" i="57"/>
  <c r="M52" i="57" s="1"/>
  <c r="I52" i="57"/>
  <c r="N51" i="57"/>
  <c r="L51" i="57"/>
  <c r="K51" i="57"/>
  <c r="J51" i="57"/>
  <c r="M51" i="57" s="1"/>
  <c r="I51" i="57"/>
  <c r="K50" i="57"/>
  <c r="N50" i="57" s="1"/>
  <c r="J50" i="57"/>
  <c r="M50" i="57" s="1"/>
  <c r="I50" i="57"/>
  <c r="L50" i="57" s="1"/>
  <c r="M49" i="57"/>
  <c r="K49" i="57"/>
  <c r="N49" i="57" s="1"/>
  <c r="J49" i="57"/>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M38" i="57"/>
  <c r="K38" i="57"/>
  <c r="N38" i="57" s="1"/>
  <c r="J38" i="57"/>
  <c r="I38" i="57"/>
  <c r="L38" i="57" s="1"/>
  <c r="M37" i="57"/>
  <c r="K37" i="57"/>
  <c r="N37" i="57" s="1"/>
  <c r="J37" i="57"/>
  <c r="I37" i="57"/>
  <c r="L37" i="57" s="1"/>
  <c r="M36" i="57"/>
  <c r="K36" i="57"/>
  <c r="N36" i="57" s="1"/>
  <c r="J36" i="57"/>
  <c r="I36" i="57"/>
  <c r="L36" i="57" s="1"/>
  <c r="M35" i="57"/>
  <c r="K35" i="57"/>
  <c r="N35" i="57" s="1"/>
  <c r="J35" i="57"/>
  <c r="I35" i="57"/>
  <c r="L35" i="57" s="1"/>
  <c r="M34" i="57"/>
  <c r="K34" i="57"/>
  <c r="N34" i="57" s="1"/>
  <c r="J34" i="57"/>
  <c r="I34" i="57"/>
  <c r="L34" i="57" s="1"/>
  <c r="M33" i="57"/>
  <c r="K33" i="57"/>
  <c r="N33" i="57" s="1"/>
  <c r="J33" i="57"/>
  <c r="I33" i="57"/>
  <c r="L33" i="57" s="1"/>
  <c r="M32" i="57"/>
  <c r="K32" i="57"/>
  <c r="N32" i="57" s="1"/>
  <c r="J32" i="57"/>
  <c r="I32" i="57"/>
  <c r="L32" i="57" s="1"/>
  <c r="M31" i="57"/>
  <c r="K31" i="57"/>
  <c r="N31" i="57" s="1"/>
  <c r="J31" i="57"/>
  <c r="I31" i="57"/>
  <c r="L31" i="57" s="1"/>
  <c r="M30" i="57"/>
  <c r="K30" i="57"/>
  <c r="N30" i="57" s="1"/>
  <c r="J30" i="57"/>
  <c r="I30" i="57"/>
  <c r="L30" i="57" s="1"/>
  <c r="M29" i="57"/>
  <c r="K29" i="57"/>
  <c r="N29" i="57" s="1"/>
  <c r="J29" i="57"/>
  <c r="I29" i="57"/>
  <c r="L29" i="57" s="1"/>
  <c r="M28" i="57"/>
  <c r="K28" i="57"/>
  <c r="N28" i="57" s="1"/>
  <c r="J28" i="57"/>
  <c r="I28" i="57"/>
  <c r="L28" i="57" s="1"/>
  <c r="M27" i="57"/>
  <c r="K27" i="57"/>
  <c r="N27" i="57" s="1"/>
  <c r="J27" i="57"/>
  <c r="I27" i="57"/>
  <c r="L27" i="57" s="1"/>
  <c r="M26" i="57"/>
  <c r="K26" i="57"/>
  <c r="N26" i="57" s="1"/>
  <c r="J26" i="57"/>
  <c r="I26" i="57"/>
  <c r="L26" i="57" s="1"/>
  <c r="M25" i="57"/>
  <c r="K25" i="57"/>
  <c r="N25" i="57" s="1"/>
  <c r="J25" i="57"/>
  <c r="I25" i="57"/>
  <c r="L25" i="57" s="1"/>
  <c r="M24" i="57"/>
  <c r="K24" i="57"/>
  <c r="N24" i="57" s="1"/>
  <c r="J24" i="57"/>
  <c r="I24" i="57"/>
  <c r="L24" i="57" s="1"/>
  <c r="M23" i="57"/>
  <c r="K23" i="57"/>
  <c r="N23" i="57" s="1"/>
  <c r="J23" i="57"/>
  <c r="I23" i="57"/>
  <c r="L23" i="57" s="1"/>
  <c r="M22" i="57"/>
  <c r="K22" i="57"/>
  <c r="N22" i="57" s="1"/>
  <c r="J22" i="57"/>
  <c r="I22" i="57"/>
  <c r="L22" i="57" s="1"/>
  <c r="M21" i="57"/>
  <c r="K21" i="57"/>
  <c r="N21" i="57" s="1"/>
  <c r="J21" i="57"/>
  <c r="I21" i="57"/>
  <c r="L21" i="57" s="1"/>
  <c r="M20" i="57"/>
  <c r="K20" i="57"/>
  <c r="N20" i="57" s="1"/>
  <c r="J20" i="57"/>
  <c r="I20" i="57"/>
  <c r="L20" i="57" s="1"/>
  <c r="M19" i="57"/>
  <c r="K19" i="57"/>
  <c r="N19" i="57" s="1"/>
  <c r="J19" i="57"/>
  <c r="I19" i="57"/>
  <c r="L19" i="57" s="1"/>
  <c r="M18" i="57"/>
  <c r="K18" i="57"/>
  <c r="N18" i="57" s="1"/>
  <c r="J18" i="57"/>
  <c r="I18" i="57"/>
  <c r="L18" i="57" s="1"/>
  <c r="U15" i="57"/>
  <c r="M15" i="57" s="1"/>
  <c r="N14" i="57"/>
  <c r="M13" i="57"/>
  <c r="M12" i="57"/>
  <c r="M11" i="57"/>
  <c r="N3" i="57"/>
  <c r="C34" i="56"/>
  <c r="E29" i="56"/>
  <c r="C29" i="56" s="1"/>
  <c r="D5" i="44" s="1"/>
  <c r="C8" i="56"/>
  <c r="C7" i="56"/>
  <c r="E6" i="56"/>
  <c r="C6" i="56" s="1"/>
  <c r="E5" i="56"/>
  <c r="C5" i="56" s="1"/>
  <c r="E3" i="56"/>
  <c r="C3" i="56" s="1"/>
  <c r="C2" i="56"/>
  <c r="I53" i="55"/>
  <c r="H53" i="55"/>
  <c r="G53" i="55"/>
  <c r="J52" i="55"/>
  <c r="I52" i="55"/>
  <c r="H52" i="55"/>
  <c r="G52" i="55"/>
  <c r="J51" i="55"/>
  <c r="I51" i="55"/>
  <c r="H51" i="55"/>
  <c r="G51" i="55"/>
  <c r="J50" i="55"/>
  <c r="I50" i="55"/>
  <c r="H50" i="55"/>
  <c r="G50" i="55"/>
  <c r="J49" i="55"/>
  <c r="I49" i="55"/>
  <c r="H49" i="55"/>
  <c r="G49" i="55"/>
  <c r="I48" i="55"/>
  <c r="H48" i="55"/>
  <c r="G48" i="55"/>
  <c r="I47" i="55"/>
  <c r="H47" i="55"/>
  <c r="G47" i="55"/>
  <c r="I46" i="55"/>
  <c r="K45" i="55"/>
  <c r="J45" i="55"/>
  <c r="I45" i="55"/>
  <c r="G36" i="55"/>
  <c r="E31" i="56" s="1"/>
  <c r="C31" i="56" s="1"/>
  <c r="F36" i="55"/>
  <c r="F32" i="55"/>
  <c r="E32" i="55"/>
  <c r="F29"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s="1"/>
  <c r="G11" i="51"/>
  <c r="O9" i="51"/>
  <c r="S2" i="51" a="1"/>
  <c r="S2" i="51"/>
  <c r="G2" i="51"/>
  <c r="R10" i="50"/>
  <c r="P10" i="50" a="1"/>
  <c r="P10" i="50" s="1"/>
  <c r="K8" i="50"/>
  <c r="J8" i="50"/>
  <c r="G8" i="50"/>
  <c r="E5" i="50"/>
  <c r="R2" i="50"/>
  <c r="P2" i="50" a="1"/>
  <c r="P2" i="50"/>
  <c r="P9" i="49"/>
  <c r="N9" i="49" a="1"/>
  <c r="N9" i="49" s="1"/>
  <c r="E5" i="49"/>
  <c r="P2" i="49"/>
  <c r="N2" i="49" a="1"/>
  <c r="N2" i="49"/>
  <c r="F12" i="48"/>
  <c r="F2" i="50" s="1"/>
  <c r="D6" i="48"/>
  <c r="D5" i="48"/>
  <c r="I14" i="45"/>
  <c r="G14" i="45"/>
  <c r="G11" i="45"/>
  <c r="G10" i="45"/>
  <c r="G9" i="45"/>
  <c r="D6" i="45"/>
  <c r="E13" i="44"/>
  <c r="H12" i="44"/>
  <c r="E12" i="44"/>
  <c r="E11" i="44"/>
  <c r="E10" i="44"/>
  <c r="D6" i="44"/>
  <c r="M810" i="43"/>
  <c r="F809" i="43"/>
  <c r="M614" i="43"/>
  <c r="F613" i="43"/>
  <c r="M418" i="43"/>
  <c r="F417" i="43"/>
  <c r="K393" i="43"/>
  <c r="K391" i="43"/>
  <c r="K389" i="43"/>
  <c r="K387" i="43"/>
  <c r="K385" i="43"/>
  <c r="K383" i="43"/>
  <c r="K381" i="43"/>
  <c r="K379" i="43"/>
  <c r="K377" i="43"/>
  <c r="K375" i="43"/>
  <c r="K373" i="43"/>
  <c r="K371" i="43"/>
  <c r="K369" i="43"/>
  <c r="K367" i="43"/>
  <c r="K365" i="43"/>
  <c r="K363" i="43"/>
  <c r="K361" i="43"/>
  <c r="K359" i="43"/>
  <c r="K357" i="43"/>
  <c r="K355" i="43"/>
  <c r="K353" i="43"/>
  <c r="K351" i="43"/>
  <c r="K349" i="43"/>
  <c r="K347" i="43"/>
  <c r="K345" i="43"/>
  <c r="K343" i="43"/>
  <c r="K341" i="43"/>
  <c r="K339" i="43"/>
  <c r="K337" i="43"/>
  <c r="K335" i="43"/>
  <c r="K333" i="43"/>
  <c r="K331" i="43"/>
  <c r="K329" i="43"/>
  <c r="K327" i="43"/>
  <c r="K325" i="43"/>
  <c r="K323" i="43"/>
  <c r="K321" i="43"/>
  <c r="K319" i="43"/>
  <c r="K317" i="43"/>
  <c r="K315" i="43"/>
  <c r="K313" i="43"/>
  <c r="K311" i="43"/>
  <c r="K309" i="43"/>
  <c r="K307" i="43"/>
  <c r="K305" i="43"/>
  <c r="K303" i="43"/>
  <c r="K301" i="43"/>
  <c r="K299" i="43"/>
  <c r="K297" i="43"/>
  <c r="K295" i="43"/>
  <c r="K293" i="43"/>
  <c r="K291" i="43"/>
  <c r="K289" i="43"/>
  <c r="K287" i="43"/>
  <c r="K285" i="43"/>
  <c r="K283" i="43"/>
  <c r="K281" i="43"/>
  <c r="K279" i="43"/>
  <c r="K277" i="43"/>
  <c r="K275" i="43"/>
  <c r="K273" i="43"/>
  <c r="K271" i="43"/>
  <c r="K269" i="43"/>
  <c r="K267" i="43"/>
  <c r="K265" i="43"/>
  <c r="K263" i="43"/>
  <c r="K261" i="43"/>
  <c r="K259" i="43"/>
  <c r="K257" i="43"/>
  <c r="K255" i="43"/>
  <c r="M222" i="43"/>
  <c r="F219" i="43"/>
  <c r="M24" i="43"/>
  <c r="F23" i="43"/>
  <c r="G17" i="43"/>
  <c r="F17" i="43"/>
  <c r="G16" i="43"/>
  <c r="F16" i="43"/>
  <c r="E14" i="43"/>
  <c r="N7" i="43"/>
  <c r="N4" i="43"/>
  <c r="N1" i="43"/>
  <c r="E42" i="42"/>
  <c r="E38" i="42"/>
  <c r="E35" i="42"/>
  <c r="E32" i="42"/>
  <c r="E31" i="42"/>
  <c r="E28" i="42"/>
  <c r="E25" i="42"/>
  <c r="E24" i="42"/>
  <c r="D15" i="42"/>
  <c r="G17" i="41"/>
  <c r="E16" i="41"/>
  <c r="G14" i="41"/>
  <c r="E13" i="41"/>
  <c r="D6" i="41"/>
  <c r="D5" i="41"/>
  <c r="F21" i="40"/>
  <c r="H19" i="40"/>
  <c r="G19" i="40"/>
  <c r="F19" i="40"/>
  <c r="E19" i="40"/>
  <c r="I18" i="40"/>
  <c r="E17" i="40"/>
  <c r="E16" i="40"/>
  <c r="E15" i="40"/>
  <c r="H14" i="40"/>
  <c r="G14" i="40"/>
  <c r="G11" i="40"/>
  <c r="G10" i="40"/>
  <c r="G9" i="40"/>
  <c r="D6" i="40"/>
  <c r="D5" i="40"/>
  <c r="F2" i="40"/>
  <c r="F6" i="39"/>
  <c r="H57" i="38"/>
  <c r="H56" i="38"/>
  <c r="H55" i="38"/>
  <c r="I54" i="38"/>
  <c r="H54" i="38"/>
  <c r="H53" i="38"/>
  <c r="H52" i="38"/>
  <c r="H51" i="38"/>
  <c r="H50" i="38"/>
  <c r="I49" i="38"/>
  <c r="H49" i="38"/>
  <c r="I48" i="38"/>
  <c r="H48" i="38"/>
  <c r="H47" i="38"/>
  <c r="H46" i="38"/>
  <c r="H45" i="38"/>
  <c r="I44" i="38"/>
  <c r="H44" i="38" s="1"/>
  <c r="H43" i="38"/>
  <c r="H42" i="38"/>
  <c r="H41" i="38"/>
  <c r="H40" i="38"/>
  <c r="I39" i="38"/>
  <c r="H39" i="38" s="1"/>
  <c r="I38" i="38"/>
  <c r="H38" i="38" s="1"/>
  <c r="H35" i="38"/>
  <c r="H34" i="38"/>
  <c r="H33" i="38"/>
  <c r="I32" i="38"/>
  <c r="H32" i="38"/>
  <c r="H31" i="38"/>
  <c r="H30" i="38"/>
  <c r="H29" i="38"/>
  <c r="I28" i="38"/>
  <c r="H28" i="38" s="1"/>
  <c r="H27" i="38"/>
  <c r="H26" i="38"/>
  <c r="H25" i="38"/>
  <c r="H24" i="38"/>
  <c r="H23" i="38"/>
  <c r="H22" i="38"/>
  <c r="H21" i="38"/>
  <c r="H20" i="38"/>
  <c r="H19" i="38"/>
  <c r="H18" i="38"/>
  <c r="H17" i="38"/>
  <c r="H16" i="38"/>
  <c r="I15" i="38"/>
  <c r="H15" i="38" s="1"/>
  <c r="H11" i="38"/>
  <c r="F6" i="38"/>
  <c r="F6" i="37"/>
  <c r="H15" i="36"/>
  <c r="F6"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I16" i="32"/>
  <c r="H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J123" i="30"/>
  <c r="F123" i="30"/>
  <c r="E123" i="30"/>
  <c r="E124" i="30" s="1"/>
  <c r="J120" i="30"/>
  <c r="F120" i="30"/>
  <c r="E120" i="30"/>
  <c r="E121" i="30" s="1"/>
  <c r="J117" i="30"/>
  <c r="F117" i="30"/>
  <c r="E117" i="30"/>
  <c r="E118" i="30" s="1"/>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E100" i="30"/>
  <c r="J99" i="30"/>
  <c r="F99" i="30"/>
  <c r="E99" i="30"/>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J69" i="30"/>
  <c r="I69" i="30"/>
  <c r="H69" i="30"/>
  <c r="F69" i="30"/>
  <c r="E69" i="30"/>
  <c r="K69" i="30" s="1"/>
  <c r="K68" i="30"/>
  <c r="J68" i="30"/>
  <c r="L68" i="30" s="1"/>
  <c r="F68" i="30"/>
  <c r="E68" i="30"/>
  <c r="K67" i="30"/>
  <c r="J67" i="30"/>
  <c r="F67" i="30"/>
  <c r="E67" i="30"/>
  <c r="J66" i="30"/>
  <c r="L66" i="30" s="1"/>
  <c r="F66" i="30"/>
  <c r="E66" i="30"/>
  <c r="K66" i="30" s="1"/>
  <c r="J65" i="30"/>
  <c r="F65" i="30"/>
  <c r="E65" i="30"/>
  <c r="K65" i="30" s="1"/>
  <c r="J64" i="30"/>
  <c r="F64" i="30"/>
  <c r="E64" i="30"/>
  <c r="K64" i="30" s="1"/>
  <c r="J63" i="30"/>
  <c r="F63" i="30"/>
  <c r="E63" i="30"/>
  <c r="K63" i="30" s="1"/>
  <c r="J62" i="30"/>
  <c r="F62" i="30"/>
  <c r="E62" i="30"/>
  <c r="K62" i="30" s="1"/>
  <c r="J61" i="30"/>
  <c r="F61" i="30"/>
  <c r="E61" i="30"/>
  <c r="K61" i="30" s="1"/>
  <c r="J60" i="30"/>
  <c r="F60" i="30"/>
  <c r="E60" i="30"/>
  <c r="K60" i="30" s="1"/>
  <c r="J59" i="30"/>
  <c r="F59" i="30"/>
  <c r="E59" i="30"/>
  <c r="K59" i="30" s="1"/>
  <c r="J58" i="30"/>
  <c r="F58" i="30"/>
  <c r="E58" i="30"/>
  <c r="K58" i="30" s="1"/>
  <c r="J57" i="30"/>
  <c r="F57" i="30"/>
  <c r="E57" i="30"/>
  <c r="K57" i="30" s="1"/>
  <c r="J56" i="30"/>
  <c r="F56" i="30"/>
  <c r="E56" i="30"/>
  <c r="K56" i="30" s="1"/>
  <c r="J55" i="30"/>
  <c r="F55" i="30"/>
  <c r="E55" i="30"/>
  <c r="K55" i="30" s="1"/>
  <c r="J54" i="30"/>
  <c r="F54" i="30"/>
  <c r="E54" i="30"/>
  <c r="K54" i="30" s="1"/>
  <c r="J53" i="30"/>
  <c r="F53" i="30"/>
  <c r="E53" i="30"/>
  <c r="K53" i="30" s="1"/>
  <c r="J52" i="30"/>
  <c r="F52" i="30"/>
  <c r="E52" i="30"/>
  <c r="K52" i="30" s="1"/>
  <c r="J51" i="30"/>
  <c r="F51" i="30"/>
  <c r="E51" i="30"/>
  <c r="K51" i="30" s="1"/>
  <c r="J50" i="30"/>
  <c r="F50" i="30"/>
  <c r="E50" i="30"/>
  <c r="K50" i="30" s="1"/>
  <c r="J49" i="30"/>
  <c r="F49" i="30"/>
  <c r="E49" i="30"/>
  <c r="K49" i="30" s="1"/>
  <c r="J48" i="30"/>
  <c r="F48" i="30"/>
  <c r="E48" i="30"/>
  <c r="K48" i="30" s="1"/>
  <c r="J47" i="30"/>
  <c r="F47" i="30"/>
  <c r="E47" i="30"/>
  <c r="K47" i="30" s="1"/>
  <c r="J46" i="30"/>
  <c r="F46" i="30"/>
  <c r="E46" i="30"/>
  <c r="K46" i="30" s="1"/>
  <c r="J45" i="30"/>
  <c r="F45" i="30"/>
  <c r="E45" i="30"/>
  <c r="K45" i="30" s="1"/>
  <c r="J44" i="30"/>
  <c r="F44" i="30"/>
  <c r="E44" i="30"/>
  <c r="K44" i="30" s="1"/>
  <c r="J43" i="30"/>
  <c r="F43" i="30"/>
  <c r="E43" i="30"/>
  <c r="K43" i="30" s="1"/>
  <c r="J42" i="30"/>
  <c r="F42" i="30"/>
  <c r="E42" i="30"/>
  <c r="K42" i="30" s="1"/>
  <c r="J41" i="30"/>
  <c r="F41" i="30"/>
  <c r="E41" i="30"/>
  <c r="K41" i="30" s="1"/>
  <c r="K40" i="30"/>
  <c r="K39" i="30"/>
  <c r="K38" i="30"/>
  <c r="K37" i="30"/>
  <c r="K36" i="30"/>
  <c r="K35" i="30"/>
  <c r="K34" i="30"/>
  <c r="J33" i="30"/>
  <c r="I33" i="30"/>
  <c r="H33" i="30"/>
  <c r="F33" i="30"/>
  <c r="E33" i="30"/>
  <c r="K33" i="30" s="1"/>
  <c r="J32" i="30"/>
  <c r="F32" i="30"/>
  <c r="E32" i="30"/>
  <c r="K32" i="30" s="1"/>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I5" i="25"/>
  <c r="J6" i="25" s="1"/>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V45" i="23"/>
  <c r="W45" i="23" s="1"/>
  <c r="X45" i="23" s="1"/>
  <c r="Y45" i="23" s="1"/>
  <c r="Z45" i="23" s="1"/>
  <c r="AA45" i="23" s="1"/>
  <c r="AC45" i="23" s="1"/>
  <c r="AD45" i="23" s="1"/>
  <c r="U45" i="23"/>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1161" i="22"/>
  <c r="AN1160" i="22"/>
  <c r="AN1159" i="22"/>
  <c r="AN1158" i="22"/>
  <c r="AN1157" i="22"/>
  <c r="AN1156" i="22"/>
  <c r="AN1155" i="22"/>
  <c r="AE1155" i="22"/>
  <c r="X1155" i="22"/>
  <c r="AN1154" i="22"/>
  <c r="AK1154" i="22"/>
  <c r="AN1153" i="22"/>
  <c r="AN1152" i="22"/>
  <c r="AN1151" i="22"/>
  <c r="AE1151" i="22"/>
  <c r="X1151" i="22"/>
  <c r="AN1150" i="22"/>
  <c r="AK1150" i="22"/>
  <c r="AN1149" i="22"/>
  <c r="AN1148" i="22"/>
  <c r="AN1147" i="22"/>
  <c r="AN1146" i="22"/>
  <c r="AN1145" i="22"/>
  <c r="AK1145" i="22"/>
  <c r="AN1144" i="22"/>
  <c r="AN1143" i="22"/>
  <c r="AN1142" i="22"/>
  <c r="AN1141" i="22"/>
  <c r="AN1140" i="22"/>
  <c r="AN1139" i="22"/>
  <c r="AE1139" i="22"/>
  <c r="X1139" i="22"/>
  <c r="AN1138" i="22"/>
  <c r="AK1138" i="22"/>
  <c r="AN1137" i="22"/>
  <c r="AN1136" i="22"/>
  <c r="AN1135" i="22"/>
  <c r="AE1135" i="22"/>
  <c r="X1135" i="22"/>
  <c r="AN1134" i="22"/>
  <c r="AK1134" i="22"/>
  <c r="AN1133" i="22"/>
  <c r="AN1132" i="22"/>
  <c r="AN1131" i="22"/>
  <c r="AN1130" i="22"/>
  <c r="AN1129" i="22"/>
  <c r="AK1129" i="22"/>
  <c r="AN1128" i="22"/>
  <c r="AN1127" i="22"/>
  <c r="AN1126" i="22"/>
  <c r="AN1125" i="22"/>
  <c r="AN1124" i="22"/>
  <c r="AN1123" i="22"/>
  <c r="AE1123" i="22"/>
  <c r="X1123" i="22"/>
  <c r="AN1122" i="22"/>
  <c r="AK1122" i="22"/>
  <c r="AN1121" i="22"/>
  <c r="AN1120" i="22"/>
  <c r="AN1119" i="22"/>
  <c r="AE1119" i="22"/>
  <c r="X1119" i="22"/>
  <c r="AN1118" i="22"/>
  <c r="AK1118" i="22"/>
  <c r="AN1117" i="22"/>
  <c r="AN1116" i="22"/>
  <c r="AN1115" i="22"/>
  <c r="AN1114" i="22"/>
  <c r="AN1113" i="22"/>
  <c r="AK1113" i="22"/>
  <c r="AN1112" i="22"/>
  <c r="AN1111" i="22"/>
  <c r="AN1110" i="22"/>
  <c r="AN1109" i="22"/>
  <c r="AN1108" i="22"/>
  <c r="AN1107" i="22"/>
  <c r="AE1107" i="22"/>
  <c r="X1107" i="22"/>
  <c r="AN1106" i="22"/>
  <c r="AK1106" i="22"/>
  <c r="AN1105" i="22"/>
  <c r="AN1104" i="22"/>
  <c r="AN1103" i="22"/>
  <c r="AE1103" i="22"/>
  <c r="X1103" i="22"/>
  <c r="AN1102" i="22"/>
  <c r="AK1102" i="22"/>
  <c r="AN1101" i="22"/>
  <c r="AN1100" i="22"/>
  <c r="AN1099" i="22"/>
  <c r="AN1098" i="22"/>
  <c r="AN1097" i="22"/>
  <c r="AK1097" i="22"/>
  <c r="AN1096" i="22"/>
  <c r="AN1095" i="22"/>
  <c r="AN1094" i="22"/>
  <c r="AN1093" i="22"/>
  <c r="AN1092" i="22"/>
  <c r="AN1091" i="22"/>
  <c r="AE1091" i="22"/>
  <c r="X1091" i="22"/>
  <c r="AN1090" i="22"/>
  <c r="AK1090" i="22"/>
  <c r="AN1089" i="22"/>
  <c r="AN1088" i="22"/>
  <c r="AN1087" i="22"/>
  <c r="AE1087" i="22"/>
  <c r="X1087" i="22"/>
  <c r="AN1086" i="22"/>
  <c r="AK1086" i="22"/>
  <c r="AN1085" i="22"/>
  <c r="AN1084" i="22"/>
  <c r="AN1083" i="22"/>
  <c r="AN1082" i="22"/>
  <c r="AN1081" i="22"/>
  <c r="AK1081" i="22"/>
  <c r="AN1080" i="22"/>
  <c r="AN1079" i="22"/>
  <c r="AN1078" i="22"/>
  <c r="AN1077" i="22"/>
  <c r="AN1076" i="22"/>
  <c r="AN1075" i="22"/>
  <c r="AE1075" i="22"/>
  <c r="X1075" i="22"/>
  <c r="AN1074" i="22"/>
  <c r="AK1074" i="22"/>
  <c r="AN1073" i="22"/>
  <c r="AN1072" i="22"/>
  <c r="AN1071" i="22"/>
  <c r="AE1071" i="22"/>
  <c r="X1071" i="22"/>
  <c r="AN1070" i="22"/>
  <c r="AK1070" i="22"/>
  <c r="AN1069" i="22"/>
  <c r="AN1068" i="22"/>
  <c r="AN1067" i="22"/>
  <c r="AN1066" i="22"/>
  <c r="AN1065" i="22"/>
  <c r="AK1065" i="22"/>
  <c r="AN1064" i="22"/>
  <c r="AN1063" i="22"/>
  <c r="AN1062" i="22"/>
  <c r="AN1061" i="22"/>
  <c r="AN1060" i="22"/>
  <c r="AN1059" i="22"/>
  <c r="AE1059" i="22"/>
  <c r="X1059" i="22"/>
  <c r="AN1058" i="22"/>
  <c r="AK1058" i="22"/>
  <c r="AN1057" i="22"/>
  <c r="AN1056" i="22"/>
  <c r="AN1055" i="22"/>
  <c r="AE1055" i="22"/>
  <c r="X1055" i="22"/>
  <c r="AN1054" i="22"/>
  <c r="AK1054" i="22"/>
  <c r="AN1053" i="22"/>
  <c r="AN1052" i="22"/>
  <c r="AN1051" i="22"/>
  <c r="AN1050" i="22"/>
  <c r="AN1049" i="22"/>
  <c r="AK1049" i="22"/>
  <c r="AN1048" i="22"/>
  <c r="AN1047" i="22"/>
  <c r="AN1046" i="22"/>
  <c r="AN1045" i="22"/>
  <c r="AN1044" i="22"/>
  <c r="AN1043" i="22"/>
  <c r="AE1043" i="22"/>
  <c r="X1043" i="22"/>
  <c r="AN1042" i="22"/>
  <c r="AK1042" i="22"/>
  <c r="AN1041" i="22"/>
  <c r="AN1040" i="22"/>
  <c r="AN1039" i="22"/>
  <c r="AE1039" i="22"/>
  <c r="X1039" i="22"/>
  <c r="AN1038" i="22"/>
  <c r="AK1038" i="22"/>
  <c r="AN1037" i="22"/>
  <c r="AN1036" i="22"/>
  <c r="AN1035" i="22"/>
  <c r="AN1034" i="22"/>
  <c r="AN1033" i="22"/>
  <c r="AK1033" i="22"/>
  <c r="AN1032" i="22"/>
  <c r="AN1031" i="22"/>
  <c r="AN1030" i="22"/>
  <c r="AN1029" i="22"/>
  <c r="AN1028" i="22"/>
  <c r="AN1027" i="22"/>
  <c r="AE1027" i="22"/>
  <c r="X1027" i="22"/>
  <c r="AN1026" i="22"/>
  <c r="AK1026" i="22"/>
  <c r="AN1025" i="22"/>
  <c r="AN1024" i="22"/>
  <c r="AN1023" i="22"/>
  <c r="AE1023" i="22"/>
  <c r="X1023" i="22"/>
  <c r="AN1022" i="22"/>
  <c r="AK1022" i="22"/>
  <c r="AN1021" i="22"/>
  <c r="AN1020" i="22"/>
  <c r="AN1019" i="22"/>
  <c r="AN1018" i="22"/>
  <c r="AN1017" i="22"/>
  <c r="AK1017" i="22"/>
  <c r="AN1016" i="22"/>
  <c r="AN1015" i="22"/>
  <c r="AN1014" i="22"/>
  <c r="AN1013" i="22"/>
  <c r="AN1012" i="22"/>
  <c r="AN1011" i="22"/>
  <c r="AE1011" i="22"/>
  <c r="X1011" i="22"/>
  <c r="AN1010" i="22"/>
  <c r="AK1010" i="22"/>
  <c r="AN1009" i="22"/>
  <c r="AN1008" i="22"/>
  <c r="AN1007" i="22"/>
  <c r="AE1007" i="22"/>
  <c r="X1007" i="22"/>
  <c r="AN1006" i="22"/>
  <c r="AK1006" i="22"/>
  <c r="AN1005" i="22"/>
  <c r="AN1004" i="22"/>
  <c r="AN1003" i="22"/>
  <c r="AN1002" i="22"/>
  <c r="AN1001" i="22"/>
  <c r="AK1001" i="22"/>
  <c r="AN1000" i="22"/>
  <c r="AN999" i="22"/>
  <c r="AN998" i="22"/>
  <c r="AN997" i="22"/>
  <c r="AN996" i="22"/>
  <c r="AN995" i="22"/>
  <c r="AE995" i="22"/>
  <c r="X995" i="22"/>
  <c r="AN994" i="22"/>
  <c r="AK994" i="22"/>
  <c r="AN993" i="22"/>
  <c r="AN992" i="22"/>
  <c r="AN991" i="22"/>
  <c r="AE991" i="22"/>
  <c r="X991" i="22"/>
  <c r="AN990" i="22"/>
  <c r="AK990" i="22"/>
  <c r="AN989" i="22"/>
  <c r="AN988" i="22"/>
  <c r="AN987" i="22"/>
  <c r="AN986" i="22"/>
  <c r="AN985" i="22"/>
  <c r="AK985" i="22"/>
  <c r="AN984" i="22"/>
  <c r="AN983" i="22"/>
  <c r="AN982" i="22"/>
  <c r="AN981" i="22"/>
  <c r="AN980" i="22"/>
  <c r="AN979" i="22"/>
  <c r="AE979" i="22"/>
  <c r="X979" i="22"/>
  <c r="AN978" i="22"/>
  <c r="AK978" i="22"/>
  <c r="AN977" i="22"/>
  <c r="AN976" i="22"/>
  <c r="AN975" i="22"/>
  <c r="AE975" i="22"/>
  <c r="X975" i="22"/>
  <c r="AN974" i="22"/>
  <c r="AK974" i="22"/>
  <c r="AN973" i="22"/>
  <c r="AN972" i="22"/>
  <c r="AN971" i="22"/>
  <c r="AN970" i="22"/>
  <c r="AN969" i="22"/>
  <c r="AK969" i="22"/>
  <c r="AN968" i="22"/>
  <c r="AN967" i="22"/>
  <c r="AN966" i="22"/>
  <c r="AN965" i="22"/>
  <c r="AN964" i="22"/>
  <c r="AN963" i="22"/>
  <c r="AE963" i="22"/>
  <c r="X963" i="22"/>
  <c r="AN962" i="22"/>
  <c r="AK962" i="22"/>
  <c r="AN961" i="22"/>
  <c r="AN960" i="22"/>
  <c r="AN959" i="22"/>
  <c r="AE959" i="22"/>
  <c r="X959" i="22"/>
  <c r="AN958" i="22"/>
  <c r="AK958" i="22"/>
  <c r="AN957" i="22"/>
  <c r="AN956" i="22"/>
  <c r="AN955" i="22"/>
  <c r="AN954" i="22"/>
  <c r="AN953" i="22"/>
  <c r="AK953" i="22"/>
  <c r="AN952" i="22"/>
  <c r="AN951" i="22"/>
  <c r="AN950" i="22"/>
  <c r="AN949" i="22"/>
  <c r="AN948" i="22"/>
  <c r="AN947" i="22"/>
  <c r="AE947" i="22"/>
  <c r="X947" i="22"/>
  <c r="AN946" i="22"/>
  <c r="AK946" i="22"/>
  <c r="AN945" i="22"/>
  <c r="AN944" i="22"/>
  <c r="AN943" i="22"/>
  <c r="AE943" i="22"/>
  <c r="X943" i="22"/>
  <c r="AN942" i="22"/>
  <c r="AK942" i="22"/>
  <c r="AN941" i="22"/>
  <c r="AN940" i="22"/>
  <c r="AN939" i="22"/>
  <c r="AN938" i="22"/>
  <c r="AN937" i="22"/>
  <c r="AK937" i="22"/>
  <c r="AN936" i="22"/>
  <c r="AN935" i="22"/>
  <c r="AN934" i="22"/>
  <c r="AN933" i="22"/>
  <c r="AN932" i="22"/>
  <c r="AN931" i="22"/>
  <c r="AE931" i="22"/>
  <c r="X931" i="22"/>
  <c r="AN930" i="22"/>
  <c r="AK930" i="22"/>
  <c r="AN929" i="22"/>
  <c r="AN928" i="22"/>
  <c r="AN927" i="22"/>
  <c r="AE927" i="22"/>
  <c r="X927" i="22"/>
  <c r="AN926" i="22"/>
  <c r="AK926" i="22"/>
  <c r="AN925" i="22"/>
  <c r="AN924" i="22"/>
  <c r="AN923" i="22"/>
  <c r="AN922" i="22"/>
  <c r="AN921" i="22"/>
  <c r="AK921" i="22"/>
  <c r="AN920" i="22"/>
  <c r="AN919" i="22"/>
  <c r="AN918" i="22"/>
  <c r="AN917" i="22"/>
  <c r="AN916" i="22"/>
  <c r="AN915" i="22"/>
  <c r="AE915" i="22"/>
  <c r="X915" i="22"/>
  <c r="AN914" i="22"/>
  <c r="AK914" i="22"/>
  <c r="AN913" i="22"/>
  <c r="AN912" i="22"/>
  <c r="AN911" i="22"/>
  <c r="AE911" i="22"/>
  <c r="X911" i="22"/>
  <c r="AN910" i="22"/>
  <c r="AK910" i="22"/>
  <c r="AN909" i="22"/>
  <c r="AN908" i="22"/>
  <c r="AN907" i="22"/>
  <c r="AN906" i="22"/>
  <c r="AN905" i="22"/>
  <c r="AK905" i="22"/>
  <c r="AN904" i="22"/>
  <c r="AN903" i="22"/>
  <c r="AN902" i="22"/>
  <c r="AN901" i="22"/>
  <c r="AN900" i="22"/>
  <c r="AN899" i="22"/>
  <c r="AE899" i="22"/>
  <c r="X899" i="22"/>
  <c r="AN898" i="22"/>
  <c r="AK898" i="22"/>
  <c r="AN897" i="22"/>
  <c r="AN896" i="22"/>
  <c r="AN895" i="22"/>
  <c r="AE895" i="22"/>
  <c r="X895" i="22"/>
  <c r="AN894" i="22"/>
  <c r="AK894" i="22"/>
  <c r="AN893" i="22"/>
  <c r="AN892" i="22"/>
  <c r="AN891" i="22"/>
  <c r="AN890" i="22"/>
  <c r="AN889" i="22"/>
  <c r="AK889" i="22"/>
  <c r="AN888" i="22"/>
  <c r="AN887" i="22"/>
  <c r="AN886" i="22"/>
  <c r="AN885" i="22"/>
  <c r="AN884" i="22"/>
  <c r="AN883" i="22"/>
  <c r="AE883" i="22"/>
  <c r="X883" i="22"/>
  <c r="AN882" i="22"/>
  <c r="AK882" i="22"/>
  <c r="AN881" i="22"/>
  <c r="AN880" i="22"/>
  <c r="AN879" i="22"/>
  <c r="AE879" i="22"/>
  <c r="X879" i="22"/>
  <c r="AN878" i="22"/>
  <c r="AK878" i="22"/>
  <c r="AN877" i="22"/>
  <c r="AN876" i="22"/>
  <c r="AN875" i="22"/>
  <c r="AN874" i="22"/>
  <c r="AN873" i="22"/>
  <c r="AK873" i="22"/>
  <c r="AN872" i="22"/>
  <c r="AN871" i="22"/>
  <c r="AN870" i="22"/>
  <c r="AN869" i="22"/>
  <c r="AN868" i="22"/>
  <c r="AN867" i="22"/>
  <c r="AE867" i="22"/>
  <c r="X867" i="22"/>
  <c r="AN866" i="22"/>
  <c r="AK866" i="22"/>
  <c r="AN865" i="22"/>
  <c r="AN864" i="22"/>
  <c r="AN863" i="22"/>
  <c r="AE863" i="22"/>
  <c r="X863" i="22"/>
  <c r="AN862" i="22"/>
  <c r="AK862" i="22"/>
  <c r="AN861" i="22"/>
  <c r="AN860" i="22"/>
  <c r="AN859" i="22"/>
  <c r="AN858" i="22"/>
  <c r="AN857" i="22"/>
  <c r="AK857" i="22"/>
  <c r="AN856" i="22"/>
  <c r="AN855" i="22"/>
  <c r="AN854" i="22"/>
  <c r="AN853" i="22"/>
  <c r="AN852" i="22"/>
  <c r="AN851" i="22"/>
  <c r="AE851" i="22"/>
  <c r="X851" i="22"/>
  <c r="AN850" i="22"/>
  <c r="AK850" i="22"/>
  <c r="AN849" i="22"/>
  <c r="AN848" i="22"/>
  <c r="AN847" i="22"/>
  <c r="AE847" i="22"/>
  <c r="X847" i="22"/>
  <c r="AN846" i="22"/>
  <c r="AK846" i="22"/>
  <c r="AN845" i="22"/>
  <c r="AN844" i="22"/>
  <c r="AN843" i="22"/>
  <c r="AN842" i="22"/>
  <c r="AN841" i="22"/>
  <c r="AK841" i="22"/>
  <c r="AN840" i="22"/>
  <c r="AN839" i="22"/>
  <c r="AN838" i="22"/>
  <c r="AN837" i="22"/>
  <c r="AN836" i="22"/>
  <c r="AN835" i="22"/>
  <c r="AE835" i="22"/>
  <c r="X835" i="22"/>
  <c r="AN834" i="22"/>
  <c r="AK834" i="22"/>
  <c r="AN833" i="22"/>
  <c r="AN832" i="22"/>
  <c r="AN831" i="22"/>
  <c r="AE831" i="22"/>
  <c r="X831" i="22"/>
  <c r="AN830" i="22"/>
  <c r="AK830" i="22"/>
  <c r="AN829" i="22"/>
  <c r="AN828" i="22"/>
  <c r="AN827" i="22"/>
  <c r="AN826" i="22"/>
  <c r="AN825" i="22"/>
  <c r="AK825" i="22"/>
  <c r="AN824" i="22"/>
  <c r="AN823" i="22"/>
  <c r="AN822" i="22"/>
  <c r="AN821" i="22"/>
  <c r="AN820" i="22"/>
  <c r="AN819" i="22"/>
  <c r="AE819" i="22"/>
  <c r="X819" i="22"/>
  <c r="AN818" i="22"/>
  <c r="AK818" i="22"/>
  <c r="AN817" i="22"/>
  <c r="AN816" i="22"/>
  <c r="AN815" i="22"/>
  <c r="AE815" i="22"/>
  <c r="X815" i="22"/>
  <c r="AN814" i="22"/>
  <c r="AK814" i="22"/>
  <c r="AN813" i="22"/>
  <c r="AN812" i="22"/>
  <c r="AN811" i="22"/>
  <c r="AN810" i="22"/>
  <c r="AN809" i="22"/>
  <c r="AK809" i="22"/>
  <c r="AN808" i="22"/>
  <c r="AN807" i="22"/>
  <c r="AN806" i="22"/>
  <c r="AN805" i="22"/>
  <c r="AN804" i="22"/>
  <c r="AN803" i="22"/>
  <c r="AE803" i="22"/>
  <c r="X803" i="22"/>
  <c r="AN802" i="22"/>
  <c r="AK802" i="22"/>
  <c r="AN801" i="22"/>
  <c r="AN800" i="22"/>
  <c r="AN799" i="22"/>
  <c r="AE799" i="22"/>
  <c r="X799" i="22"/>
  <c r="AN798" i="22"/>
  <c r="AK798" i="22"/>
  <c r="AN797" i="22"/>
  <c r="AN796" i="22"/>
  <c r="AN795" i="22"/>
  <c r="AN794" i="22"/>
  <c r="AN793" i="22"/>
  <c r="AK793" i="22"/>
  <c r="AN792" i="22"/>
  <c r="AN791" i="22"/>
  <c r="AN790" i="22"/>
  <c r="AN789" i="22"/>
  <c r="AN788" i="22"/>
  <c r="AN787" i="22"/>
  <c r="AE787" i="22"/>
  <c r="X787" i="22"/>
  <c r="AN786" i="22"/>
  <c r="AK786" i="22"/>
  <c r="AN785" i="22"/>
  <c r="AN784" i="22"/>
  <c r="AN783" i="22"/>
  <c r="AE783" i="22"/>
  <c r="X783" i="22"/>
  <c r="AN782" i="22"/>
  <c r="AK782" i="22"/>
  <c r="AN781" i="22"/>
  <c r="AN780" i="22"/>
  <c r="AN779" i="22"/>
  <c r="AN778" i="22"/>
  <c r="AN777" i="22"/>
  <c r="AK777" i="22"/>
  <c r="AN776" i="22"/>
  <c r="AN775" i="22"/>
  <c r="AN774" i="22"/>
  <c r="AN773" i="22"/>
  <c r="AN772" i="22"/>
  <c r="AN771" i="22"/>
  <c r="AE771" i="22"/>
  <c r="X771" i="22"/>
  <c r="AN770" i="22"/>
  <c r="AK770" i="22"/>
  <c r="AN769" i="22"/>
  <c r="AN768" i="22"/>
  <c r="AN767" i="22"/>
  <c r="AE767" i="22"/>
  <c r="X767" i="22"/>
  <c r="AN766" i="22"/>
  <c r="AK766" i="22"/>
  <c r="AN765" i="22"/>
  <c r="AN764" i="22"/>
  <c r="AN763" i="22"/>
  <c r="AN762" i="22"/>
  <c r="AN761" i="22"/>
  <c r="AK761" i="22"/>
  <c r="AN760" i="22"/>
  <c r="AN759" i="22"/>
  <c r="AN758" i="22"/>
  <c r="AN757" i="22"/>
  <c r="AN756" i="22"/>
  <c r="AN755" i="22"/>
  <c r="AE755" i="22"/>
  <c r="X755" i="22"/>
  <c r="AN754" i="22"/>
  <c r="AK754" i="22"/>
  <c r="AN753" i="22"/>
  <c r="AN752" i="22"/>
  <c r="AN751" i="22"/>
  <c r="AE751" i="22"/>
  <c r="X751" i="22"/>
  <c r="AN750" i="22"/>
  <c r="AK750" i="22"/>
  <c r="AN749" i="22"/>
  <c r="AN748" i="22"/>
  <c r="AN747" i="22"/>
  <c r="AN746" i="22"/>
  <c r="AN745" i="22"/>
  <c r="AK745" i="22"/>
  <c r="AN744" i="22"/>
  <c r="AN743" i="22"/>
  <c r="AN742" i="22"/>
  <c r="AN741" i="22"/>
  <c r="AN740" i="22"/>
  <c r="AN739" i="22"/>
  <c r="AE739" i="22"/>
  <c r="X739" i="22"/>
  <c r="AN738" i="22"/>
  <c r="AK738" i="22"/>
  <c r="AN737" i="22"/>
  <c r="AN736" i="22"/>
  <c r="AN735" i="22"/>
  <c r="AE735" i="22"/>
  <c r="X735" i="22"/>
  <c r="AN734" i="22"/>
  <c r="AK734" i="22"/>
  <c r="AN733" i="22"/>
  <c r="AN732" i="22"/>
  <c r="AN731" i="22"/>
  <c r="AN730" i="22"/>
  <c r="AN729" i="22"/>
  <c r="AK729" i="22"/>
  <c r="AN728" i="22"/>
  <c r="AN727" i="22"/>
  <c r="AN726" i="22"/>
  <c r="AN725" i="22"/>
  <c r="AN724" i="22"/>
  <c r="AN723" i="22"/>
  <c r="AE723" i="22"/>
  <c r="X723" i="22"/>
  <c r="AN722" i="22"/>
  <c r="AK722" i="22"/>
  <c r="AN721" i="22"/>
  <c r="AN720" i="22"/>
  <c r="AN719" i="22"/>
  <c r="AE719" i="22"/>
  <c r="X719" i="22"/>
  <c r="AN718" i="22"/>
  <c r="AK718" i="22"/>
  <c r="AN717" i="22"/>
  <c r="AN716" i="22"/>
  <c r="AN715" i="22"/>
  <c r="AN714" i="22"/>
  <c r="AN713" i="22"/>
  <c r="AK713" i="22"/>
  <c r="AN712" i="22"/>
  <c r="AN711" i="22"/>
  <c r="AN710" i="22"/>
  <c r="AN709" i="22"/>
  <c r="AN708" i="22"/>
  <c r="AN707" i="22"/>
  <c r="AE707" i="22"/>
  <c r="X707" i="22"/>
  <c r="AN706" i="22"/>
  <c r="AK706" i="22"/>
  <c r="AN705" i="22"/>
  <c r="AN704" i="22"/>
  <c r="AN703" i="22"/>
  <c r="AE703" i="22"/>
  <c r="X703" i="22"/>
  <c r="AN702" i="22"/>
  <c r="AK702" i="22"/>
  <c r="AN701" i="22"/>
  <c r="AN700" i="22"/>
  <c r="AN699" i="22"/>
  <c r="AN698" i="22"/>
  <c r="AN697" i="22"/>
  <c r="AK697" i="22"/>
  <c r="AN696" i="22"/>
  <c r="AN695" i="22"/>
  <c r="AN694" i="22"/>
  <c r="AN693" i="22"/>
  <c r="AN692" i="22"/>
  <c r="AN691" i="22"/>
  <c r="AE691" i="22"/>
  <c r="X691" i="22"/>
  <c r="AN690" i="22"/>
  <c r="AK690" i="22"/>
  <c r="AN689" i="22"/>
  <c r="AN688" i="22"/>
  <c r="AN687" i="22"/>
  <c r="AE687" i="22"/>
  <c r="X687" i="22"/>
  <c r="AN686" i="22"/>
  <c r="AK686" i="22"/>
  <c r="AN685" i="22"/>
  <c r="AN684" i="22"/>
  <c r="AN683" i="22"/>
  <c r="AN682" i="22"/>
  <c r="AN681" i="22"/>
  <c r="AK681" i="22"/>
  <c r="AN680" i="22"/>
  <c r="AN679" i="22"/>
  <c r="AN678" i="22"/>
  <c r="AN677" i="22"/>
  <c r="AN676" i="22"/>
  <c r="AN675" i="22"/>
  <c r="AE675" i="22"/>
  <c r="X675" i="22"/>
  <c r="AN674" i="22"/>
  <c r="AK674" i="22"/>
  <c r="AN673" i="22"/>
  <c r="AN672" i="22"/>
  <c r="AN671" i="22"/>
  <c r="AE671" i="22"/>
  <c r="X671" i="22"/>
  <c r="AN670" i="22"/>
  <c r="AK670" i="22"/>
  <c r="AN669" i="22"/>
  <c r="AN668" i="22"/>
  <c r="AN667" i="22"/>
  <c r="AN666" i="22"/>
  <c r="AN665" i="22"/>
  <c r="AK665" i="22"/>
  <c r="AN664" i="22"/>
  <c r="AN663" i="22"/>
  <c r="AN662" i="22"/>
  <c r="AN661" i="22"/>
  <c r="AN660" i="22"/>
  <c r="AN659" i="22"/>
  <c r="AE659" i="22"/>
  <c r="X659" i="22"/>
  <c r="AN658" i="22"/>
  <c r="AK658" i="22"/>
  <c r="AN657" i="22"/>
  <c r="AN656" i="22"/>
  <c r="AN655" i="22"/>
  <c r="AE655" i="22"/>
  <c r="X655" i="22"/>
  <c r="AN654" i="22"/>
  <c r="AK654" i="22"/>
  <c r="AN653" i="22"/>
  <c r="AN652" i="22"/>
  <c r="AN651" i="22"/>
  <c r="AN650" i="22"/>
  <c r="AN649" i="22"/>
  <c r="AK649" i="22"/>
  <c r="AN648" i="22"/>
  <c r="AN647" i="22"/>
  <c r="AN646" i="22"/>
  <c r="AN645" i="22"/>
  <c r="AN644" i="22"/>
  <c r="AN643" i="22"/>
  <c r="AE643" i="22"/>
  <c r="X643" i="22"/>
  <c r="AN642" i="22"/>
  <c r="AK642" i="22"/>
  <c r="AN641" i="22"/>
  <c r="AN640" i="22"/>
  <c r="AN639" i="22"/>
  <c r="AE639" i="22"/>
  <c r="X639" i="22"/>
  <c r="AN638" i="22"/>
  <c r="AK638" i="22"/>
  <c r="AN637" i="22"/>
  <c r="AN636" i="22"/>
  <c r="AN635" i="22"/>
  <c r="AN634" i="22"/>
  <c r="AN633" i="22"/>
  <c r="AK633" i="22"/>
  <c r="AN632" i="22"/>
  <c r="AN631" i="22"/>
  <c r="AN630" i="22"/>
  <c r="AN629" i="22"/>
  <c r="AN628" i="22"/>
  <c r="AN627" i="22"/>
  <c r="AE627" i="22"/>
  <c r="X627" i="22"/>
  <c r="AN626" i="22"/>
  <c r="AK626" i="22"/>
  <c r="AN625" i="22"/>
  <c r="AN624" i="22"/>
  <c r="AN623" i="22"/>
  <c r="AE623" i="22"/>
  <c r="X623" i="22"/>
  <c r="AN622" i="22"/>
  <c r="AK622" i="22"/>
  <c r="AN621" i="22"/>
  <c r="AN620" i="22"/>
  <c r="AN619" i="22"/>
  <c r="AN618" i="22"/>
  <c r="AN617" i="22"/>
  <c r="AK617" i="22"/>
  <c r="AN616" i="22"/>
  <c r="AN615" i="22"/>
  <c r="AN614" i="22"/>
  <c r="AN613" i="22"/>
  <c r="AN612" i="22"/>
  <c r="AN611" i="22"/>
  <c r="AE611" i="22"/>
  <c r="X611" i="22"/>
  <c r="AN610" i="22"/>
  <c r="AK610" i="22"/>
  <c r="AN609" i="22"/>
  <c r="AN608" i="22"/>
  <c r="AN607" i="22"/>
  <c r="AE607" i="22"/>
  <c r="X607" i="22"/>
  <c r="AN606" i="22"/>
  <c r="AK606" i="22"/>
  <c r="AN605" i="22"/>
  <c r="AN604" i="22"/>
  <c r="AN603" i="22"/>
  <c r="AN602" i="22"/>
  <c r="AN601" i="22"/>
  <c r="AK601" i="22"/>
  <c r="AN600" i="22"/>
  <c r="AN599" i="22"/>
  <c r="AN598" i="22"/>
  <c r="AN597" i="22"/>
  <c r="AN596" i="22"/>
  <c r="AN595" i="22"/>
  <c r="AE595" i="22"/>
  <c r="X595" i="22"/>
  <c r="AN594" i="22"/>
  <c r="AK594" i="22"/>
  <c r="AN593" i="22"/>
  <c r="AN592" i="22"/>
  <c r="AN591" i="22"/>
  <c r="AE591" i="22"/>
  <c r="X591" i="22"/>
  <c r="AN590" i="22"/>
  <c r="AK590" i="22"/>
  <c r="AN589" i="22"/>
  <c r="AN588" i="22"/>
  <c r="AN587" i="22"/>
  <c r="AN586" i="22"/>
  <c r="AN585" i="22"/>
  <c r="AK585" i="22"/>
  <c r="AN584" i="22"/>
  <c r="AN583" i="22"/>
  <c r="AN582" i="22"/>
  <c r="AN581" i="22"/>
  <c r="AN580" i="22"/>
  <c r="AN579" i="22"/>
  <c r="AE579" i="22"/>
  <c r="X579" i="22"/>
  <c r="AN578" i="22"/>
  <c r="AK578" i="22"/>
  <c r="AN577" i="22"/>
  <c r="AN576" i="22"/>
  <c r="AN575" i="22"/>
  <c r="AE575" i="22"/>
  <c r="X575" i="22"/>
  <c r="AN574" i="22"/>
  <c r="AK574" i="22"/>
  <c r="AN573" i="22"/>
  <c r="AN572" i="22"/>
  <c r="AN571" i="22"/>
  <c r="AN570" i="22"/>
  <c r="AN569" i="22"/>
  <c r="AK569" i="22"/>
  <c r="AN568" i="22"/>
  <c r="AN567" i="22"/>
  <c r="AN566" i="22"/>
  <c r="AN565" i="22"/>
  <c r="AN564" i="22"/>
  <c r="AN563" i="22"/>
  <c r="AE563" i="22"/>
  <c r="X563" i="22"/>
  <c r="AN562" i="22"/>
  <c r="AK562" i="22"/>
  <c r="AN561" i="22"/>
  <c r="AN560" i="22"/>
  <c r="AN559" i="22"/>
  <c r="AE559" i="22"/>
  <c r="X559" i="22"/>
  <c r="AN558" i="22"/>
  <c r="AK558" i="22"/>
  <c r="AN557" i="22"/>
  <c r="AN556" i="22"/>
  <c r="AN555" i="22"/>
  <c r="AN554" i="22"/>
  <c r="AN553" i="22"/>
  <c r="AK553" i="22"/>
  <c r="AN552" i="22"/>
  <c r="AN551" i="22"/>
  <c r="AN550" i="22"/>
  <c r="AN549" i="22"/>
  <c r="AN548" i="22"/>
  <c r="AN547" i="22"/>
  <c r="AE547" i="22"/>
  <c r="X547" i="22"/>
  <c r="AN546" i="22"/>
  <c r="AK546" i="22"/>
  <c r="AN545" i="22"/>
  <c r="AN544" i="22"/>
  <c r="AN543" i="22"/>
  <c r="AE543" i="22"/>
  <c r="X543" i="22"/>
  <c r="AN542" i="22"/>
  <c r="AK542" i="22"/>
  <c r="AN541" i="22"/>
  <c r="AN540" i="22"/>
  <c r="AN539" i="22"/>
  <c r="AN538" i="22"/>
  <c r="AN537" i="22"/>
  <c r="AK537" i="22"/>
  <c r="AN536" i="22"/>
  <c r="AN535" i="22"/>
  <c r="AN534" i="22"/>
  <c r="AN533" i="22"/>
  <c r="AN532" i="22"/>
  <c r="AN531" i="22"/>
  <c r="AE531" i="22"/>
  <c r="X531" i="22"/>
  <c r="AN530" i="22"/>
  <c r="AK530" i="22"/>
  <c r="AN529" i="22"/>
  <c r="AN528" i="22"/>
  <c r="AN527" i="22"/>
  <c r="AE527" i="22"/>
  <c r="X527" i="22"/>
  <c r="AN526" i="22"/>
  <c r="AK526" i="22"/>
  <c r="AN525" i="22"/>
  <c r="AN524" i="22"/>
  <c r="AN523" i="22"/>
  <c r="AN522" i="22"/>
  <c r="AN521" i="22"/>
  <c r="AK521" i="22"/>
  <c r="AN520" i="22"/>
  <c r="AN519" i="22"/>
  <c r="AN518" i="22"/>
  <c r="AN517" i="22"/>
  <c r="AN516" i="22"/>
  <c r="AN515" i="22"/>
  <c r="AE515" i="22"/>
  <c r="X515" i="22"/>
  <c r="AN514" i="22"/>
  <c r="AK514" i="22"/>
  <c r="AN513" i="22"/>
  <c r="AN512" i="22"/>
  <c r="AN511" i="22"/>
  <c r="AE511" i="22"/>
  <c r="X511" i="22"/>
  <c r="AN510" i="22"/>
  <c r="AK510" i="22"/>
  <c r="AN509" i="22"/>
  <c r="AN508" i="22"/>
  <c r="AN507" i="22"/>
  <c r="AN506" i="22"/>
  <c r="AN505" i="22"/>
  <c r="AK505" i="22"/>
  <c r="AN504" i="22"/>
  <c r="AN503" i="22"/>
  <c r="AN502" i="22"/>
  <c r="AN501" i="22"/>
  <c r="AN500" i="22"/>
  <c r="AN499" i="22"/>
  <c r="AE499" i="22"/>
  <c r="X499" i="22"/>
  <c r="AN498" i="22"/>
  <c r="AK498" i="22"/>
  <c r="AN497" i="22"/>
  <c r="AN496" i="22"/>
  <c r="AN495" i="22"/>
  <c r="AE495" i="22"/>
  <c r="X495" i="22"/>
  <c r="AN494" i="22"/>
  <c r="AK494" i="22"/>
  <c r="AN493" i="22"/>
  <c r="AN492" i="22"/>
  <c r="AN491" i="22"/>
  <c r="AN490" i="22"/>
  <c r="AN489" i="22"/>
  <c r="AK489" i="22"/>
  <c r="AN488" i="22"/>
  <c r="AN487" i="22"/>
  <c r="AN486" i="22"/>
  <c r="AN485" i="22"/>
  <c r="AN484" i="22"/>
  <c r="AN483" i="22"/>
  <c r="AE483" i="22"/>
  <c r="X483" i="22"/>
  <c r="AN482" i="22"/>
  <c r="AK482" i="22"/>
  <c r="AN481" i="22"/>
  <c r="AN480" i="22"/>
  <c r="AN479" i="22"/>
  <c r="AE479" i="22"/>
  <c r="X479" i="22"/>
  <c r="AN478" i="22"/>
  <c r="AK478" i="22"/>
  <c r="AN477" i="22"/>
  <c r="AN476" i="22"/>
  <c r="AN475" i="22"/>
  <c r="AN474" i="22"/>
  <c r="AN473" i="22"/>
  <c r="AK473" i="22"/>
  <c r="AN472" i="22"/>
  <c r="AN471" i="22"/>
  <c r="AN470" i="22"/>
  <c r="AN469" i="22"/>
  <c r="AN468" i="22"/>
  <c r="AN467" i="22"/>
  <c r="AE467" i="22"/>
  <c r="X467" i="22"/>
  <c r="AN466" i="22"/>
  <c r="AK466" i="22"/>
  <c r="AN465" i="22"/>
  <c r="AN464" i="22"/>
  <c r="AN463" i="22"/>
  <c r="AE463" i="22"/>
  <c r="X463" i="22"/>
  <c r="AN462" i="22"/>
  <c r="AK462" i="22"/>
  <c r="AN461" i="22"/>
  <c r="AN460" i="22"/>
  <c r="AN459" i="22"/>
  <c r="AN458" i="22"/>
  <c r="AN457" i="22"/>
  <c r="AK457" i="22"/>
  <c r="AN456" i="22"/>
  <c r="AN455" i="22"/>
  <c r="AN454" i="22"/>
  <c r="AN453" i="22"/>
  <c r="AN452" i="22"/>
  <c r="AN451" i="22"/>
  <c r="AE451" i="22"/>
  <c r="X451" i="22"/>
  <c r="AN450" i="22"/>
  <c r="AK450" i="22"/>
  <c r="AN449" i="22"/>
  <c r="AN448" i="22"/>
  <c r="AN447" i="22"/>
  <c r="AE447" i="22"/>
  <c r="X447" i="22"/>
  <c r="AN446" i="22"/>
  <c r="AK446" i="22"/>
  <c r="AN445" i="22"/>
  <c r="AN444" i="22"/>
  <c r="AN443" i="22"/>
  <c r="AN442" i="22"/>
  <c r="AN441" i="22"/>
  <c r="AK441" i="22"/>
  <c r="AN440" i="22"/>
  <c r="AN439" i="22"/>
  <c r="AN438" i="22"/>
  <c r="AN437" i="22"/>
  <c r="AN436" i="22"/>
  <c r="AN435" i="22"/>
  <c r="AE435" i="22"/>
  <c r="X435" i="22"/>
  <c r="AN434" i="22"/>
  <c r="AK434" i="22"/>
  <c r="AN433" i="22"/>
  <c r="AN432" i="22"/>
  <c r="AN431" i="22"/>
  <c r="AE431" i="22"/>
  <c r="X431" i="22"/>
  <c r="AN430" i="22"/>
  <c r="AK430" i="22"/>
  <c r="AN429" i="22"/>
  <c r="AN428" i="22"/>
  <c r="AN427" i="22"/>
  <c r="AN426" i="22"/>
  <c r="AN425" i="22"/>
  <c r="AK425" i="22"/>
  <c r="AN424" i="22"/>
  <c r="AN423" i="22"/>
  <c r="AN422" i="22"/>
  <c r="AN421" i="22"/>
  <c r="AN420" i="22"/>
  <c r="AN419" i="22"/>
  <c r="AE419" i="22"/>
  <c r="X419" i="22"/>
  <c r="AN418" i="22"/>
  <c r="AK418" i="22"/>
  <c r="AN417" i="22"/>
  <c r="AN416" i="22"/>
  <c r="AN415" i="22"/>
  <c r="AE415" i="22"/>
  <c r="X415" i="22"/>
  <c r="AN414" i="22"/>
  <c r="AK414" i="22"/>
  <c r="AN413" i="22"/>
  <c r="AN412" i="22"/>
  <c r="AN411" i="22"/>
  <c r="AN410" i="22"/>
  <c r="AN409" i="22"/>
  <c r="AK409" i="22"/>
  <c r="AN408" i="22"/>
  <c r="AN407" i="22"/>
  <c r="AN406" i="22"/>
  <c r="AN405" i="22"/>
  <c r="AN404" i="22"/>
  <c r="AN403" i="22"/>
  <c r="AE403" i="22"/>
  <c r="X403" i="22"/>
  <c r="AN402" i="22"/>
  <c r="AK402" i="22"/>
  <c r="AN401" i="22"/>
  <c r="AN400" i="22"/>
  <c r="AN399" i="22"/>
  <c r="AE399" i="22"/>
  <c r="X399" i="22"/>
  <c r="AN398" i="22"/>
  <c r="AK398" i="22"/>
  <c r="AN397" i="22"/>
  <c r="AN396" i="22"/>
  <c r="AN395" i="22"/>
  <c r="AN394" i="22"/>
  <c r="AN393" i="22"/>
  <c r="AK393" i="22"/>
  <c r="AN392" i="22"/>
  <c r="AN391" i="22"/>
  <c r="AN390" i="22"/>
  <c r="AN389" i="22"/>
  <c r="AN388" i="22"/>
  <c r="AN387" i="22"/>
  <c r="AE387" i="22"/>
  <c r="X387" i="22"/>
  <c r="AN386" i="22"/>
  <c r="AK386" i="22"/>
  <c r="AN385" i="22"/>
  <c r="AN384" i="22"/>
  <c r="AN383" i="22"/>
  <c r="AE383" i="22"/>
  <c r="X383" i="22"/>
  <c r="AN382" i="22"/>
  <c r="AK382" i="22"/>
  <c r="AN381" i="22"/>
  <c r="AN380" i="22"/>
  <c r="AN379" i="22"/>
  <c r="AN378" i="22"/>
  <c r="AN377" i="22"/>
  <c r="AK377" i="22"/>
  <c r="AN376" i="22"/>
  <c r="AN375" i="22"/>
  <c r="AN374" i="22"/>
  <c r="AN373" i="22"/>
  <c r="AN372" i="22"/>
  <c r="AN371" i="22"/>
  <c r="AE371" i="22"/>
  <c r="X371" i="22"/>
  <c r="AN370" i="22"/>
  <c r="AK370" i="22"/>
  <c r="AN369" i="22"/>
  <c r="AN368" i="22"/>
  <c r="AN367" i="22"/>
  <c r="AE367" i="22"/>
  <c r="X367" i="22"/>
  <c r="AN366" i="22"/>
  <c r="AK366" i="22"/>
  <c r="AN365" i="22"/>
  <c r="AN364" i="22"/>
  <c r="AN363" i="22"/>
  <c r="AN362" i="22"/>
  <c r="AN361" i="22"/>
  <c r="AK361" i="22"/>
  <c r="AN360" i="22"/>
  <c r="AN359" i="22"/>
  <c r="AN358" i="22"/>
  <c r="AN357" i="22"/>
  <c r="AN356" i="22"/>
  <c r="AN355" i="22"/>
  <c r="AE355" i="22"/>
  <c r="X355" i="22"/>
  <c r="AN354" i="22"/>
  <c r="AK354" i="22"/>
  <c r="AN353" i="22"/>
  <c r="AN352" i="22"/>
  <c r="AN351" i="22"/>
  <c r="AE351" i="22"/>
  <c r="X351" i="22"/>
  <c r="AN350" i="22"/>
  <c r="AK350" i="22"/>
  <c r="AN349" i="22"/>
  <c r="AN348" i="22"/>
  <c r="AN347" i="22"/>
  <c r="AN346" i="22"/>
  <c r="AN345" i="22"/>
  <c r="AK345" i="22"/>
  <c r="AN344" i="22"/>
  <c r="AN343" i="22"/>
  <c r="AN342" i="22"/>
  <c r="AN341" i="22"/>
  <c r="AN340" i="22"/>
  <c r="AN339" i="22"/>
  <c r="AE339" i="22"/>
  <c r="X339" i="22"/>
  <c r="AN338" i="22"/>
  <c r="AK338" i="22"/>
  <c r="AN337" i="22"/>
  <c r="AN336" i="22"/>
  <c r="AN335" i="22"/>
  <c r="AE335" i="22"/>
  <c r="X335" i="22"/>
  <c r="AN334" i="22"/>
  <c r="AK334" i="22"/>
  <c r="AN333" i="22"/>
  <c r="AN332" i="22"/>
  <c r="AN331" i="22"/>
  <c r="AN330" i="22"/>
  <c r="AN329" i="22"/>
  <c r="AK329" i="22"/>
  <c r="AN328" i="22"/>
  <c r="AN327" i="22"/>
  <c r="AN326" i="22"/>
  <c r="AN325" i="22"/>
  <c r="AN324" i="22"/>
  <c r="AN323" i="22"/>
  <c r="AE323" i="22"/>
  <c r="X323" i="22"/>
  <c r="AN322" i="22"/>
  <c r="AK322" i="22"/>
  <c r="AN321" i="22"/>
  <c r="AN320" i="22"/>
  <c r="AN319" i="22"/>
  <c r="AE319" i="22"/>
  <c r="X319" i="22"/>
  <c r="AN318" i="22"/>
  <c r="AK318" i="22"/>
  <c r="AN317" i="22"/>
  <c r="AN316" i="22"/>
  <c r="AN315" i="22"/>
  <c r="AN314" i="22"/>
  <c r="AN313" i="22"/>
  <c r="AK313" i="22"/>
  <c r="AN312" i="22"/>
  <c r="AN311" i="22"/>
  <c r="AN310" i="22"/>
  <c r="AN309" i="22"/>
  <c r="AN308" i="22"/>
  <c r="AN307" i="22"/>
  <c r="AE307" i="22"/>
  <c r="X307" i="22"/>
  <c r="AN306" i="22"/>
  <c r="AK306" i="22"/>
  <c r="AN305" i="22"/>
  <c r="AN304" i="22"/>
  <c r="AN303" i="22"/>
  <c r="AE303" i="22"/>
  <c r="X303" i="22"/>
  <c r="AN302" i="22"/>
  <c r="AK302" i="22"/>
  <c r="AN301" i="22"/>
  <c r="AN300" i="22"/>
  <c r="AN299" i="22"/>
  <c r="AN298" i="22"/>
  <c r="AN297" i="22"/>
  <c r="AK297" i="22"/>
  <c r="AN296" i="22"/>
  <c r="AN295" i="22"/>
  <c r="AN294" i="22"/>
  <c r="AN293" i="22"/>
  <c r="AN292" i="22"/>
  <c r="AN291" i="22"/>
  <c r="AE291" i="22"/>
  <c r="X291" i="22"/>
  <c r="AN290" i="22"/>
  <c r="AK290" i="22"/>
  <c r="AN289" i="22"/>
  <c r="AN288" i="22"/>
  <c r="AN287" i="22"/>
  <c r="AE287" i="22"/>
  <c r="X287" i="22"/>
  <c r="AN286" i="22"/>
  <c r="AK286" i="22"/>
  <c r="AN285" i="22"/>
  <c r="AN284" i="22"/>
  <c r="AN283" i="22"/>
  <c r="AN282" i="22"/>
  <c r="AN281" i="22"/>
  <c r="AK281" i="22"/>
  <c r="AN280" i="22"/>
  <c r="AN279" i="22"/>
  <c r="AN278" i="22"/>
  <c r="AN277" i="22"/>
  <c r="AN276" i="22"/>
  <c r="AN275" i="22"/>
  <c r="AE275" i="22"/>
  <c r="X275" i="22"/>
  <c r="AN274" i="22"/>
  <c r="AK274" i="22"/>
  <c r="AN273" i="22"/>
  <c r="AN272" i="22"/>
  <c r="AN271" i="22"/>
  <c r="AE271" i="22"/>
  <c r="X271" i="22"/>
  <c r="AN270" i="22"/>
  <c r="AK270" i="22"/>
  <c r="AN269" i="22"/>
  <c r="AN268" i="22"/>
  <c r="AN267" i="22"/>
  <c r="AN266" i="22"/>
  <c r="AN265" i="22"/>
  <c r="AK265" i="22"/>
  <c r="AN264" i="22"/>
  <c r="AN263" i="22"/>
  <c r="AN262" i="22"/>
  <c r="AN261" i="22"/>
  <c r="AN260" i="22"/>
  <c r="AN259" i="22"/>
  <c r="AE259" i="22"/>
  <c r="X259" i="22"/>
  <c r="AN258" i="22"/>
  <c r="AK258" i="22"/>
  <c r="AN257" i="22"/>
  <c r="AN256" i="22"/>
  <c r="AN255" i="22"/>
  <c r="AE255" i="22"/>
  <c r="X255" i="22"/>
  <c r="AN254" i="22"/>
  <c r="AK254" i="22"/>
  <c r="AN253" i="22"/>
  <c r="AN252" i="22"/>
  <c r="AN251" i="22"/>
  <c r="AN250" i="22"/>
  <c r="AN249" i="22"/>
  <c r="AK249" i="22"/>
  <c r="AN248" i="22"/>
  <c r="AN247" i="22"/>
  <c r="AN246" i="22"/>
  <c r="AN245" i="22"/>
  <c r="AN244" i="22"/>
  <c r="AN243" i="22"/>
  <c r="AE243" i="22"/>
  <c r="X243" i="22"/>
  <c r="AN242" i="22"/>
  <c r="AK242" i="22"/>
  <c r="AN241" i="22"/>
  <c r="AN240" i="22"/>
  <c r="AN239" i="22"/>
  <c r="AE239" i="22"/>
  <c r="X239" i="22"/>
  <c r="AN238" i="22"/>
  <c r="AK238" i="22"/>
  <c r="AN237" i="22"/>
  <c r="AN236" i="22"/>
  <c r="AN235" i="22"/>
  <c r="AN234" i="22"/>
  <c r="AN233" i="22"/>
  <c r="AK233" i="22"/>
  <c r="AN232" i="22"/>
  <c r="AN231" i="22"/>
  <c r="AN230" i="22"/>
  <c r="AN229" i="22"/>
  <c r="AN228" i="22"/>
  <c r="AN227" i="22"/>
  <c r="AE227" i="22"/>
  <c r="X227" i="22"/>
  <c r="AN226" i="22"/>
  <c r="AK226" i="22"/>
  <c r="AN225" i="22"/>
  <c r="AN224" i="22"/>
  <c r="AN223" i="22"/>
  <c r="AE223" i="22"/>
  <c r="X223" i="22"/>
  <c r="AN222" i="22"/>
  <c r="AK222" i="22"/>
  <c r="AN221" i="22"/>
  <c r="AN220" i="22"/>
  <c r="AN219" i="22"/>
  <c r="AN218" i="22"/>
  <c r="AN217" i="22"/>
  <c r="AK217" i="22"/>
  <c r="AN216" i="22"/>
  <c r="AN215" i="22"/>
  <c r="AN214" i="22"/>
  <c r="AN213" i="22"/>
  <c r="AN212" i="22"/>
  <c r="AN211" i="22"/>
  <c r="AE211" i="22"/>
  <c r="X211" i="22"/>
  <c r="AN210" i="22"/>
  <c r="AK210" i="22"/>
  <c r="AN209" i="22"/>
  <c r="AN208" i="22"/>
  <c r="AN207" i="22"/>
  <c r="AE207" i="22"/>
  <c r="X207" i="22"/>
  <c r="AN206" i="22"/>
  <c r="AK206" i="22"/>
  <c r="AN205" i="22"/>
  <c r="AN204" i="22"/>
  <c r="AN203" i="22"/>
  <c r="AN202" i="22"/>
  <c r="AN201" i="22"/>
  <c r="AK201" i="22"/>
  <c r="AN200" i="22"/>
  <c r="AN199" i="22"/>
  <c r="AN198" i="22"/>
  <c r="AN197" i="22"/>
  <c r="AN196" i="22"/>
  <c r="AN195" i="22"/>
  <c r="AE195" i="22"/>
  <c r="X195" i="22"/>
  <c r="AN194" i="22"/>
  <c r="AK194" i="22"/>
  <c r="AN193" i="22"/>
  <c r="AN192" i="22"/>
  <c r="AN191" i="22"/>
  <c r="AE191" i="22"/>
  <c r="X191" i="22"/>
  <c r="AN190" i="22"/>
  <c r="AK190" i="22"/>
  <c r="AN189" i="22"/>
  <c r="AN188" i="22"/>
  <c r="AN187" i="22"/>
  <c r="AN186" i="22"/>
  <c r="AN185" i="22"/>
  <c r="AK185" i="22"/>
  <c r="AN184" i="22"/>
  <c r="AN183" i="22"/>
  <c r="AN182" i="22"/>
  <c r="AN181" i="22"/>
  <c r="AN180" i="22"/>
  <c r="AN179" i="22"/>
  <c r="AE179" i="22"/>
  <c r="X179" i="22"/>
  <c r="AN178" i="22"/>
  <c r="AK178" i="22"/>
  <c r="AN177" i="22"/>
  <c r="AN176" i="22"/>
  <c r="AN175" i="22"/>
  <c r="AE175" i="22"/>
  <c r="X175" i="22"/>
  <c r="AN174" i="22"/>
  <c r="AK174" i="22"/>
  <c r="AN173" i="22"/>
  <c r="AN172" i="22"/>
  <c r="AN171" i="22"/>
  <c r="AN170" i="22"/>
  <c r="AN169" i="22"/>
  <c r="AK169" i="22"/>
  <c r="AN168" i="22"/>
  <c r="AN167" i="22"/>
  <c r="AN166" i="22"/>
  <c r="AN165" i="22"/>
  <c r="AN164" i="22"/>
  <c r="AN163" i="22"/>
  <c r="AE163" i="22"/>
  <c r="X163" i="22"/>
  <c r="AN162" i="22"/>
  <c r="AK162" i="22"/>
  <c r="AN161" i="22"/>
  <c r="AN160" i="22"/>
  <c r="AN159" i="22"/>
  <c r="AE159" i="22"/>
  <c r="X159" i="22"/>
  <c r="AN158" i="22"/>
  <c r="AK158" i="22"/>
  <c r="AN157" i="22"/>
  <c r="AN156" i="22"/>
  <c r="AN155" i="22"/>
  <c r="AN154" i="22"/>
  <c r="AN153" i="22"/>
  <c r="AK153" i="22"/>
  <c r="AN152" i="22"/>
  <c r="AN151" i="22"/>
  <c r="AN150" i="22"/>
  <c r="AN149" i="22"/>
  <c r="AN148" i="22"/>
  <c r="AN147" i="22"/>
  <c r="AE147" i="22"/>
  <c r="X147" i="22"/>
  <c r="AN146" i="22"/>
  <c r="AK146" i="22"/>
  <c r="AN145" i="22"/>
  <c r="AN144" i="22"/>
  <c r="AN143" i="22"/>
  <c r="AE143" i="22"/>
  <c r="X143" i="22"/>
  <c r="AN142" i="22"/>
  <c r="AK142" i="22"/>
  <c r="AN141" i="22"/>
  <c r="AN140" i="22"/>
  <c r="AN139" i="22"/>
  <c r="AN138" i="22"/>
  <c r="AN137" i="22"/>
  <c r="AK137" i="22"/>
  <c r="AN136" i="22"/>
  <c r="AN135" i="22"/>
  <c r="AN134" i="22"/>
  <c r="AN133" i="22"/>
  <c r="AN132" i="22"/>
  <c r="AN131" i="22"/>
  <c r="AE131" i="22"/>
  <c r="X131" i="22"/>
  <c r="AN130" i="22"/>
  <c r="AK130" i="22"/>
  <c r="AN129" i="22"/>
  <c r="AN128" i="22"/>
  <c r="AN127" i="22"/>
  <c r="AE127" i="22"/>
  <c r="X127" i="22"/>
  <c r="AN126" i="22"/>
  <c r="AK126" i="22"/>
  <c r="AN125" i="22"/>
  <c r="AN124" i="22"/>
  <c r="AN123" i="22"/>
  <c r="AN122" i="22"/>
  <c r="AN121" i="22"/>
  <c r="AK121" i="22"/>
  <c r="AN120" i="22"/>
  <c r="AN119" i="22"/>
  <c r="AN118" i="22"/>
  <c r="AN117" i="22"/>
  <c r="AN116" i="22"/>
  <c r="AN115" i="22"/>
  <c r="AE115" i="22"/>
  <c r="X115" i="22"/>
  <c r="AN114" i="22"/>
  <c r="AK114" i="22"/>
  <c r="AN113" i="22"/>
  <c r="AN112" i="22"/>
  <c r="AN111" i="22"/>
  <c r="AE111" i="22"/>
  <c r="X111" i="22"/>
  <c r="AN110" i="22"/>
  <c r="AK110" i="22"/>
  <c r="AN109" i="22"/>
  <c r="AN108" i="22"/>
  <c r="AN107" i="22"/>
  <c r="AN106" i="22"/>
  <c r="AN105" i="22"/>
  <c r="AK105" i="22"/>
  <c r="AN104" i="22"/>
  <c r="AN103" i="22"/>
  <c r="AN102" i="22"/>
  <c r="AN101" i="22"/>
  <c r="AN100" i="22"/>
  <c r="AN99" i="22"/>
  <c r="AE99" i="22"/>
  <c r="X99" i="22"/>
  <c r="AN98" i="22"/>
  <c r="AK98" i="22"/>
  <c r="AN97" i="22"/>
  <c r="AN96" i="22"/>
  <c r="AN95" i="22"/>
  <c r="AE95" i="22"/>
  <c r="X95" i="22"/>
  <c r="AN94" i="22"/>
  <c r="AK94" i="22"/>
  <c r="AN93" i="22"/>
  <c r="AN92" i="22"/>
  <c r="AN91" i="22"/>
  <c r="AN90" i="22"/>
  <c r="AN89" i="22"/>
  <c r="AK89" i="22"/>
  <c r="AN88" i="22"/>
  <c r="AN87" i="22"/>
  <c r="AN86" i="22"/>
  <c r="AN85" i="22"/>
  <c r="AN84" i="22"/>
  <c r="AN83" i="22"/>
  <c r="AE83" i="22"/>
  <c r="X83" i="22"/>
  <c r="AN82" i="22"/>
  <c r="AK82" i="22"/>
  <c r="AN81" i="22"/>
  <c r="AN80" i="22"/>
  <c r="AN79" i="22"/>
  <c r="AE79" i="22"/>
  <c r="X79" i="22"/>
  <c r="AN78" i="22"/>
  <c r="AK78" i="22"/>
  <c r="AN77" i="22"/>
  <c r="AN76" i="22"/>
  <c r="AN75" i="22"/>
  <c r="AN74" i="22"/>
  <c r="AN73" i="22"/>
  <c r="AK73" i="22"/>
  <c r="AN72" i="22"/>
  <c r="AN71" i="22"/>
  <c r="AN70" i="22"/>
  <c r="AN69" i="22"/>
  <c r="AN68" i="22"/>
  <c r="AN67" i="22"/>
  <c r="AE67" i="22"/>
  <c r="X67" i="22"/>
  <c r="AN66" i="22"/>
  <c r="AK66" i="22"/>
  <c r="AN65" i="22"/>
  <c r="AN64" i="22"/>
  <c r="AN63" i="22"/>
  <c r="AE63" i="22"/>
  <c r="X63" i="22"/>
  <c r="AN62" i="22"/>
  <c r="AK62" i="22"/>
  <c r="AN61" i="22"/>
  <c r="AN60" i="22"/>
  <c r="AN59" i="22"/>
  <c r="AN58" i="22"/>
  <c r="AN57" i="22"/>
  <c r="AK57" i="22"/>
  <c r="AN56" i="22"/>
  <c r="AN55" i="22"/>
  <c r="AN54" i="22"/>
  <c r="AN53" i="22"/>
  <c r="AN52" i="22"/>
  <c r="AN51" i="22"/>
  <c r="AE51" i="22"/>
  <c r="X51" i="22"/>
  <c r="AN50" i="22"/>
  <c r="AK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V40" i="19"/>
  <c r="W40" i="19" s="1"/>
  <c r="X40" i="19" s="1"/>
  <c r="Y40" i="19" s="1"/>
  <c r="Z40" i="19" s="1"/>
  <c r="AB40" i="19" s="1"/>
  <c r="AC40" i="19" s="1"/>
  <c r="AD40" i="19" s="1"/>
  <c r="AE40" i="19" s="1"/>
  <c r="AF40" i="19" s="1"/>
  <c r="AG40" i="19" s="1"/>
  <c r="AI40" i="19" s="1"/>
  <c r="AJ40" i="19" s="1"/>
  <c r="AK40" i="19" s="1"/>
  <c r="U40" i="19"/>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V44" i="18"/>
  <c r="W44" i="18" s="1"/>
  <c r="X44" i="18" s="1"/>
  <c r="Y44" i="18" s="1"/>
  <c r="AA44" i="18" s="1"/>
  <c r="AB44" i="18" s="1"/>
  <c r="U44" i="18"/>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K8" i="18" s="1"/>
  <c r="S8"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G51" i="17"/>
  <c r="AT50" i="17"/>
  <c r="AT49" i="17"/>
  <c r="AQ49" i="17"/>
  <c r="U49" i="17"/>
  <c r="AK48" i="17"/>
  <c r="AL48" i="17" s="1"/>
  <c r="AM48" i="17" s="1"/>
  <c r="AO48" i="17" s="1"/>
  <c r="AP48" i="17" s="1"/>
  <c r="AQ48" i="17" s="1"/>
  <c r="AJ48" i="17"/>
  <c r="AB48" i="17"/>
  <c r="AC48" i="17" s="1"/>
  <c r="AD48" i="17" s="1"/>
  <c r="AF48" i="17" s="1"/>
  <c r="AG48" i="17" s="1"/>
  <c r="AA48" i="17"/>
  <c r="X48" i="17"/>
  <c r="W48" i="17"/>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I6" i="17"/>
  <c r="J7"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D45" i="16"/>
  <c r="AP44" i="16"/>
  <c r="AP43" i="16"/>
  <c r="AM43" i="16"/>
  <c r="S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S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S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D32" i="7"/>
  <c r="A32" i="7"/>
  <c r="G28" i="7"/>
  <c r="G27" i="7"/>
  <c r="G26" i="7"/>
  <c r="E18" i="7"/>
  <c r="G17" i="7"/>
  <c r="E17" i="7"/>
  <c r="G16" i="7"/>
  <c r="E16" i="7"/>
  <c r="F15" i="7"/>
  <c r="F14" i="7"/>
  <c r="G13" i="7"/>
  <c r="E13" i="7"/>
  <c r="E12" i="7"/>
  <c r="F11" i="7"/>
  <c r="D5" i="7"/>
  <c r="D5" i="6"/>
  <c r="AQ392" i="5"/>
  <c r="AP392" i="5"/>
  <c r="S48" i="26" s="1"/>
  <c r="K52" i="26" s="1"/>
  <c r="S52" i="26" s="1"/>
  <c r="AO392" i="5"/>
  <c r="S47" i="26" s="1"/>
  <c r="AN392" i="5"/>
  <c r="S46" i="26" s="1"/>
  <c r="AM392" i="5"/>
  <c r="AL392" i="5"/>
  <c r="AD48" i="26" s="1"/>
  <c r="AK392" i="5"/>
  <c r="AD47" i="26" s="1"/>
  <c r="AJ392" i="5"/>
  <c r="AI392" i="5"/>
  <c r="AH392" i="5"/>
  <c r="AQ387" i="5"/>
  <c r="AP387" i="5"/>
  <c r="S43" i="25" s="1"/>
  <c r="I44" i="25" s="1"/>
  <c r="AO387" i="5"/>
  <c r="S42" i="25" s="1"/>
  <c r="AN387" i="5"/>
  <c r="S41" i="25" s="1"/>
  <c r="AM387" i="5"/>
  <c r="AL387" i="5"/>
  <c r="AC43" i="25" s="1"/>
  <c r="AK387" i="5"/>
  <c r="AC42" i="25" s="1"/>
  <c r="AJ387" i="5"/>
  <c r="AI387" i="5"/>
  <c r="AH387" i="5"/>
  <c r="AQ382" i="5"/>
  <c r="AP382" i="5"/>
  <c r="S43" i="24" s="1"/>
  <c r="I44" i="24" s="1"/>
  <c r="AO382" i="5"/>
  <c r="S42" i="24" s="1"/>
  <c r="AN382" i="5"/>
  <c r="S41" i="24" s="1"/>
  <c r="AM382" i="5"/>
  <c r="AL382" i="5"/>
  <c r="AC43" i="24" s="1"/>
  <c r="AK382" i="5"/>
  <c r="AC42" i="24" s="1"/>
  <c r="AJ382" i="5"/>
  <c r="AI382" i="5"/>
  <c r="AH382" i="5"/>
  <c r="AQ376" i="5"/>
  <c r="AP376" i="5"/>
  <c r="S48" i="29" s="1"/>
  <c r="K52" i="29" s="1"/>
  <c r="S52" i="29" s="1"/>
  <c r="AO376" i="5"/>
  <c r="S47" i="29" s="1"/>
  <c r="AN376" i="5"/>
  <c r="S46" i="29" s="1"/>
  <c r="AM376" i="5"/>
  <c r="AL376" i="5"/>
  <c r="AD48" i="29" s="1"/>
  <c r="AK376" i="5"/>
  <c r="AD47" i="29" s="1"/>
  <c r="AJ376" i="5"/>
  <c r="AI376" i="5"/>
  <c r="AH376" i="5"/>
  <c r="AQ371" i="5"/>
  <c r="AP371" i="5"/>
  <c r="AO371" i="5"/>
  <c r="AN371" i="5"/>
  <c r="AM371" i="5"/>
  <c r="AL371" i="5"/>
  <c r="AK371" i="5"/>
  <c r="AJ371" i="5"/>
  <c r="AI371" i="5"/>
  <c r="AH371" i="5"/>
  <c r="AQ366" i="5"/>
  <c r="AP366" i="5"/>
  <c r="AO366" i="5"/>
  <c r="AN366" i="5"/>
  <c r="AM366" i="5"/>
  <c r="AL366" i="5"/>
  <c r="AK366" i="5"/>
  <c r="AJ366" i="5"/>
  <c r="AI366" i="5"/>
  <c r="AH366" i="5"/>
  <c r="AQ360" i="5"/>
  <c r="AP360" i="5"/>
  <c r="S48" i="23" s="1"/>
  <c r="K52" i="23" s="1"/>
  <c r="S52" i="23" s="1"/>
  <c r="AO360" i="5"/>
  <c r="S47" i="23" s="1"/>
  <c r="AN360" i="5"/>
  <c r="S46" i="23" s="1"/>
  <c r="AM360" i="5"/>
  <c r="AL360" i="5"/>
  <c r="AD48" i="23" s="1"/>
  <c r="AK360" i="5"/>
  <c r="AD47" i="23" s="1"/>
  <c r="AJ360" i="5"/>
  <c r="AI360" i="5"/>
  <c r="AH360" i="5"/>
  <c r="AP355" i="5"/>
  <c r="S1147" i="22" s="1"/>
  <c r="I1148" i="22" s="1"/>
  <c r="AO355" i="5"/>
  <c r="S1146" i="22" s="1"/>
  <c r="AN355" i="5"/>
  <c r="S1145" i="22" s="1"/>
  <c r="AL355" i="5"/>
  <c r="AC1147" i="22" s="1"/>
  <c r="AJ355" i="5"/>
  <c r="AH355" i="5"/>
  <c r="AP351" i="5"/>
  <c r="S1131" i="22" s="1"/>
  <c r="I1132" i="22" s="1"/>
  <c r="AO351" i="5"/>
  <c r="S1130" i="22" s="1"/>
  <c r="AN351" i="5"/>
  <c r="S1129" i="22" s="1"/>
  <c r="AL351" i="5"/>
  <c r="AC1131" i="22" s="1"/>
  <c r="AJ351" i="5"/>
  <c r="AI351" i="5"/>
  <c r="AH351" i="5"/>
  <c r="AP347" i="5"/>
  <c r="S1115" i="22" s="1"/>
  <c r="I1116" i="22" s="1"/>
  <c r="AO347" i="5"/>
  <c r="S1114" i="22" s="1"/>
  <c r="AN347" i="5"/>
  <c r="S1113" i="22" s="1"/>
  <c r="AL347" i="5"/>
  <c r="AC1115" i="22" s="1"/>
  <c r="AJ347" i="5"/>
  <c r="AH347" i="5"/>
  <c r="AP343" i="5"/>
  <c r="S1099" i="22" s="1"/>
  <c r="I1100" i="22" s="1"/>
  <c r="AO343" i="5"/>
  <c r="S1098" i="22" s="1"/>
  <c r="AN343" i="5"/>
  <c r="S1097" i="22" s="1"/>
  <c r="AL343" i="5"/>
  <c r="AC1099" i="22" s="1"/>
  <c r="AJ343" i="5"/>
  <c r="AI343" i="5"/>
  <c r="AH343" i="5"/>
  <c r="AP339" i="5"/>
  <c r="S1083" i="22" s="1"/>
  <c r="I1084" i="22" s="1"/>
  <c r="AO339" i="5"/>
  <c r="S1082" i="22" s="1"/>
  <c r="AN339" i="5"/>
  <c r="S1081" i="22" s="1"/>
  <c r="AL339" i="5"/>
  <c r="AC1083" i="22" s="1"/>
  <c r="AJ339" i="5"/>
  <c r="AH339" i="5"/>
  <c r="AP335" i="5"/>
  <c r="S1067" i="22" s="1"/>
  <c r="I1068" i="22" s="1"/>
  <c r="AO335" i="5"/>
  <c r="S1066" i="22" s="1"/>
  <c r="AN335" i="5"/>
  <c r="S1065" i="22" s="1"/>
  <c r="AL335" i="5"/>
  <c r="AC1067" i="22" s="1"/>
  <c r="AJ335" i="5"/>
  <c r="AI335" i="5"/>
  <c r="AH335" i="5"/>
  <c r="AP331" i="5"/>
  <c r="S1051" i="22" s="1"/>
  <c r="I1052" i="22" s="1"/>
  <c r="AO331" i="5"/>
  <c r="S1050" i="22" s="1"/>
  <c r="AN331" i="5"/>
  <c r="S1049" i="22" s="1"/>
  <c r="AL331" i="5"/>
  <c r="AC1051" i="22" s="1"/>
  <c r="AJ331" i="5"/>
  <c r="AH331" i="5"/>
  <c r="AP327" i="5"/>
  <c r="S1035" i="22" s="1"/>
  <c r="I1036" i="22" s="1"/>
  <c r="AO327" i="5"/>
  <c r="S1034" i="22" s="1"/>
  <c r="AN327" i="5"/>
  <c r="S1033" i="22" s="1"/>
  <c r="AL327" i="5"/>
  <c r="AC1035" i="22" s="1"/>
  <c r="AJ327" i="5"/>
  <c r="AI327" i="5"/>
  <c r="AH327" i="5"/>
  <c r="AP323" i="5"/>
  <c r="S1019" i="22" s="1"/>
  <c r="I1020" i="22" s="1"/>
  <c r="AO323" i="5"/>
  <c r="S1018" i="22" s="1"/>
  <c r="AN323" i="5"/>
  <c r="S1017" i="22" s="1"/>
  <c r="AL323" i="5"/>
  <c r="AC1019" i="22" s="1"/>
  <c r="AJ323" i="5"/>
  <c r="AH323" i="5"/>
  <c r="AP319" i="5"/>
  <c r="S1003" i="22" s="1"/>
  <c r="I1004" i="22" s="1"/>
  <c r="AO319" i="5"/>
  <c r="S1002" i="22" s="1"/>
  <c r="AN319" i="5"/>
  <c r="S1001" i="22" s="1"/>
  <c r="AL319" i="5"/>
  <c r="AC1003" i="22" s="1"/>
  <c r="AJ319" i="5"/>
  <c r="AI319" i="5"/>
  <c r="AH319" i="5"/>
  <c r="AP315" i="5"/>
  <c r="S987" i="22" s="1"/>
  <c r="I988" i="22" s="1"/>
  <c r="AO315" i="5"/>
  <c r="S986" i="22" s="1"/>
  <c r="AN315" i="5"/>
  <c r="S985" i="22" s="1"/>
  <c r="AL315" i="5"/>
  <c r="AC987" i="22" s="1"/>
  <c r="AJ315" i="5"/>
  <c r="AH315" i="5"/>
  <c r="AP311" i="5"/>
  <c r="S971" i="22" s="1"/>
  <c r="I972" i="22" s="1"/>
  <c r="AO311" i="5"/>
  <c r="S970" i="22" s="1"/>
  <c r="AN311" i="5"/>
  <c r="S969" i="22" s="1"/>
  <c r="AL311" i="5"/>
  <c r="AC971" i="22" s="1"/>
  <c r="AJ311" i="5"/>
  <c r="AI311" i="5"/>
  <c r="AH311" i="5"/>
  <c r="AP307" i="5"/>
  <c r="S955" i="22" s="1"/>
  <c r="I956" i="22" s="1"/>
  <c r="AO307" i="5"/>
  <c r="S954" i="22" s="1"/>
  <c r="AN307" i="5"/>
  <c r="S953" i="22" s="1"/>
  <c r="AL307" i="5"/>
  <c r="AC955" i="22" s="1"/>
  <c r="AJ307" i="5"/>
  <c r="AH307" i="5"/>
  <c r="AP303" i="5"/>
  <c r="S939" i="22" s="1"/>
  <c r="I940" i="22" s="1"/>
  <c r="AO303" i="5"/>
  <c r="S938" i="22" s="1"/>
  <c r="AN303" i="5"/>
  <c r="S937" i="22" s="1"/>
  <c r="AL303" i="5"/>
  <c r="AC939" i="22" s="1"/>
  <c r="AJ303" i="5"/>
  <c r="AI303" i="5"/>
  <c r="AH303" i="5"/>
  <c r="AP299" i="5"/>
  <c r="S923" i="22" s="1"/>
  <c r="I924" i="22" s="1"/>
  <c r="AO299" i="5"/>
  <c r="S922" i="22" s="1"/>
  <c r="AN299" i="5"/>
  <c r="S921" i="22" s="1"/>
  <c r="AL299" i="5"/>
  <c r="AC923" i="22" s="1"/>
  <c r="AJ299" i="5"/>
  <c r="AH299" i="5"/>
  <c r="AP295" i="5"/>
  <c r="S907" i="22" s="1"/>
  <c r="I908" i="22" s="1"/>
  <c r="AO295" i="5"/>
  <c r="S906" i="22" s="1"/>
  <c r="AN295" i="5"/>
  <c r="S905" i="22" s="1"/>
  <c r="AL295" i="5"/>
  <c r="AC907" i="22" s="1"/>
  <c r="AJ295" i="5"/>
  <c r="AI295" i="5"/>
  <c r="AH295" i="5"/>
  <c r="AP291" i="5"/>
  <c r="S891" i="22" s="1"/>
  <c r="I892" i="22" s="1"/>
  <c r="AO291" i="5"/>
  <c r="S890" i="22" s="1"/>
  <c r="AN291" i="5"/>
  <c r="S889" i="22" s="1"/>
  <c r="AL291" i="5"/>
  <c r="AC891" i="22" s="1"/>
  <c r="AJ291" i="5"/>
  <c r="AH291" i="5"/>
  <c r="AP287" i="5"/>
  <c r="S875" i="22" s="1"/>
  <c r="I876" i="22" s="1"/>
  <c r="AO287" i="5"/>
  <c r="S874" i="22" s="1"/>
  <c r="AN287" i="5"/>
  <c r="S873" i="22" s="1"/>
  <c r="AL287" i="5"/>
  <c r="AC875" i="22" s="1"/>
  <c r="AJ287" i="5"/>
  <c r="AI287" i="5"/>
  <c r="AH287" i="5"/>
  <c r="AP283" i="5"/>
  <c r="S859" i="22" s="1"/>
  <c r="I860" i="22" s="1"/>
  <c r="AO283" i="5"/>
  <c r="S858" i="22" s="1"/>
  <c r="AN283" i="5"/>
  <c r="S857" i="22" s="1"/>
  <c r="AL283" i="5"/>
  <c r="AC859" i="22" s="1"/>
  <c r="AJ283" i="5"/>
  <c r="AH283" i="5"/>
  <c r="AP279" i="5"/>
  <c r="S843" i="22" s="1"/>
  <c r="I844" i="22" s="1"/>
  <c r="AO279" i="5"/>
  <c r="S842" i="22" s="1"/>
  <c r="AN279" i="5"/>
  <c r="S841" i="22" s="1"/>
  <c r="AL279" i="5"/>
  <c r="AC843" i="22" s="1"/>
  <c r="AJ279" i="5"/>
  <c r="AI279" i="5"/>
  <c r="AH279" i="5"/>
  <c r="AP275" i="5"/>
  <c r="S827" i="22" s="1"/>
  <c r="I828" i="22" s="1"/>
  <c r="AO275" i="5"/>
  <c r="S826" i="22" s="1"/>
  <c r="AN275" i="5"/>
  <c r="S825" i="22" s="1"/>
  <c r="AL275" i="5"/>
  <c r="AC827" i="22" s="1"/>
  <c r="AJ275" i="5"/>
  <c r="AH275" i="5"/>
  <c r="AP271" i="5"/>
  <c r="S811" i="22" s="1"/>
  <c r="I812" i="22" s="1"/>
  <c r="AO271" i="5"/>
  <c r="S810" i="22" s="1"/>
  <c r="AN271" i="5"/>
  <c r="S809" i="22" s="1"/>
  <c r="AL271" i="5"/>
  <c r="AC811" i="22" s="1"/>
  <c r="AJ271" i="5"/>
  <c r="AI271" i="5"/>
  <c r="AH271" i="5"/>
  <c r="AP267" i="5"/>
  <c r="S795" i="22" s="1"/>
  <c r="I796" i="22" s="1"/>
  <c r="AO267" i="5"/>
  <c r="S794" i="22" s="1"/>
  <c r="AN267" i="5"/>
  <c r="S793" i="22" s="1"/>
  <c r="AL267" i="5"/>
  <c r="AC795" i="22" s="1"/>
  <c r="AJ267" i="5"/>
  <c r="AH267" i="5"/>
  <c r="AP263" i="5"/>
  <c r="S779" i="22" s="1"/>
  <c r="I780" i="22" s="1"/>
  <c r="AO263" i="5"/>
  <c r="S778" i="22" s="1"/>
  <c r="AN263" i="5"/>
  <c r="S777" i="22" s="1"/>
  <c r="AL263" i="5"/>
  <c r="AC779" i="22" s="1"/>
  <c r="AJ263" i="5"/>
  <c r="AI263" i="5"/>
  <c r="AH263" i="5"/>
  <c r="AP259" i="5"/>
  <c r="S763" i="22" s="1"/>
  <c r="I764" i="22" s="1"/>
  <c r="AO259" i="5"/>
  <c r="S762" i="22" s="1"/>
  <c r="AN259" i="5"/>
  <c r="S761" i="22" s="1"/>
  <c r="AL259" i="5"/>
  <c r="AC763" i="22" s="1"/>
  <c r="AJ259" i="5"/>
  <c r="AH259" i="5"/>
  <c r="AP255" i="5"/>
  <c r="S747" i="22" s="1"/>
  <c r="I748" i="22" s="1"/>
  <c r="AO255" i="5"/>
  <c r="S746" i="22" s="1"/>
  <c r="AN255" i="5"/>
  <c r="S745" i="22" s="1"/>
  <c r="AL255" i="5"/>
  <c r="AC747" i="22" s="1"/>
  <c r="AJ255" i="5"/>
  <c r="AI255" i="5"/>
  <c r="AH255" i="5"/>
  <c r="AP251" i="5"/>
  <c r="S731" i="22" s="1"/>
  <c r="I732" i="22" s="1"/>
  <c r="AO251" i="5"/>
  <c r="S730" i="22" s="1"/>
  <c r="AN251" i="5"/>
  <c r="S729" i="22" s="1"/>
  <c r="AL251" i="5"/>
  <c r="AC731" i="22" s="1"/>
  <c r="AJ251" i="5"/>
  <c r="AH251" i="5"/>
  <c r="AP247" i="5"/>
  <c r="S715" i="22" s="1"/>
  <c r="I716" i="22" s="1"/>
  <c r="AO247" i="5"/>
  <c r="S714" i="22" s="1"/>
  <c r="AN247" i="5"/>
  <c r="S713" i="22" s="1"/>
  <c r="AL247" i="5"/>
  <c r="AC715" i="22" s="1"/>
  <c r="AJ247" i="5"/>
  <c r="AI247" i="5"/>
  <c r="AH247" i="5"/>
  <c r="AP243" i="5"/>
  <c r="S699" i="22" s="1"/>
  <c r="I700" i="22" s="1"/>
  <c r="AO243" i="5"/>
  <c r="S698" i="22" s="1"/>
  <c r="AN243" i="5"/>
  <c r="S697" i="22" s="1"/>
  <c r="AL243" i="5"/>
  <c r="AC699" i="22" s="1"/>
  <c r="AJ243" i="5"/>
  <c r="AH243" i="5"/>
  <c r="AP239" i="5"/>
  <c r="S683" i="22" s="1"/>
  <c r="I684" i="22" s="1"/>
  <c r="AO239" i="5"/>
  <c r="S682" i="22" s="1"/>
  <c r="AN239" i="5"/>
  <c r="S681" i="22" s="1"/>
  <c r="AL239" i="5"/>
  <c r="AC683" i="22" s="1"/>
  <c r="AJ239" i="5"/>
  <c r="AI239" i="5"/>
  <c r="AH239" i="5"/>
  <c r="AP235" i="5"/>
  <c r="S667" i="22" s="1"/>
  <c r="I668" i="22" s="1"/>
  <c r="AO235" i="5"/>
  <c r="S666" i="22" s="1"/>
  <c r="AN235" i="5"/>
  <c r="S665" i="22" s="1"/>
  <c r="AL235" i="5"/>
  <c r="AC667" i="22" s="1"/>
  <c r="AJ235" i="5"/>
  <c r="AH235" i="5"/>
  <c r="AP231" i="5"/>
  <c r="S651" i="22" s="1"/>
  <c r="I652" i="22" s="1"/>
  <c r="AO231" i="5"/>
  <c r="S650" i="22" s="1"/>
  <c r="AN231" i="5"/>
  <c r="S649" i="22" s="1"/>
  <c r="AL231" i="5"/>
  <c r="AC651" i="22" s="1"/>
  <c r="AJ231" i="5"/>
  <c r="AI231" i="5"/>
  <c r="AH231" i="5"/>
  <c r="AP227" i="5"/>
  <c r="S635" i="22" s="1"/>
  <c r="I636" i="22" s="1"/>
  <c r="AO227" i="5"/>
  <c r="S634" i="22" s="1"/>
  <c r="AN227" i="5"/>
  <c r="S633" i="22" s="1"/>
  <c r="AL227" i="5"/>
  <c r="AC635" i="22" s="1"/>
  <c r="AJ227" i="5"/>
  <c r="AH227" i="5"/>
  <c r="AP223" i="5"/>
  <c r="S619" i="22" s="1"/>
  <c r="I620" i="22" s="1"/>
  <c r="AO223" i="5"/>
  <c r="S618" i="22" s="1"/>
  <c r="AN223" i="5"/>
  <c r="S617" i="22" s="1"/>
  <c r="AL223" i="5"/>
  <c r="AC619" i="22" s="1"/>
  <c r="AJ223" i="5"/>
  <c r="AI223" i="5"/>
  <c r="AH223" i="5"/>
  <c r="AP219" i="5"/>
  <c r="S603" i="22" s="1"/>
  <c r="I604" i="22" s="1"/>
  <c r="AO219" i="5"/>
  <c r="S602" i="22" s="1"/>
  <c r="AN219" i="5"/>
  <c r="S601" i="22" s="1"/>
  <c r="AL219" i="5"/>
  <c r="AC603" i="22" s="1"/>
  <c r="AJ219" i="5"/>
  <c r="AH219" i="5"/>
  <c r="AP215" i="5"/>
  <c r="S587" i="22" s="1"/>
  <c r="I588" i="22" s="1"/>
  <c r="AO215" i="5"/>
  <c r="S586" i="22" s="1"/>
  <c r="AN215" i="5"/>
  <c r="S585" i="22" s="1"/>
  <c r="AL215" i="5"/>
  <c r="AC587" i="22" s="1"/>
  <c r="AJ215" i="5"/>
  <c r="AI215" i="5"/>
  <c r="AH215" i="5"/>
  <c r="AP211" i="5"/>
  <c r="S571" i="22" s="1"/>
  <c r="I572" i="22" s="1"/>
  <c r="AO211" i="5"/>
  <c r="S570" i="22" s="1"/>
  <c r="AN211" i="5"/>
  <c r="S569" i="22" s="1"/>
  <c r="AL211" i="5"/>
  <c r="AC571" i="22" s="1"/>
  <c r="AJ211" i="5"/>
  <c r="AH211" i="5"/>
  <c r="AP207" i="5"/>
  <c r="S555" i="22" s="1"/>
  <c r="I556" i="22" s="1"/>
  <c r="AO207" i="5"/>
  <c r="S554" i="22" s="1"/>
  <c r="AN207" i="5"/>
  <c r="S553" i="22" s="1"/>
  <c r="AL207" i="5"/>
  <c r="AC555" i="22" s="1"/>
  <c r="AJ207" i="5"/>
  <c r="AI207" i="5"/>
  <c r="AH207" i="5"/>
  <c r="AP203" i="5"/>
  <c r="S539" i="22" s="1"/>
  <c r="I540" i="22" s="1"/>
  <c r="AO203" i="5"/>
  <c r="S538" i="22" s="1"/>
  <c r="AN203" i="5"/>
  <c r="S537" i="22" s="1"/>
  <c r="AL203" i="5"/>
  <c r="AC539" i="22" s="1"/>
  <c r="AJ203" i="5"/>
  <c r="AH203" i="5"/>
  <c r="AP199" i="5"/>
  <c r="S523" i="22" s="1"/>
  <c r="I524" i="22" s="1"/>
  <c r="AO199" i="5"/>
  <c r="S522" i="22" s="1"/>
  <c r="AN199" i="5"/>
  <c r="S521" i="22" s="1"/>
  <c r="AL199" i="5"/>
  <c r="AC523" i="22" s="1"/>
  <c r="AJ199" i="5"/>
  <c r="AI199" i="5"/>
  <c r="AH199" i="5"/>
  <c r="AP195" i="5"/>
  <c r="S507" i="22" s="1"/>
  <c r="I508" i="22" s="1"/>
  <c r="AO195" i="5"/>
  <c r="S506" i="22" s="1"/>
  <c r="AN195" i="5"/>
  <c r="S505" i="22" s="1"/>
  <c r="AL195" i="5"/>
  <c r="AC507" i="22" s="1"/>
  <c r="AJ195" i="5"/>
  <c r="AH195" i="5"/>
  <c r="AP191" i="5"/>
  <c r="S491" i="22" s="1"/>
  <c r="I492" i="22" s="1"/>
  <c r="AO191" i="5"/>
  <c r="S490" i="22" s="1"/>
  <c r="AN191" i="5"/>
  <c r="S489" i="22" s="1"/>
  <c r="AL191" i="5"/>
  <c r="AC491" i="22" s="1"/>
  <c r="AJ191" i="5"/>
  <c r="AI191" i="5"/>
  <c r="AH191" i="5"/>
  <c r="AP187" i="5"/>
  <c r="S475" i="22" s="1"/>
  <c r="I476" i="22" s="1"/>
  <c r="AO187" i="5"/>
  <c r="S474" i="22" s="1"/>
  <c r="AN187" i="5"/>
  <c r="S473" i="22" s="1"/>
  <c r="AL187" i="5"/>
  <c r="AC475" i="22" s="1"/>
  <c r="AJ187" i="5"/>
  <c r="AH187" i="5"/>
  <c r="AP183" i="5"/>
  <c r="S459" i="22" s="1"/>
  <c r="I460" i="22" s="1"/>
  <c r="AO183" i="5"/>
  <c r="S458" i="22" s="1"/>
  <c r="AN183" i="5"/>
  <c r="S457" i="22" s="1"/>
  <c r="AL183" i="5"/>
  <c r="AC459" i="22" s="1"/>
  <c r="AJ183" i="5"/>
  <c r="AI183" i="5"/>
  <c r="AH183" i="5"/>
  <c r="AP179" i="5"/>
  <c r="S443" i="22" s="1"/>
  <c r="I444" i="22" s="1"/>
  <c r="AO179" i="5"/>
  <c r="S442" i="22" s="1"/>
  <c r="AN179" i="5"/>
  <c r="S441" i="22" s="1"/>
  <c r="AL179" i="5"/>
  <c r="AC443" i="22" s="1"/>
  <c r="AJ179" i="5"/>
  <c r="AH179" i="5"/>
  <c r="AP175" i="5"/>
  <c r="S427" i="22" s="1"/>
  <c r="I428" i="22" s="1"/>
  <c r="AO175" i="5"/>
  <c r="S426" i="22" s="1"/>
  <c r="AN175" i="5"/>
  <c r="S425" i="22" s="1"/>
  <c r="AL175" i="5"/>
  <c r="AC427" i="22" s="1"/>
  <c r="AJ175" i="5"/>
  <c r="AI175" i="5"/>
  <c r="AH175" i="5"/>
  <c r="AP171" i="5"/>
  <c r="S411" i="22" s="1"/>
  <c r="I412" i="22" s="1"/>
  <c r="AO171" i="5"/>
  <c r="S410" i="22" s="1"/>
  <c r="AN171" i="5"/>
  <c r="S409" i="22" s="1"/>
  <c r="AL171" i="5"/>
  <c r="AC411" i="22" s="1"/>
  <c r="AJ171" i="5"/>
  <c r="AH171" i="5"/>
  <c r="AP167" i="5"/>
  <c r="S395" i="22" s="1"/>
  <c r="I396" i="22" s="1"/>
  <c r="AO167" i="5"/>
  <c r="S394" i="22" s="1"/>
  <c r="AN167" i="5"/>
  <c r="S393" i="22" s="1"/>
  <c r="AL167" i="5"/>
  <c r="AC395" i="22" s="1"/>
  <c r="AJ167" i="5"/>
  <c r="AI167" i="5"/>
  <c r="AH167" i="5"/>
  <c r="AP163" i="5"/>
  <c r="S379" i="22" s="1"/>
  <c r="I380" i="22" s="1"/>
  <c r="AO163" i="5"/>
  <c r="S378" i="22" s="1"/>
  <c r="AN163" i="5"/>
  <c r="S377" i="22" s="1"/>
  <c r="AL163" i="5"/>
  <c r="AC379" i="22" s="1"/>
  <c r="AJ163" i="5"/>
  <c r="AH163" i="5"/>
  <c r="AP159" i="5"/>
  <c r="S363" i="22" s="1"/>
  <c r="I364" i="22" s="1"/>
  <c r="AO159" i="5"/>
  <c r="S362" i="22" s="1"/>
  <c r="AN159" i="5"/>
  <c r="S361" i="22" s="1"/>
  <c r="AL159" i="5"/>
  <c r="AC363" i="22" s="1"/>
  <c r="AJ159" i="5"/>
  <c r="AI159" i="5"/>
  <c r="AH159" i="5"/>
  <c r="AP155" i="5"/>
  <c r="S347" i="22" s="1"/>
  <c r="I348" i="22" s="1"/>
  <c r="AO155" i="5"/>
  <c r="S346" i="22" s="1"/>
  <c r="AN155" i="5"/>
  <c r="S345" i="22" s="1"/>
  <c r="AL155" i="5"/>
  <c r="AC347" i="22" s="1"/>
  <c r="AJ155" i="5"/>
  <c r="AH155" i="5"/>
  <c r="AP151" i="5"/>
  <c r="S331" i="22" s="1"/>
  <c r="I332" i="22" s="1"/>
  <c r="AO151" i="5"/>
  <c r="S330" i="22" s="1"/>
  <c r="AN151" i="5"/>
  <c r="S329" i="22" s="1"/>
  <c r="AL151" i="5"/>
  <c r="AC331" i="22" s="1"/>
  <c r="AJ151" i="5"/>
  <c r="AI151" i="5"/>
  <c r="AH151" i="5"/>
  <c r="AP147" i="5"/>
  <c r="S315" i="22" s="1"/>
  <c r="I316" i="22" s="1"/>
  <c r="AO147" i="5"/>
  <c r="S314" i="22" s="1"/>
  <c r="AN147" i="5"/>
  <c r="S313" i="22" s="1"/>
  <c r="AL147" i="5"/>
  <c r="AC315" i="22" s="1"/>
  <c r="AJ147" i="5"/>
  <c r="AH147" i="5"/>
  <c r="AP143" i="5"/>
  <c r="S299" i="22" s="1"/>
  <c r="I300" i="22" s="1"/>
  <c r="AO143" i="5"/>
  <c r="S298" i="22" s="1"/>
  <c r="AN143" i="5"/>
  <c r="S297" i="22" s="1"/>
  <c r="AL143" i="5"/>
  <c r="AC299" i="22" s="1"/>
  <c r="AJ143" i="5"/>
  <c r="AI143" i="5"/>
  <c r="AH143" i="5"/>
  <c r="AP139" i="5"/>
  <c r="S283" i="22" s="1"/>
  <c r="I284" i="22" s="1"/>
  <c r="AO139" i="5"/>
  <c r="S282" i="22" s="1"/>
  <c r="AN139" i="5"/>
  <c r="S281" i="22" s="1"/>
  <c r="AL139" i="5"/>
  <c r="AC283" i="22" s="1"/>
  <c r="AJ139" i="5"/>
  <c r="AH139" i="5"/>
  <c r="AP135" i="5"/>
  <c r="S267" i="22" s="1"/>
  <c r="I268" i="22" s="1"/>
  <c r="AO135" i="5"/>
  <c r="S266" i="22" s="1"/>
  <c r="AN135" i="5"/>
  <c r="S265" i="22" s="1"/>
  <c r="AL135" i="5"/>
  <c r="AC267" i="22" s="1"/>
  <c r="AJ135" i="5"/>
  <c r="AI135" i="5"/>
  <c r="AH135" i="5"/>
  <c r="AP131" i="5"/>
  <c r="S251" i="22" s="1"/>
  <c r="I252" i="22" s="1"/>
  <c r="AO131" i="5"/>
  <c r="S250" i="22" s="1"/>
  <c r="AN131" i="5"/>
  <c r="S249" i="22" s="1"/>
  <c r="AL131" i="5"/>
  <c r="AC251" i="22" s="1"/>
  <c r="AJ131" i="5"/>
  <c r="AH131" i="5"/>
  <c r="AP127" i="5"/>
  <c r="S235" i="22" s="1"/>
  <c r="I236" i="22" s="1"/>
  <c r="AO127" i="5"/>
  <c r="S234" i="22" s="1"/>
  <c r="AN127" i="5"/>
  <c r="S233" i="22" s="1"/>
  <c r="AL127" i="5"/>
  <c r="AC235" i="22" s="1"/>
  <c r="AJ127" i="5"/>
  <c r="AI127" i="5"/>
  <c r="AH127" i="5"/>
  <c r="AP123" i="5"/>
  <c r="S219" i="22" s="1"/>
  <c r="I220" i="22" s="1"/>
  <c r="AO123" i="5"/>
  <c r="S218" i="22" s="1"/>
  <c r="AN123" i="5"/>
  <c r="S217" i="22" s="1"/>
  <c r="AL123" i="5"/>
  <c r="AC219" i="22" s="1"/>
  <c r="AJ123" i="5"/>
  <c r="AH123" i="5"/>
  <c r="AP119" i="5"/>
  <c r="S203" i="22" s="1"/>
  <c r="I204" i="22" s="1"/>
  <c r="AO119" i="5"/>
  <c r="S202" i="22" s="1"/>
  <c r="AN119" i="5"/>
  <c r="S201" i="22" s="1"/>
  <c r="AL119" i="5"/>
  <c r="AC203" i="22" s="1"/>
  <c r="AJ119" i="5"/>
  <c r="AI119" i="5"/>
  <c r="AH119" i="5"/>
  <c r="AP115" i="5"/>
  <c r="S187" i="22" s="1"/>
  <c r="I188" i="22" s="1"/>
  <c r="AO115" i="5"/>
  <c r="S186" i="22" s="1"/>
  <c r="AN115" i="5"/>
  <c r="S185" i="22" s="1"/>
  <c r="AL115" i="5"/>
  <c r="AC187" i="22" s="1"/>
  <c r="AJ115" i="5"/>
  <c r="AH115" i="5"/>
  <c r="AP111" i="5"/>
  <c r="S171" i="22" s="1"/>
  <c r="I172" i="22" s="1"/>
  <c r="AO111" i="5"/>
  <c r="S170" i="22" s="1"/>
  <c r="AN111" i="5"/>
  <c r="S169" i="22" s="1"/>
  <c r="AL111" i="5"/>
  <c r="AC171" i="22" s="1"/>
  <c r="AJ111" i="5"/>
  <c r="AI111" i="5"/>
  <c r="AH111" i="5"/>
  <c r="AP107" i="5"/>
  <c r="S155" i="22" s="1"/>
  <c r="I156" i="22" s="1"/>
  <c r="AO107" i="5"/>
  <c r="S154" i="22" s="1"/>
  <c r="AN107" i="5"/>
  <c r="S153" i="22" s="1"/>
  <c r="AL107" i="5"/>
  <c r="AC155" i="22" s="1"/>
  <c r="AJ107" i="5"/>
  <c r="AH107" i="5"/>
  <c r="AP103" i="5"/>
  <c r="S139" i="22" s="1"/>
  <c r="I140" i="22" s="1"/>
  <c r="AO103" i="5"/>
  <c r="S138" i="22" s="1"/>
  <c r="AN103" i="5"/>
  <c r="S137" i="22" s="1"/>
  <c r="AL103" i="5"/>
  <c r="AC139" i="22" s="1"/>
  <c r="AJ103" i="5"/>
  <c r="AI103" i="5"/>
  <c r="AH103" i="5"/>
  <c r="AP99" i="5"/>
  <c r="S123" i="22" s="1"/>
  <c r="I124" i="22" s="1"/>
  <c r="AO99" i="5"/>
  <c r="S122" i="22" s="1"/>
  <c r="AN99" i="5"/>
  <c r="S121" i="22" s="1"/>
  <c r="AL99" i="5"/>
  <c r="AC123" i="22" s="1"/>
  <c r="AJ99" i="5"/>
  <c r="AH99" i="5"/>
  <c r="AP95" i="5"/>
  <c r="S107" i="22" s="1"/>
  <c r="I108" i="22" s="1"/>
  <c r="AO95" i="5"/>
  <c r="S106" i="22" s="1"/>
  <c r="AN95" i="5"/>
  <c r="S105" i="22" s="1"/>
  <c r="AL95" i="5"/>
  <c r="AC107" i="22" s="1"/>
  <c r="AJ95" i="5"/>
  <c r="AI95" i="5"/>
  <c r="AH95" i="5"/>
  <c r="AP91" i="5"/>
  <c r="S91" i="22" s="1"/>
  <c r="I92" i="22" s="1"/>
  <c r="AO91" i="5"/>
  <c r="S90" i="22" s="1"/>
  <c r="AN91" i="5"/>
  <c r="S89" i="22" s="1"/>
  <c r="AL91" i="5"/>
  <c r="AC91" i="22" s="1"/>
  <c r="AJ91" i="5"/>
  <c r="AH91" i="5"/>
  <c r="AP87" i="5"/>
  <c r="S75" i="22" s="1"/>
  <c r="I76" i="22" s="1"/>
  <c r="AO87" i="5"/>
  <c r="S74" i="22" s="1"/>
  <c r="AN87" i="5"/>
  <c r="S73" i="22" s="1"/>
  <c r="AL87" i="5"/>
  <c r="AC75" i="22" s="1"/>
  <c r="AJ87" i="5"/>
  <c r="AI87" i="5"/>
  <c r="AH87" i="5"/>
  <c r="AP83" i="5"/>
  <c r="S59" i="22" s="1"/>
  <c r="I60" i="22" s="1"/>
  <c r="AO83" i="5"/>
  <c r="S58" i="22" s="1"/>
  <c r="AN83" i="5"/>
  <c r="S57" i="22" s="1"/>
  <c r="AL83" i="5"/>
  <c r="AC59" i="22" s="1"/>
  <c r="AJ83" i="5"/>
  <c r="AH83" i="5"/>
  <c r="AQ79" i="5"/>
  <c r="AP79" i="5"/>
  <c r="S43" i="22" s="1"/>
  <c r="I44" i="22" s="1"/>
  <c r="AO79" i="5"/>
  <c r="S42" i="22" s="1"/>
  <c r="AN79" i="5"/>
  <c r="S41" i="22" s="1"/>
  <c r="AM79" i="5"/>
  <c r="AL79" i="5"/>
  <c r="AC43" i="22" s="1"/>
  <c r="AJ79" i="5"/>
  <c r="AI79" i="5"/>
  <c r="AH79" i="5"/>
  <c r="G79" i="5"/>
  <c r="AI355" i="5" s="1"/>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I47" i="13" s="1"/>
  <c r="AP43" i="5"/>
  <c r="AO43" i="5"/>
  <c r="S44" i="13" s="1"/>
  <c r="AN43" i="5"/>
  <c r="S43" i="13" s="1"/>
  <c r="AM43" i="5"/>
  <c r="AD46" i="13" s="1"/>
  <c r="AL43" i="5"/>
  <c r="AD45" i="13" s="1"/>
  <c r="AK43" i="5"/>
  <c r="AD44" i="13" s="1"/>
  <c r="AJ43" i="5"/>
  <c r="AI43" i="5"/>
  <c r="AH43" i="5"/>
  <c r="AQ38" i="5"/>
  <c r="S46" i="16" s="1"/>
  <c r="AP38" i="5"/>
  <c r="S45" i="16" s="1"/>
  <c r="AO38" i="5"/>
  <c r="S44" i="16" s="1"/>
  <c r="AN38" i="5"/>
  <c r="AM38" i="5"/>
  <c r="AD46" i="16" s="1"/>
  <c r="AL38" i="5"/>
  <c r="AK38" i="5"/>
  <c r="AD44" i="16" s="1"/>
  <c r="AJ38" i="5"/>
  <c r="AI38" i="5"/>
  <c r="AH38" i="5"/>
  <c r="AQ33" i="5"/>
  <c r="S46" i="15" s="1"/>
  <c r="AP33" i="5"/>
  <c r="S45" i="15" s="1"/>
  <c r="AO33" i="5"/>
  <c r="S44" i="15" s="1"/>
  <c r="AN33" i="5"/>
  <c r="AM33" i="5"/>
  <c r="AD46" i="15" s="1"/>
  <c r="AL33" i="5"/>
  <c r="AK33" i="5"/>
  <c r="AD44" i="15" s="1"/>
  <c r="AJ33" i="5"/>
  <c r="AI33" i="5"/>
  <c r="AH33" i="5"/>
  <c r="AQ28" i="5"/>
  <c r="U52" i="17" s="1"/>
  <c r="I53" i="17" s="1"/>
  <c r="J54" i="17" s="1"/>
  <c r="AP28" i="5"/>
  <c r="U51" i="17" s="1"/>
  <c r="AO28" i="5"/>
  <c r="U50" i="17" s="1"/>
  <c r="AN28" i="5"/>
  <c r="AM28" i="5"/>
  <c r="AG52" i="17" s="1"/>
  <c r="AL28" i="5"/>
  <c r="AK28" i="5"/>
  <c r="AG50" i="17" s="1"/>
  <c r="AJ28" i="5"/>
  <c r="AI28" i="5"/>
  <c r="AH28" i="5"/>
  <c r="AQ23" i="5"/>
  <c r="AP23" i="5"/>
  <c r="L21" i="58" s="1"/>
  <c r="AO23" i="5"/>
  <c r="AN23" i="5"/>
  <c r="L19" i="58" s="1"/>
  <c r="AM23" i="5"/>
  <c r="AL23" i="5"/>
  <c r="O21" i="58" s="1"/>
  <c r="AK23" i="5"/>
  <c r="AJ23" i="5"/>
  <c r="AI23" i="5"/>
  <c r="AH23" i="5"/>
  <c r="AQ18" i="5"/>
  <c r="S46" i="12" s="1"/>
  <c r="I47" i="12" s="1"/>
  <c r="AP18" i="5"/>
  <c r="AO18" i="5"/>
  <c r="S44" i="12" s="1"/>
  <c r="AN18" i="5"/>
  <c r="S43" i="12" s="1"/>
  <c r="AM18" i="5"/>
  <c r="AD46" i="12" s="1"/>
  <c r="AL18" i="5"/>
  <c r="AD45" i="12" s="1"/>
  <c r="AK18" i="5"/>
  <c r="AD44" i="12" s="1"/>
  <c r="AJ18" i="5"/>
  <c r="AI18" i="5"/>
  <c r="AH18" i="5"/>
  <c r="AQ13" i="5"/>
  <c r="S46" i="11" s="1"/>
  <c r="I47" i="11" s="1"/>
  <c r="AP13" i="5"/>
  <c r="AO13" i="5"/>
  <c r="S44" i="11" s="1"/>
  <c r="AN13" i="5"/>
  <c r="S43" i="11" s="1"/>
  <c r="AM13" i="5"/>
  <c r="AD46" i="11" s="1"/>
  <c r="AL13" i="5"/>
  <c r="AD45" i="11" s="1"/>
  <c r="AK13" i="5"/>
  <c r="AD44" i="11" s="1"/>
  <c r="AJ13" i="5"/>
  <c r="AI13" i="5"/>
  <c r="AH13" i="5"/>
  <c r="D6" i="5"/>
  <c r="D5" i="5"/>
  <c r="R13" i="4"/>
  <c r="P13" i="4"/>
  <c r="I13" i="4"/>
  <c r="Q13" i="4" s="1"/>
  <c r="E7" i="4"/>
  <c r="D5" i="4"/>
  <c r="D4" i="4"/>
  <c r="O73" i="3"/>
  <c r="M73" i="3" a="1"/>
  <c r="M73" i="3" s="1"/>
  <c r="E73" i="3"/>
  <c r="E72" i="3"/>
  <c r="G72" i="3" s="1"/>
  <c r="N355" i="5" s="1"/>
  <c r="AK355" i="5" s="1"/>
  <c r="AC1146" i="22" s="1"/>
  <c r="O70" i="3"/>
  <c r="M70" i="3" a="1"/>
  <c r="M70" i="3" s="1"/>
  <c r="E70" i="3"/>
  <c r="E69" i="3"/>
  <c r="G69" i="3" s="1"/>
  <c r="N351" i="5" s="1"/>
  <c r="AK351" i="5" s="1"/>
  <c r="AC1130" i="22" s="1"/>
  <c r="O67" i="3"/>
  <c r="M67" i="3" a="1"/>
  <c r="M67" i="3" s="1"/>
  <c r="E67" i="3"/>
  <c r="E66" i="3"/>
  <c r="G66" i="3" s="1"/>
  <c r="N347" i="5" s="1"/>
  <c r="AK347" i="5" s="1"/>
  <c r="AC1114" i="22" s="1"/>
  <c r="O64" i="3"/>
  <c r="M64" i="3" a="1"/>
  <c r="M64" i="3" s="1"/>
  <c r="E64" i="3"/>
  <c r="E63" i="3"/>
  <c r="G63" i="3" s="1"/>
  <c r="O61" i="3"/>
  <c r="M61" i="3" a="1"/>
  <c r="M61" i="3" s="1"/>
  <c r="E61" i="3"/>
  <c r="E60" i="3"/>
  <c r="G60" i="3" s="1"/>
  <c r="N307" i="5" s="1"/>
  <c r="AK307" i="5" s="1"/>
  <c r="AC954" i="22" s="1"/>
  <c r="O58" i="3"/>
  <c r="M58" i="3" a="1"/>
  <c r="M58" i="3" s="1"/>
  <c r="E58" i="3"/>
  <c r="E57" i="3"/>
  <c r="G57" i="3" s="1"/>
  <c r="N299" i="5" s="1"/>
  <c r="AK299" i="5" s="1"/>
  <c r="AC922" i="22" s="1"/>
  <c r="O55" i="3"/>
  <c r="M55" i="3" a="1"/>
  <c r="M55" i="3" s="1"/>
  <c r="E55" i="3"/>
  <c r="E54" i="3"/>
  <c r="G54" i="3" s="1"/>
  <c r="N295" i="5" s="1"/>
  <c r="AK295" i="5" s="1"/>
  <c r="AC906" i="22" s="1"/>
  <c r="O52" i="3"/>
  <c r="M52" i="3" a="1"/>
  <c r="M52" i="3" s="1"/>
  <c r="E52" i="3"/>
  <c r="E51" i="3"/>
  <c r="G51" i="3" s="1"/>
  <c r="O49" i="3"/>
  <c r="M49" i="3" a="1"/>
  <c r="M49" i="3" s="1"/>
  <c r="E49" i="3"/>
  <c r="E48" i="3"/>
  <c r="G48" i="3" s="1"/>
  <c r="N271" i="5" s="1"/>
  <c r="AK271" i="5" s="1"/>
  <c r="AC810" i="22" s="1"/>
  <c r="O46" i="3"/>
  <c r="M46" i="3" a="1"/>
  <c r="M46" i="3" s="1"/>
  <c r="E46" i="3"/>
  <c r="E45" i="3"/>
  <c r="G45" i="3" s="1"/>
  <c r="N255" i="5" s="1"/>
  <c r="AK255" i="5" s="1"/>
  <c r="AC746" i="22" s="1"/>
  <c r="O43" i="3"/>
  <c r="M43" i="3" a="1"/>
  <c r="M43" i="3" s="1"/>
  <c r="E43" i="3"/>
  <c r="E42" i="3"/>
  <c r="G42" i="3" s="1"/>
  <c r="N219" i="5" s="1"/>
  <c r="AK219" i="5" s="1"/>
  <c r="AC602" i="22" s="1"/>
  <c r="O40" i="3"/>
  <c r="M40" i="3" a="1"/>
  <c r="M40" i="3" s="1"/>
  <c r="E40" i="3"/>
  <c r="E39" i="3"/>
  <c r="G39" i="3" s="1"/>
  <c r="N211" i="5" s="1"/>
  <c r="AK211" i="5" s="1"/>
  <c r="AC570" i="22" s="1"/>
  <c r="O37" i="3"/>
  <c r="M37" i="3" a="1"/>
  <c r="M37" i="3" s="1"/>
  <c r="E37" i="3"/>
  <c r="E36" i="3"/>
  <c r="G36" i="3" s="1"/>
  <c r="N203" i="5" s="1"/>
  <c r="AK203" i="5" s="1"/>
  <c r="AC538" i="22" s="1"/>
  <c r="O34" i="3"/>
  <c r="M34" i="3" a="1"/>
  <c r="M34" i="3" s="1"/>
  <c r="E34" i="3"/>
  <c r="E33" i="3"/>
  <c r="G33" i="3" s="1"/>
  <c r="N195" i="5" s="1"/>
  <c r="AK195" i="5" s="1"/>
  <c r="AC506" i="22" s="1"/>
  <c r="O31" i="3"/>
  <c r="M31" i="3" a="1"/>
  <c r="M31" i="3" s="1"/>
  <c r="E31" i="3"/>
  <c r="E30" i="3"/>
  <c r="G30" i="3" s="1"/>
  <c r="N175" i="5" s="1"/>
  <c r="AK175" i="5" s="1"/>
  <c r="AC426" i="22" s="1"/>
  <c r="O28" i="3"/>
  <c r="M28" i="3" a="1"/>
  <c r="M28" i="3" s="1"/>
  <c r="E28" i="3"/>
  <c r="E27" i="3"/>
  <c r="G27" i="3" s="1"/>
  <c r="N123" i="5" s="1"/>
  <c r="AK123" i="5" s="1"/>
  <c r="AC218" i="22" s="1"/>
  <c r="O25" i="3"/>
  <c r="M25" i="3" a="1"/>
  <c r="M25" i="3" s="1"/>
  <c r="E25" i="3"/>
  <c r="E24" i="3"/>
  <c r="G24" i="3" s="1"/>
  <c r="N115" i="5" s="1"/>
  <c r="AK115" i="5" s="1"/>
  <c r="AC186" i="22" s="1"/>
  <c r="O22" i="3"/>
  <c r="M22" i="3" a="1"/>
  <c r="M22" i="3" s="1"/>
  <c r="E22" i="3"/>
  <c r="E21" i="3"/>
  <c r="G21" i="3" s="1"/>
  <c r="N111" i="5" s="1"/>
  <c r="AK111" i="5" s="1"/>
  <c r="AC170" i="22" s="1"/>
  <c r="O19" i="3"/>
  <c r="M19" i="3" a="1"/>
  <c r="M19" i="3" s="1"/>
  <c r="E19" i="3"/>
  <c r="E18" i="3"/>
  <c r="G18" i="3" s="1"/>
  <c r="N107" i="5" s="1"/>
  <c r="AK107" i="5" s="1"/>
  <c r="AC154" i="22" s="1"/>
  <c r="O16" i="3"/>
  <c r="M16" i="3" a="1"/>
  <c r="M16" i="3" s="1"/>
  <c r="E16" i="3"/>
  <c r="E15" i="3"/>
  <c r="G15" i="3" s="1"/>
  <c r="N95" i="5" s="1"/>
  <c r="AK95" i="5" s="1"/>
  <c r="AC106" i="22" s="1"/>
  <c r="O13" i="3"/>
  <c r="M13" i="3" a="1"/>
  <c r="M13" i="3" s="1"/>
  <c r="E13" i="3"/>
  <c r="G12" i="3"/>
  <c r="N83" i="5" s="1"/>
  <c r="AK83" i="5" s="1"/>
  <c r="AC58" i="22" s="1"/>
  <c r="E12" i="3"/>
  <c r="E4" i="3"/>
  <c r="E59" i="2"/>
  <c r="E49" i="2"/>
  <c r="E41" i="2"/>
  <c r="E27" i="2"/>
  <c r="E26" i="2"/>
  <c r="F25" i="2"/>
  <c r="E22" i="2"/>
  <c r="E21" i="2"/>
  <c r="F20" i="2"/>
  <c r="E19" i="2"/>
  <c r="E5" i="2"/>
  <c r="E3" i="2"/>
  <c r="E2" i="2"/>
  <c r="B5" i="1"/>
  <c r="L23" i="61"/>
  <c r="L21" i="61"/>
  <c r="L19" i="61"/>
  <c r="Y25" i="60"/>
  <c r="Y25" i="59"/>
  <c r="Y25" i="58"/>
  <c r="Y23" i="61"/>
  <c r="L22" i="61"/>
  <c r="L20" i="61"/>
  <c r="P11" i="51"/>
  <c r="M10" i="50"/>
  <c r="K9" i="49"/>
  <c r="P2" i="51"/>
  <c r="M2" i="50"/>
  <c r="K2" i="49"/>
  <c r="AL7" i="27"/>
  <c r="AL46" i="25"/>
  <c r="AL7" i="24"/>
  <c r="AL1154" i="22"/>
  <c r="AL1138" i="22"/>
  <c r="AL1122" i="22"/>
  <c r="AL1106" i="22"/>
  <c r="AL1090" i="22"/>
  <c r="AL1074" i="22"/>
  <c r="AL1058" i="22"/>
  <c r="AL1042" i="22"/>
  <c r="AL1026" i="22"/>
  <c r="AL1010" i="22"/>
  <c r="AL994" i="22"/>
  <c r="AL978" i="22"/>
  <c r="AL46" i="28"/>
  <c r="AL7" i="28"/>
  <c r="AL46" i="27"/>
  <c r="AL7" i="25"/>
  <c r="AL46" i="24"/>
  <c r="AL1150" i="22"/>
  <c r="AL1134" i="22"/>
  <c r="AL1118" i="22"/>
  <c r="AL1102" i="22"/>
  <c r="AL1086" i="22"/>
  <c r="AL1070" i="22"/>
  <c r="AL1054" i="22"/>
  <c r="AL1038" i="22"/>
  <c r="AL1022" i="22"/>
  <c r="AL1006" i="22"/>
  <c r="AL990" i="22"/>
  <c r="AL974" i="22"/>
  <c r="AL958" i="22"/>
  <c r="AL942" i="22"/>
  <c r="AL926" i="22"/>
  <c r="AL910" i="22"/>
  <c r="AL894" i="22"/>
  <c r="AL878" i="22"/>
  <c r="AL962" i="22"/>
  <c r="AL930" i="22"/>
  <c r="AL898" i="22"/>
  <c r="AL862" i="22"/>
  <c r="AL846" i="22"/>
  <c r="AL830" i="22"/>
  <c r="AL814" i="22"/>
  <c r="AL798" i="22"/>
  <c r="AL782" i="22"/>
  <c r="AL766" i="22"/>
  <c r="AL750" i="22"/>
  <c r="AL734" i="22"/>
  <c r="AL718" i="22"/>
  <c r="AL702" i="22"/>
  <c r="AL686" i="22"/>
  <c r="AL670" i="22"/>
  <c r="AL654" i="22"/>
  <c r="AL638" i="22"/>
  <c r="AL622" i="22"/>
  <c r="AL606" i="22"/>
  <c r="AL590" i="22"/>
  <c r="AL574" i="22"/>
  <c r="AL558" i="22"/>
  <c r="AL542" i="22"/>
  <c r="AL526" i="22"/>
  <c r="AL510" i="22"/>
  <c r="AL494" i="22"/>
  <c r="AL478" i="22"/>
  <c r="AL462" i="22"/>
  <c r="AL946" i="22"/>
  <c r="AL914" i="22"/>
  <c r="AL882" i="22"/>
  <c r="AL866" i="22"/>
  <c r="AL850" i="22"/>
  <c r="AL834" i="22"/>
  <c r="AL818" i="22"/>
  <c r="AL802" i="22"/>
  <c r="AL786" i="22"/>
  <c r="AL770" i="22"/>
  <c r="AL754" i="22"/>
  <c r="AL738" i="22"/>
  <c r="AL722" i="22"/>
  <c r="AL706" i="22"/>
  <c r="AL690" i="22"/>
  <c r="AL674" i="22"/>
  <c r="AL658" i="22"/>
  <c r="AL642" i="22"/>
  <c r="AL626" i="22"/>
  <c r="AL610" i="22"/>
  <c r="AL594" i="22"/>
  <c r="AL578" i="22"/>
  <c r="AL562" i="22"/>
  <c r="AL546" i="22"/>
  <c r="AL530" i="22"/>
  <c r="AL514" i="22"/>
  <c r="AL498" i="22"/>
  <c r="AL482" i="22"/>
  <c r="AL466" i="22"/>
  <c r="AL450" i="22"/>
  <c r="AL434" i="22"/>
  <c r="AL418" i="22"/>
  <c r="AL402" i="22"/>
  <c r="AL386" i="22"/>
  <c r="AL370" i="22"/>
  <c r="AL354" i="22"/>
  <c r="AL338" i="22"/>
  <c r="AL322" i="22"/>
  <c r="AL306" i="22"/>
  <c r="AL290" i="22"/>
  <c r="AL274" i="22"/>
  <c r="AL258" i="22"/>
  <c r="AL242" i="22"/>
  <c r="AL226" i="22"/>
  <c r="AL210" i="22"/>
  <c r="AL194" i="22"/>
  <c r="AL178" i="22"/>
  <c r="AL162" i="22"/>
  <c r="AL146" i="22"/>
  <c r="AL130" i="22"/>
  <c r="AL114" i="22"/>
  <c r="AL98" i="22"/>
  <c r="AL82" i="22"/>
  <c r="AL66" i="22"/>
  <c r="AL50" i="22"/>
  <c r="AL7" i="22"/>
  <c r="AL46" i="21"/>
  <c r="AL7" i="20"/>
  <c r="AL46" i="19"/>
  <c r="AL446" i="22"/>
  <c r="AL430" i="22"/>
  <c r="AL414" i="22"/>
  <c r="AL398" i="22"/>
  <c r="AL382" i="22"/>
  <c r="AL366" i="22"/>
  <c r="AL350" i="22"/>
  <c r="AL334" i="22"/>
  <c r="AL318" i="22"/>
  <c r="AL302" i="22"/>
  <c r="AL286" i="22"/>
  <c r="AL270" i="22"/>
  <c r="AL254" i="22"/>
  <c r="AL238" i="22"/>
  <c r="AL222" i="22"/>
  <c r="AL206" i="22"/>
  <c r="AL190" i="22"/>
  <c r="AL174" i="22"/>
  <c r="AL158" i="22"/>
  <c r="AL142" i="22"/>
  <c r="AL126" i="22"/>
  <c r="AL110" i="22"/>
  <c r="AL94" i="22"/>
  <c r="AL78" i="22"/>
  <c r="AL62" i="22"/>
  <c r="AL46" i="22"/>
  <c r="AL7" i="21"/>
  <c r="AL46" i="20"/>
  <c r="AL7" i="19"/>
  <c r="AV51" i="18"/>
  <c r="AV8" i="18"/>
  <c r="AR8" i="17"/>
  <c r="AN8" i="16"/>
  <c r="AN8" i="15"/>
  <c r="AN8" i="14"/>
  <c r="AR56" i="17"/>
  <c r="AR55" i="17"/>
  <c r="AN49" i="16"/>
  <c r="AN49" i="15"/>
  <c r="AN49" i="14"/>
  <c r="AN49" i="13"/>
  <c r="AN8" i="13"/>
  <c r="AN49" i="12"/>
  <c r="AN8" i="12"/>
  <c r="AN49" i="11"/>
  <c r="AN8" i="11"/>
  <c r="J13" i="3"/>
  <c r="N291" i="5" l="1"/>
  <c r="AK291" i="5" s="1"/>
  <c r="AC890" i="22" s="1"/>
  <c r="N283" i="5"/>
  <c r="AK283" i="5" s="1"/>
  <c r="AC858" i="22" s="1"/>
  <c r="N275" i="5"/>
  <c r="AK275" i="5" s="1"/>
  <c r="AC826" i="22" s="1"/>
  <c r="N339" i="5"/>
  <c r="AK339" i="5" s="1"/>
  <c r="AC1082" i="22" s="1"/>
  <c r="N331" i="5"/>
  <c r="AK331" i="5" s="1"/>
  <c r="AC1050" i="22" s="1"/>
  <c r="N323" i="5"/>
  <c r="AK323" i="5" s="1"/>
  <c r="AC1018" i="22" s="1"/>
  <c r="N315" i="5"/>
  <c r="AK315" i="5" s="1"/>
  <c r="AC986" i="22" s="1"/>
  <c r="I10" i="45"/>
  <c r="H10" i="40"/>
  <c r="I8" i="34"/>
  <c r="I26" i="30"/>
  <c r="I11" i="33"/>
  <c r="I11" i="32"/>
  <c r="I27" i="35"/>
  <c r="H15" i="31"/>
  <c r="I11" i="45"/>
  <c r="H11" i="40"/>
  <c r="I9" i="34"/>
  <c r="H16" i="31"/>
  <c r="I27" i="30"/>
  <c r="I12" i="33"/>
  <c r="I12" i="32"/>
  <c r="I28" i="35"/>
  <c r="J48" i="11"/>
  <c r="S47" i="11"/>
  <c r="J48" i="12"/>
  <c r="S47" i="12"/>
  <c r="O20" i="58"/>
  <c r="AD44" i="14"/>
  <c r="O22" i="58"/>
  <c r="AD46" i="14"/>
  <c r="L20" i="58"/>
  <c r="S44" i="14"/>
  <c r="L22" i="58"/>
  <c r="F23" i="58" s="1"/>
  <c r="S46" i="14"/>
  <c r="K55" i="17"/>
  <c r="U54" i="17"/>
  <c r="J48" i="15"/>
  <c r="I47" i="15"/>
  <c r="J48" i="16"/>
  <c r="I47" i="16"/>
  <c r="J48" i="13"/>
  <c r="S47" i="13"/>
  <c r="K51" i="18"/>
  <c r="S51" i="18" s="1"/>
  <c r="J50" i="18"/>
  <c r="I49" i="18"/>
  <c r="N79" i="5"/>
  <c r="AK79" i="5" s="1"/>
  <c r="AC42" i="22" s="1"/>
  <c r="G649" i="43"/>
  <c r="G845" i="43"/>
  <c r="G453" i="43"/>
  <c r="G257" i="43"/>
  <c r="G59" i="43"/>
  <c r="AC57" i="22"/>
  <c r="J68" i="22"/>
  <c r="J67" i="22"/>
  <c r="J66" i="22"/>
  <c r="J65" i="22"/>
  <c r="J61" i="22"/>
  <c r="S60" i="22"/>
  <c r="J116" i="22"/>
  <c r="J115" i="22"/>
  <c r="J114" i="22"/>
  <c r="J113" i="22"/>
  <c r="J109" i="22"/>
  <c r="S108" i="22"/>
  <c r="G657" i="43"/>
  <c r="G853" i="43"/>
  <c r="G461" i="43"/>
  <c r="G265" i="43"/>
  <c r="G67" i="43"/>
  <c r="AC121" i="22"/>
  <c r="J132" i="22"/>
  <c r="J131" i="22"/>
  <c r="J130" i="22"/>
  <c r="J129" i="22"/>
  <c r="J125" i="22"/>
  <c r="S124" i="22"/>
  <c r="J180" i="22"/>
  <c r="J179" i="22"/>
  <c r="J178" i="22"/>
  <c r="J177" i="22"/>
  <c r="J173" i="22"/>
  <c r="S172" i="22"/>
  <c r="G665" i="43"/>
  <c r="G861" i="43"/>
  <c r="G469" i="43"/>
  <c r="G273" i="43"/>
  <c r="G75" i="43"/>
  <c r="AC185" i="22"/>
  <c r="J196" i="22"/>
  <c r="J195" i="22"/>
  <c r="J194" i="22"/>
  <c r="J193" i="22"/>
  <c r="J189" i="22"/>
  <c r="S188" i="22"/>
  <c r="N127" i="5"/>
  <c r="AK127" i="5" s="1"/>
  <c r="AC234" i="22" s="1"/>
  <c r="J244" i="22"/>
  <c r="J243" i="22"/>
  <c r="J242" i="22"/>
  <c r="J241" i="22"/>
  <c r="J237" i="22"/>
  <c r="S236" i="22"/>
  <c r="G673" i="43"/>
  <c r="G869" i="43"/>
  <c r="G477" i="43"/>
  <c r="G281" i="43"/>
  <c r="G83" i="43"/>
  <c r="AC249" i="22"/>
  <c r="J260" i="22"/>
  <c r="J259" i="22"/>
  <c r="J258" i="22"/>
  <c r="J257" i="22"/>
  <c r="J253" i="22"/>
  <c r="S252" i="22"/>
  <c r="N143" i="5"/>
  <c r="AK143" i="5" s="1"/>
  <c r="AC298" i="22" s="1"/>
  <c r="J308" i="22"/>
  <c r="J307" i="22"/>
  <c r="J306" i="22"/>
  <c r="J305" i="22"/>
  <c r="J301" i="22"/>
  <c r="S300" i="22"/>
  <c r="G681" i="43"/>
  <c r="G877" i="43"/>
  <c r="G485" i="43"/>
  <c r="G289" i="43"/>
  <c r="G91" i="43"/>
  <c r="AC313" i="22"/>
  <c r="J324" i="22"/>
  <c r="J323" i="22"/>
  <c r="J322" i="22"/>
  <c r="J321" i="22"/>
  <c r="J317" i="22"/>
  <c r="S316" i="22"/>
  <c r="N159" i="5"/>
  <c r="AK159" i="5" s="1"/>
  <c r="AC362" i="22" s="1"/>
  <c r="J372" i="22"/>
  <c r="J371" i="22"/>
  <c r="J370" i="22"/>
  <c r="J369" i="22"/>
  <c r="J365" i="22"/>
  <c r="S364" i="22"/>
  <c r="G689" i="43"/>
  <c r="G885" i="43"/>
  <c r="G493" i="43"/>
  <c r="G297" i="43"/>
  <c r="G99" i="43"/>
  <c r="AC377" i="22"/>
  <c r="J388" i="22"/>
  <c r="J387" i="22"/>
  <c r="J386" i="22"/>
  <c r="J385" i="22"/>
  <c r="J381" i="22"/>
  <c r="S380" i="22"/>
  <c r="J436" i="22"/>
  <c r="J435" i="22"/>
  <c r="J434" i="22"/>
  <c r="J433" i="22"/>
  <c r="J429" i="22"/>
  <c r="S428" i="22"/>
  <c r="G697" i="43"/>
  <c r="G893" i="43"/>
  <c r="G501" i="43"/>
  <c r="G305" i="43"/>
  <c r="G107" i="43"/>
  <c r="AC441" i="22"/>
  <c r="J452" i="22"/>
  <c r="J451" i="22"/>
  <c r="J450" i="22"/>
  <c r="J449" i="22"/>
  <c r="J445" i="22"/>
  <c r="S444" i="22"/>
  <c r="N191" i="5"/>
  <c r="AK191" i="5" s="1"/>
  <c r="AC490" i="22" s="1"/>
  <c r="J497" i="22"/>
  <c r="J493" i="22"/>
  <c r="S492" i="22"/>
  <c r="J500" i="22"/>
  <c r="J499" i="22"/>
  <c r="J498" i="22"/>
  <c r="G705" i="43"/>
  <c r="G901" i="43"/>
  <c r="G509" i="43"/>
  <c r="G313" i="43"/>
  <c r="G115" i="43"/>
  <c r="AC505" i="22"/>
  <c r="N207" i="5"/>
  <c r="AK207" i="5" s="1"/>
  <c r="AC554" i="22" s="1"/>
  <c r="J561" i="22"/>
  <c r="J557" i="22"/>
  <c r="S556" i="22"/>
  <c r="J564" i="22"/>
  <c r="J563" i="22"/>
  <c r="J562" i="22"/>
  <c r="G713" i="43"/>
  <c r="G909" i="43"/>
  <c r="G517" i="43"/>
  <c r="G321" i="43"/>
  <c r="G123" i="43"/>
  <c r="AC569" i="22"/>
  <c r="N223" i="5"/>
  <c r="AK223" i="5" s="1"/>
  <c r="AC618" i="22" s="1"/>
  <c r="J625" i="22"/>
  <c r="J621" i="22"/>
  <c r="S620" i="22"/>
  <c r="J628" i="22"/>
  <c r="J627" i="22"/>
  <c r="J626" i="22"/>
  <c r="G721" i="43"/>
  <c r="G917" i="43"/>
  <c r="G525" i="43"/>
  <c r="G329" i="43"/>
  <c r="G131" i="43"/>
  <c r="AC633" i="22"/>
  <c r="N239" i="5"/>
  <c r="AK239" i="5" s="1"/>
  <c r="AC682" i="22" s="1"/>
  <c r="J689" i="22"/>
  <c r="J685" i="22"/>
  <c r="S684" i="22"/>
  <c r="J692" i="22"/>
  <c r="J691" i="22"/>
  <c r="J690" i="22"/>
  <c r="G729" i="43"/>
  <c r="G925" i="43"/>
  <c r="G533" i="43"/>
  <c r="G337" i="43"/>
  <c r="G139" i="43"/>
  <c r="AC697" i="22"/>
  <c r="J753" i="22"/>
  <c r="J749" i="22"/>
  <c r="S748" i="22"/>
  <c r="J756" i="22"/>
  <c r="J755" i="22"/>
  <c r="J754" i="22"/>
  <c r="G737" i="43"/>
  <c r="G933" i="43"/>
  <c r="G541" i="43"/>
  <c r="G345" i="43"/>
  <c r="G147" i="43"/>
  <c r="AC761" i="22"/>
  <c r="J817" i="22"/>
  <c r="J813" i="22"/>
  <c r="S812" i="22"/>
  <c r="J820" i="22"/>
  <c r="J819" i="22"/>
  <c r="J818" i="22"/>
  <c r="G745" i="43"/>
  <c r="G941" i="43"/>
  <c r="G549" i="43"/>
  <c r="G353" i="43"/>
  <c r="G155" i="43"/>
  <c r="AC825" i="22"/>
  <c r="N287" i="5"/>
  <c r="AK287" i="5" s="1"/>
  <c r="AC874" i="22" s="1"/>
  <c r="J881" i="22"/>
  <c r="J877" i="22"/>
  <c r="S876" i="22"/>
  <c r="J882" i="22"/>
  <c r="J884" i="22"/>
  <c r="J883" i="22"/>
  <c r="G753" i="43"/>
  <c r="G949" i="43"/>
  <c r="G557" i="43"/>
  <c r="G361" i="43"/>
  <c r="G163" i="43"/>
  <c r="AC889" i="22"/>
  <c r="N303" i="5"/>
  <c r="AK303" i="5" s="1"/>
  <c r="AC938" i="22" s="1"/>
  <c r="J945" i="22"/>
  <c r="J941" i="22"/>
  <c r="S940" i="22"/>
  <c r="J946" i="22"/>
  <c r="J948" i="22"/>
  <c r="J947" i="22"/>
  <c r="G761" i="43"/>
  <c r="G957" i="43"/>
  <c r="G565" i="43"/>
  <c r="G369" i="43"/>
  <c r="G171" i="43"/>
  <c r="AC953" i="22"/>
  <c r="N319" i="5"/>
  <c r="AK319" i="5" s="1"/>
  <c r="AC1002" i="22" s="1"/>
  <c r="J1012" i="22"/>
  <c r="J1011" i="22"/>
  <c r="J1010" i="22"/>
  <c r="J1009" i="22"/>
  <c r="J1005" i="22"/>
  <c r="S1004" i="22"/>
  <c r="G769" i="43"/>
  <c r="G965" i="43"/>
  <c r="G573" i="43"/>
  <c r="G377" i="43"/>
  <c r="G179" i="43"/>
  <c r="AC1017" i="22"/>
  <c r="N335" i="5"/>
  <c r="AK335" i="5" s="1"/>
  <c r="AC1066" i="22" s="1"/>
  <c r="J1076" i="22"/>
  <c r="J1075" i="22"/>
  <c r="J1074" i="22"/>
  <c r="J1073" i="22"/>
  <c r="J1069" i="22"/>
  <c r="S1068" i="22"/>
  <c r="G777" i="43"/>
  <c r="G973" i="43"/>
  <c r="G581" i="43"/>
  <c r="G385" i="43"/>
  <c r="G187" i="43"/>
  <c r="AC1081" i="22"/>
  <c r="J1140" i="22"/>
  <c r="J1139" i="22"/>
  <c r="J1138" i="22"/>
  <c r="J1137" i="22"/>
  <c r="J1133" i="22"/>
  <c r="S1132" i="22"/>
  <c r="G785" i="43"/>
  <c r="G981" i="43"/>
  <c r="G589" i="43"/>
  <c r="G393" i="43"/>
  <c r="G195" i="43"/>
  <c r="AC1145" i="22"/>
  <c r="D36" i="7"/>
  <c r="D37" i="7" s="1"/>
  <c r="D38" i="7" s="1"/>
  <c r="D34" i="7"/>
  <c r="D33" i="7"/>
  <c r="J7" i="11"/>
  <c r="S6" i="11"/>
  <c r="K8" i="12"/>
  <c r="S8" i="12" s="1"/>
  <c r="S7" i="12"/>
  <c r="K8" i="14"/>
  <c r="S8" i="14" s="1"/>
  <c r="S7" i="14"/>
  <c r="K8" i="15"/>
  <c r="S8" i="15" s="1"/>
  <c r="S7" i="15"/>
  <c r="K8" i="16"/>
  <c r="S8" i="16" s="1"/>
  <c r="S7" i="16"/>
  <c r="K8" i="17"/>
  <c r="U7" i="17"/>
  <c r="N99" i="5"/>
  <c r="AK99" i="5" s="1"/>
  <c r="AC122" i="22" s="1"/>
  <c r="N91" i="5"/>
  <c r="AK91" i="5" s="1"/>
  <c r="AC90" i="22" s="1"/>
  <c r="N187" i="5"/>
  <c r="AK187" i="5" s="1"/>
  <c r="AC474" i="22" s="1"/>
  <c r="N179" i="5"/>
  <c r="AK179" i="5" s="1"/>
  <c r="AC442" i="22" s="1"/>
  <c r="N171" i="5"/>
  <c r="AK171" i="5" s="1"/>
  <c r="AC410" i="22" s="1"/>
  <c r="N163" i="5"/>
  <c r="AK163" i="5" s="1"/>
  <c r="AC378" i="22" s="1"/>
  <c r="N155" i="5"/>
  <c r="AK155" i="5" s="1"/>
  <c r="AC346" i="22" s="1"/>
  <c r="N147" i="5"/>
  <c r="AK147" i="5" s="1"/>
  <c r="AC314" i="22" s="1"/>
  <c r="N139" i="5"/>
  <c r="AK139" i="5" s="1"/>
  <c r="AC282" i="22" s="1"/>
  <c r="N131" i="5"/>
  <c r="AK131" i="5" s="1"/>
  <c r="AC250" i="22" s="1"/>
  <c r="N251" i="5"/>
  <c r="AK251" i="5" s="1"/>
  <c r="AC730" i="22" s="1"/>
  <c r="N243" i="5"/>
  <c r="AK243" i="5" s="1"/>
  <c r="AC698" i="22" s="1"/>
  <c r="N235" i="5"/>
  <c r="AK235" i="5" s="1"/>
  <c r="AC666" i="22" s="1"/>
  <c r="N227" i="5"/>
  <c r="AK227" i="5" s="1"/>
  <c r="AC634" i="22" s="1"/>
  <c r="N267" i="5"/>
  <c r="AK267" i="5" s="1"/>
  <c r="AC794" i="22" s="1"/>
  <c r="N259" i="5"/>
  <c r="AK259" i="5" s="1"/>
  <c r="AC762" i="22" s="1"/>
  <c r="I9" i="45"/>
  <c r="H9" i="40"/>
  <c r="I7" i="34"/>
  <c r="H14" i="31"/>
  <c r="I25" i="30"/>
  <c r="I10" i="33"/>
  <c r="I10" i="32"/>
  <c r="I26" i="35"/>
  <c r="J45" i="19"/>
  <c r="S44" i="19"/>
  <c r="J45" i="20"/>
  <c r="S44" i="20"/>
  <c r="J45" i="21"/>
  <c r="S44" i="21"/>
  <c r="J52" i="22"/>
  <c r="J51" i="22"/>
  <c r="J50" i="22"/>
  <c r="J49" i="22"/>
  <c r="J45" i="22"/>
  <c r="S44" i="22"/>
  <c r="N87" i="5"/>
  <c r="AK87" i="5" s="1"/>
  <c r="AC74" i="22" s="1"/>
  <c r="J84" i="22"/>
  <c r="J83" i="22"/>
  <c r="J82" i="22"/>
  <c r="J81" i="22"/>
  <c r="J77" i="22"/>
  <c r="S76" i="22"/>
  <c r="G653" i="43"/>
  <c r="G849" i="43"/>
  <c r="G261" i="43"/>
  <c r="G63" i="43"/>
  <c r="G457" i="43"/>
  <c r="AC89" i="22"/>
  <c r="J100" i="22"/>
  <c r="J99" i="22"/>
  <c r="J98" i="22"/>
  <c r="J97" i="22"/>
  <c r="J93" i="22"/>
  <c r="S92" i="22"/>
  <c r="N103" i="5"/>
  <c r="AK103" i="5" s="1"/>
  <c r="AC138" i="22" s="1"/>
  <c r="J148" i="22"/>
  <c r="J147" i="22"/>
  <c r="J146" i="22"/>
  <c r="J145" i="22"/>
  <c r="J141" i="22"/>
  <c r="S140" i="22"/>
  <c r="G661" i="43"/>
  <c r="G857" i="43"/>
  <c r="G465" i="43"/>
  <c r="G269" i="43"/>
  <c r="G71" i="43"/>
  <c r="AC153" i="22"/>
  <c r="J164" i="22"/>
  <c r="J163" i="22"/>
  <c r="J162" i="22"/>
  <c r="J161" i="22"/>
  <c r="J157" i="22"/>
  <c r="S156" i="22"/>
  <c r="N119" i="5"/>
  <c r="AK119" i="5" s="1"/>
  <c r="AC202" i="22" s="1"/>
  <c r="J212" i="22"/>
  <c r="J211" i="22"/>
  <c r="J210" i="22"/>
  <c r="J209" i="22"/>
  <c r="J205" i="22"/>
  <c r="S204" i="22"/>
  <c r="G669" i="43"/>
  <c r="G865" i="43"/>
  <c r="G473" i="43"/>
  <c r="G277" i="43"/>
  <c r="G79" i="43"/>
  <c r="AC217" i="22"/>
  <c r="J228" i="22"/>
  <c r="J227" i="22"/>
  <c r="J226" i="22"/>
  <c r="J225" i="22"/>
  <c r="J221" i="22"/>
  <c r="S220" i="22"/>
  <c r="N135" i="5"/>
  <c r="AK135" i="5" s="1"/>
  <c r="AC266" i="22" s="1"/>
  <c r="J276" i="22"/>
  <c r="J275" i="22"/>
  <c r="J274" i="22"/>
  <c r="J273" i="22"/>
  <c r="J269" i="22"/>
  <c r="S268" i="22"/>
  <c r="G677" i="43"/>
  <c r="G873" i="43"/>
  <c r="G481" i="43"/>
  <c r="G285" i="43"/>
  <c r="G87" i="43"/>
  <c r="AC281" i="22"/>
  <c r="J292" i="22"/>
  <c r="J291" i="22"/>
  <c r="J290" i="22"/>
  <c r="J289" i="22"/>
  <c r="J285" i="22"/>
  <c r="S284" i="22"/>
  <c r="N151" i="5"/>
  <c r="AK151" i="5" s="1"/>
  <c r="AC330" i="22" s="1"/>
  <c r="J340" i="22"/>
  <c r="J339" i="22"/>
  <c r="J338" i="22"/>
  <c r="J337" i="22"/>
  <c r="J333" i="22"/>
  <c r="S332" i="22"/>
  <c r="G685" i="43"/>
  <c r="G881" i="43"/>
  <c r="G489" i="43"/>
  <c r="G293" i="43"/>
  <c r="G95" i="43"/>
  <c r="AC345" i="22"/>
  <c r="J356" i="22"/>
  <c r="J355" i="22"/>
  <c r="J354" i="22"/>
  <c r="J353" i="22"/>
  <c r="J349" i="22"/>
  <c r="S348" i="22"/>
  <c r="N167" i="5"/>
  <c r="AK167" i="5" s="1"/>
  <c r="AC394" i="22" s="1"/>
  <c r="J404" i="22"/>
  <c r="J403" i="22"/>
  <c r="J402" i="22"/>
  <c r="J401" i="22"/>
  <c r="J397" i="22"/>
  <c r="S396" i="22"/>
  <c r="G693" i="43"/>
  <c r="G889" i="43"/>
  <c r="G497" i="43"/>
  <c r="G301" i="43"/>
  <c r="G103" i="43"/>
  <c r="AC409" i="22"/>
  <c r="J420" i="22"/>
  <c r="J419" i="22"/>
  <c r="J418" i="22"/>
  <c r="J417" i="22"/>
  <c r="J413" i="22"/>
  <c r="S412" i="22"/>
  <c r="N183" i="5"/>
  <c r="AK183" i="5" s="1"/>
  <c r="AC458" i="22" s="1"/>
  <c r="J465" i="22"/>
  <c r="J461" i="22"/>
  <c r="S460" i="22"/>
  <c r="J468" i="22"/>
  <c r="J467" i="22"/>
  <c r="J466" i="22"/>
  <c r="G701" i="43"/>
  <c r="G897" i="43"/>
  <c r="G505" i="43"/>
  <c r="G309" i="43"/>
  <c r="G111" i="43"/>
  <c r="AC473" i="22"/>
  <c r="N199" i="5"/>
  <c r="AK199" i="5" s="1"/>
  <c r="AC522" i="22" s="1"/>
  <c r="J529" i="22"/>
  <c r="J525" i="22"/>
  <c r="S524" i="22"/>
  <c r="J532" i="22"/>
  <c r="J531" i="22"/>
  <c r="J530" i="22"/>
  <c r="G709" i="43"/>
  <c r="G905" i="43"/>
  <c r="G513" i="43"/>
  <c r="G317" i="43"/>
  <c r="G119" i="43"/>
  <c r="AC537" i="22"/>
  <c r="N215" i="5"/>
  <c r="AK215" i="5" s="1"/>
  <c r="AC586" i="22" s="1"/>
  <c r="J593" i="22"/>
  <c r="J589" i="22"/>
  <c r="S588" i="22"/>
  <c r="J596" i="22"/>
  <c r="J595" i="22"/>
  <c r="J594" i="22"/>
  <c r="G717" i="43"/>
  <c r="G913" i="43"/>
  <c r="G521" i="43"/>
  <c r="G325" i="43"/>
  <c r="G127" i="43"/>
  <c r="AC601" i="22"/>
  <c r="N231" i="5"/>
  <c r="AK231" i="5" s="1"/>
  <c r="AC650" i="22" s="1"/>
  <c r="J657" i="22"/>
  <c r="J653" i="22"/>
  <c r="S652" i="22"/>
  <c r="J660" i="22"/>
  <c r="J659" i="22"/>
  <c r="J658" i="22"/>
  <c r="G725" i="43"/>
  <c r="G921" i="43"/>
  <c r="G529" i="43"/>
  <c r="G333" i="43"/>
  <c r="G135" i="43"/>
  <c r="AC665" i="22"/>
  <c r="N247" i="5"/>
  <c r="AK247" i="5" s="1"/>
  <c r="AC714" i="22" s="1"/>
  <c r="J721" i="22"/>
  <c r="J717" i="22"/>
  <c r="S716" i="22"/>
  <c r="J724" i="22"/>
  <c r="J723" i="22"/>
  <c r="J722" i="22"/>
  <c r="G733" i="43"/>
  <c r="G929" i="43"/>
  <c r="G537" i="43"/>
  <c r="G341" i="43"/>
  <c r="G143" i="43"/>
  <c r="AC729" i="22"/>
  <c r="N263" i="5"/>
  <c r="AK263" i="5" s="1"/>
  <c r="AC778" i="22" s="1"/>
  <c r="J785" i="22"/>
  <c r="J781" i="22"/>
  <c r="S780" i="22"/>
  <c r="J788" i="22"/>
  <c r="J787" i="22"/>
  <c r="J786" i="22"/>
  <c r="G741" i="43"/>
  <c r="G937" i="43"/>
  <c r="G545" i="43"/>
  <c r="G349" i="43"/>
  <c r="G151" i="43"/>
  <c r="AC793" i="22"/>
  <c r="N279" i="5"/>
  <c r="AK279" i="5" s="1"/>
  <c r="AC842" i="22" s="1"/>
  <c r="J849" i="22"/>
  <c r="J845" i="22"/>
  <c r="S844" i="22"/>
  <c r="J852" i="22"/>
  <c r="J851" i="22"/>
  <c r="J850" i="22"/>
  <c r="G749" i="43"/>
  <c r="G945" i="43"/>
  <c r="G553" i="43"/>
  <c r="G357" i="43"/>
  <c r="G159" i="43"/>
  <c r="AC857" i="22"/>
  <c r="J913" i="22"/>
  <c r="J909" i="22"/>
  <c r="S908" i="22"/>
  <c r="J914" i="22"/>
  <c r="J916" i="22"/>
  <c r="J915" i="22"/>
  <c r="G757" i="43"/>
  <c r="G953" i="43"/>
  <c r="G561" i="43"/>
  <c r="G365" i="43"/>
  <c r="G167" i="43"/>
  <c r="AC921" i="22"/>
  <c r="N311" i="5"/>
  <c r="AK311" i="5" s="1"/>
  <c r="AC970" i="22" s="1"/>
  <c r="J980" i="22"/>
  <c r="J979" i="22"/>
  <c r="J978" i="22"/>
  <c r="J977" i="22"/>
  <c r="J973" i="22"/>
  <c r="S972" i="22"/>
  <c r="G765" i="43"/>
  <c r="G961" i="43"/>
  <c r="G569" i="43"/>
  <c r="G373" i="43"/>
  <c r="G175" i="43"/>
  <c r="AC985" i="22"/>
  <c r="N327" i="5"/>
  <c r="AK327" i="5" s="1"/>
  <c r="AC1034" i="22" s="1"/>
  <c r="J1044" i="22"/>
  <c r="J1043" i="22"/>
  <c r="J1042" i="22"/>
  <c r="J1041" i="22"/>
  <c r="J1037" i="22"/>
  <c r="S1036" i="22"/>
  <c r="G773" i="43"/>
  <c r="G969" i="43"/>
  <c r="G577" i="43"/>
  <c r="G381" i="43"/>
  <c r="G183" i="43"/>
  <c r="AC1049" i="22"/>
  <c r="N343" i="5"/>
  <c r="AK343" i="5" s="1"/>
  <c r="AC1098" i="22" s="1"/>
  <c r="J1108" i="22"/>
  <c r="J1107" i="22"/>
  <c r="J1106" i="22"/>
  <c r="J1105" i="22"/>
  <c r="J1101" i="22"/>
  <c r="S1100" i="22"/>
  <c r="G781" i="43"/>
  <c r="G977" i="43"/>
  <c r="G585" i="43"/>
  <c r="G389" i="43"/>
  <c r="G191" i="43"/>
  <c r="AC1113" i="22"/>
  <c r="F984" i="43"/>
  <c r="F592" i="43"/>
  <c r="F788" i="43"/>
  <c r="F198" i="43"/>
  <c r="F396" i="43"/>
  <c r="G788" i="43"/>
  <c r="G984" i="43"/>
  <c r="G592" i="43"/>
  <c r="G396" i="43"/>
  <c r="G198" i="43"/>
  <c r="AD46" i="23"/>
  <c r="F987" i="43"/>
  <c r="F595" i="43"/>
  <c r="F791" i="43"/>
  <c r="F201" i="43"/>
  <c r="F399" i="43"/>
  <c r="G791" i="43"/>
  <c r="G987" i="43"/>
  <c r="G595" i="43"/>
  <c r="G399" i="43"/>
  <c r="AC41" i="28"/>
  <c r="G201" i="43"/>
  <c r="AC41" i="27"/>
  <c r="AC43" i="28"/>
  <c r="AC43" i="27"/>
  <c r="S41" i="28"/>
  <c r="S41" i="27"/>
  <c r="S43" i="28"/>
  <c r="I44" i="28" s="1"/>
  <c r="S43" i="27"/>
  <c r="I44" i="27" s="1"/>
  <c r="F990" i="43"/>
  <c r="F598" i="43"/>
  <c r="F794" i="43"/>
  <c r="F204" i="43"/>
  <c r="F402" i="43"/>
  <c r="G794" i="43"/>
  <c r="G990" i="43"/>
  <c r="G598" i="43"/>
  <c r="G402" i="43"/>
  <c r="G204" i="43"/>
  <c r="F993" i="43"/>
  <c r="F601" i="43"/>
  <c r="F797" i="43"/>
  <c r="F207" i="43"/>
  <c r="F405" i="43"/>
  <c r="G797" i="43"/>
  <c r="G993" i="43"/>
  <c r="G601" i="43"/>
  <c r="G405" i="43"/>
  <c r="AD46" i="29"/>
  <c r="G207" i="43"/>
  <c r="F996" i="43"/>
  <c r="F604" i="43"/>
  <c r="F800" i="43"/>
  <c r="F210" i="43"/>
  <c r="F408" i="43"/>
  <c r="G800" i="43"/>
  <c r="G996" i="43"/>
  <c r="G604" i="43"/>
  <c r="G408" i="43"/>
  <c r="G210" i="43"/>
  <c r="AC41" i="24"/>
  <c r="J45" i="24"/>
  <c r="S44" i="24"/>
  <c r="F999" i="43"/>
  <c r="F607" i="43"/>
  <c r="F803" i="43"/>
  <c r="F213" i="43"/>
  <c r="F411" i="43"/>
  <c r="G803" i="43"/>
  <c r="G999" i="43"/>
  <c r="G607" i="43"/>
  <c r="G411" i="43"/>
  <c r="AC41" i="25"/>
  <c r="G213" i="43"/>
  <c r="J45" i="25"/>
  <c r="S44" i="25"/>
  <c r="F1002" i="43"/>
  <c r="F610" i="43"/>
  <c r="F806" i="43"/>
  <c r="F216" i="43"/>
  <c r="F414" i="43"/>
  <c r="G806" i="43"/>
  <c r="G1002" i="43"/>
  <c r="G610" i="43"/>
  <c r="G414" i="43"/>
  <c r="G216" i="43"/>
  <c r="AD46" i="26"/>
  <c r="D35" i="7"/>
  <c r="K8" i="13"/>
  <c r="S8" i="13" s="1"/>
  <c r="S7" i="13"/>
  <c r="J6" i="19"/>
  <c r="S5" i="19"/>
  <c r="J6" i="20"/>
  <c r="S5" i="20"/>
  <c r="J6" i="21"/>
  <c r="S5" i="21"/>
  <c r="J6" i="22"/>
  <c r="S5" i="22"/>
  <c r="F810" i="43"/>
  <c r="F614" i="43"/>
  <c r="F418" i="43"/>
  <c r="F24" i="43"/>
  <c r="F222" i="43"/>
  <c r="G614" i="43"/>
  <c r="G810" i="43"/>
  <c r="G222" i="43"/>
  <c r="G5" i="43"/>
  <c r="G2" i="43"/>
  <c r="G418" i="43"/>
  <c r="G24" i="43"/>
  <c r="F617" i="43"/>
  <c r="F813" i="43"/>
  <c r="F225" i="43"/>
  <c r="F421" i="43"/>
  <c r="F27" i="43"/>
  <c r="G813" i="43"/>
  <c r="G617" i="43"/>
  <c r="G421" i="43"/>
  <c r="G27" i="43"/>
  <c r="G225" i="43"/>
  <c r="F620" i="43"/>
  <c r="F816" i="43"/>
  <c r="F228" i="43"/>
  <c r="F424" i="43"/>
  <c r="F30" i="43"/>
  <c r="O19" i="58"/>
  <c r="G816" i="43"/>
  <c r="G620" i="43"/>
  <c r="G424" i="43"/>
  <c r="G30" i="43"/>
  <c r="G228" i="43"/>
  <c r="F623" i="43"/>
  <c r="F819" i="43"/>
  <c r="F231" i="43"/>
  <c r="F427" i="43"/>
  <c r="F33" i="43"/>
  <c r="G819" i="43"/>
  <c r="G623" i="43"/>
  <c r="G427" i="43"/>
  <c r="G33" i="43"/>
  <c r="G231" i="43"/>
  <c r="F626" i="43"/>
  <c r="F822" i="43"/>
  <c r="F234" i="43"/>
  <c r="F430" i="43"/>
  <c r="F36" i="43"/>
  <c r="G822" i="43"/>
  <c r="G626" i="43"/>
  <c r="G430" i="43"/>
  <c r="G36" i="43"/>
  <c r="G234" i="43"/>
  <c r="F629" i="43"/>
  <c r="F825" i="43"/>
  <c r="F237" i="43"/>
  <c r="F433" i="43"/>
  <c r="F39" i="43"/>
  <c r="G825" i="43"/>
  <c r="G629" i="43"/>
  <c r="G433" i="43"/>
  <c r="G39" i="43"/>
  <c r="G237" i="43"/>
  <c r="F632" i="43"/>
  <c r="F828" i="43"/>
  <c r="F240" i="43"/>
  <c r="F436" i="43"/>
  <c r="F42" i="43"/>
  <c r="G828" i="43"/>
  <c r="G632" i="43"/>
  <c r="G436" i="43"/>
  <c r="G42" i="43"/>
  <c r="G240" i="43"/>
  <c r="F635" i="43"/>
  <c r="F831" i="43"/>
  <c r="F243" i="43"/>
  <c r="F439" i="43"/>
  <c r="F45" i="43"/>
  <c r="G831" i="43"/>
  <c r="G439" i="43"/>
  <c r="G635" i="43"/>
  <c r="G45" i="43"/>
  <c r="G243" i="43"/>
  <c r="F638" i="43"/>
  <c r="F834" i="43"/>
  <c r="F442" i="43"/>
  <c r="F246" i="43"/>
  <c r="F48" i="43"/>
  <c r="G834" i="43"/>
  <c r="G442" i="43"/>
  <c r="G638" i="43"/>
  <c r="G48" i="43"/>
  <c r="G246" i="43"/>
  <c r="F641" i="43"/>
  <c r="F837" i="43"/>
  <c r="F249" i="43"/>
  <c r="F51" i="43"/>
  <c r="F445" i="43"/>
  <c r="G837" i="43"/>
  <c r="G445" i="43"/>
  <c r="G641" i="43"/>
  <c r="G51" i="43"/>
  <c r="G249" i="43"/>
  <c r="F644" i="43"/>
  <c r="F840" i="43"/>
  <c r="F448" i="43"/>
  <c r="F252" i="43"/>
  <c r="F54" i="43"/>
  <c r="G840" i="43"/>
  <c r="G448" i="43"/>
  <c r="G644" i="43"/>
  <c r="G54" i="43"/>
  <c r="G252" i="43"/>
  <c r="F647" i="43"/>
  <c r="F843" i="43"/>
  <c r="F255" i="43"/>
  <c r="F451" i="43"/>
  <c r="F57" i="43"/>
  <c r="G843" i="43"/>
  <c r="G451" i="43"/>
  <c r="G647" i="43"/>
  <c r="G57" i="43"/>
  <c r="G255" i="43"/>
  <c r="AI83" i="5"/>
  <c r="G847" i="43"/>
  <c r="G455" i="43"/>
  <c r="G651" i="43"/>
  <c r="G61" i="43"/>
  <c r="G259" i="43"/>
  <c r="AI91" i="5"/>
  <c r="G851" i="43"/>
  <c r="G459" i="43"/>
  <c r="G655" i="43"/>
  <c r="G65" i="43"/>
  <c r="G263" i="43"/>
  <c r="AI99" i="5"/>
  <c r="G855" i="43"/>
  <c r="G463" i="43"/>
  <c r="G659" i="43"/>
  <c r="G69" i="43"/>
  <c r="G267" i="43"/>
  <c r="AI107" i="5"/>
  <c r="G859" i="43"/>
  <c r="G467" i="43"/>
  <c r="G663" i="43"/>
  <c r="G73" i="43"/>
  <c r="G271" i="43"/>
  <c r="AI115" i="5"/>
  <c r="G863" i="43"/>
  <c r="G471" i="43"/>
  <c r="G667" i="43"/>
  <c r="G77" i="43"/>
  <c r="G275" i="43"/>
  <c r="AI123" i="5"/>
  <c r="G867" i="43"/>
  <c r="G475" i="43"/>
  <c r="G671" i="43"/>
  <c r="G81" i="43"/>
  <c r="G279" i="43"/>
  <c r="AI131" i="5"/>
  <c r="G871" i="43"/>
  <c r="G479" i="43"/>
  <c r="G675" i="43"/>
  <c r="G85" i="43"/>
  <c r="G283" i="43"/>
  <c r="AI139" i="5"/>
  <c r="G875" i="43"/>
  <c r="G483" i="43"/>
  <c r="G679" i="43"/>
  <c r="G89" i="43"/>
  <c r="G287" i="43"/>
  <c r="AI147" i="5"/>
  <c r="G879" i="43"/>
  <c r="G487" i="43"/>
  <c r="G683" i="43"/>
  <c r="G93" i="43"/>
  <c r="G291" i="43"/>
  <c r="AI155" i="5"/>
  <c r="G883" i="43"/>
  <c r="G491" i="43"/>
  <c r="G687" i="43"/>
  <c r="G97" i="43"/>
  <c r="G295" i="43"/>
  <c r="AI163" i="5"/>
  <c r="G887" i="43"/>
  <c r="G495" i="43"/>
  <c r="G691" i="43"/>
  <c r="G101" i="43"/>
  <c r="G299" i="43"/>
  <c r="AI171" i="5"/>
  <c r="G891" i="43"/>
  <c r="G499" i="43"/>
  <c r="G695" i="43"/>
  <c r="G105" i="43"/>
  <c r="G303" i="43"/>
  <c r="AI179" i="5"/>
  <c r="G895" i="43"/>
  <c r="G503" i="43"/>
  <c r="G699" i="43"/>
  <c r="G109" i="43"/>
  <c r="G307" i="43"/>
  <c r="AI187" i="5"/>
  <c r="J481" i="22"/>
  <c r="J477" i="22"/>
  <c r="S476" i="22"/>
  <c r="J484" i="22"/>
  <c r="J483" i="22"/>
  <c r="J482" i="22"/>
  <c r="G899" i="43"/>
  <c r="G507" i="43"/>
  <c r="G703" i="43"/>
  <c r="G113" i="43"/>
  <c r="G311" i="43"/>
  <c r="AC489" i="22"/>
  <c r="AI195" i="5"/>
  <c r="J513" i="22"/>
  <c r="J509" i="22"/>
  <c r="S508" i="22"/>
  <c r="J516" i="22"/>
  <c r="J515" i="22"/>
  <c r="J514" i="22"/>
  <c r="G903" i="43"/>
  <c r="G511" i="43"/>
  <c r="G707" i="43"/>
  <c r="G117" i="43"/>
  <c r="G315" i="43"/>
  <c r="AC521" i="22"/>
  <c r="AI203" i="5"/>
  <c r="J545" i="22"/>
  <c r="J541" i="22"/>
  <c r="S540" i="22"/>
  <c r="J548" i="22"/>
  <c r="J547" i="22"/>
  <c r="J546" i="22"/>
  <c r="G907" i="43"/>
  <c r="G515" i="43"/>
  <c r="G711" i="43"/>
  <c r="G121" i="43"/>
  <c r="G319" i="43"/>
  <c r="AC553" i="22"/>
  <c r="AI211" i="5"/>
  <c r="J577" i="22"/>
  <c r="J573" i="22"/>
  <c r="S572" i="22"/>
  <c r="J580" i="22"/>
  <c r="J579" i="22"/>
  <c r="J578" i="22"/>
  <c r="G911" i="43"/>
  <c r="G519" i="43"/>
  <c r="G715" i="43"/>
  <c r="G125" i="43"/>
  <c r="G323" i="43"/>
  <c r="AC585" i="22"/>
  <c r="AI219" i="5"/>
  <c r="J609" i="22"/>
  <c r="J605" i="22"/>
  <c r="S604" i="22"/>
  <c r="J612" i="22"/>
  <c r="J611" i="22"/>
  <c r="J610" i="22"/>
  <c r="G915" i="43"/>
  <c r="G523" i="43"/>
  <c r="G719" i="43"/>
  <c r="G129" i="43"/>
  <c r="G327" i="43"/>
  <c r="AC617" i="22"/>
  <c r="AI227" i="5"/>
  <c r="J641" i="22"/>
  <c r="J637" i="22"/>
  <c r="S636" i="22"/>
  <c r="J644" i="22"/>
  <c r="J643" i="22"/>
  <c r="J642" i="22"/>
  <c r="G919" i="43"/>
  <c r="G527" i="43"/>
  <c r="G723" i="43"/>
  <c r="G133" i="43"/>
  <c r="G331" i="43"/>
  <c r="AC649" i="22"/>
  <c r="AI235" i="5"/>
  <c r="J673" i="22"/>
  <c r="J669" i="22"/>
  <c r="S668" i="22"/>
  <c r="J676" i="22"/>
  <c r="J675" i="22"/>
  <c r="J674" i="22"/>
  <c r="G923" i="43"/>
  <c r="G531" i="43"/>
  <c r="G727" i="43"/>
  <c r="G137" i="43"/>
  <c r="G335" i="43"/>
  <c r="AC681" i="22"/>
  <c r="AI243" i="5"/>
  <c r="J705" i="22"/>
  <c r="J701" i="22"/>
  <c r="S700" i="22"/>
  <c r="J708" i="22"/>
  <c r="J707" i="22"/>
  <c r="J706" i="22"/>
  <c r="G927" i="43"/>
  <c r="G535" i="43"/>
  <c r="G731" i="43"/>
  <c r="G141" i="43"/>
  <c r="G339" i="43"/>
  <c r="AC713" i="22"/>
  <c r="AI251" i="5"/>
  <c r="J737" i="22"/>
  <c r="J733" i="22"/>
  <c r="S732" i="22"/>
  <c r="J740" i="22"/>
  <c r="J739" i="22"/>
  <c r="J738" i="22"/>
  <c r="G931" i="43"/>
  <c r="G539" i="43"/>
  <c r="G735" i="43"/>
  <c r="G145" i="43"/>
  <c r="G343" i="43"/>
  <c r="AC745" i="22"/>
  <c r="AI259" i="5"/>
  <c r="J769" i="22"/>
  <c r="J765" i="22"/>
  <c r="S764" i="22"/>
  <c r="J772" i="22"/>
  <c r="J771" i="22"/>
  <c r="J770" i="22"/>
  <c r="G935" i="43"/>
  <c r="G543" i="43"/>
  <c r="G739" i="43"/>
  <c r="G149" i="43"/>
  <c r="G347" i="43"/>
  <c r="AC777" i="22"/>
  <c r="AI267" i="5"/>
  <c r="J801" i="22"/>
  <c r="J797" i="22"/>
  <c r="S796" i="22"/>
  <c r="J804" i="22"/>
  <c r="J803" i="22"/>
  <c r="J802" i="22"/>
  <c r="G939" i="43"/>
  <c r="G547" i="43"/>
  <c r="G743" i="43"/>
  <c r="G153" i="43"/>
  <c r="G351" i="43"/>
  <c r="AC809" i="22"/>
  <c r="AI275" i="5"/>
  <c r="J833" i="22"/>
  <c r="J829" i="22"/>
  <c r="S828" i="22"/>
  <c r="J836" i="22"/>
  <c r="J835" i="22"/>
  <c r="J834" i="22"/>
  <c r="G943" i="43"/>
  <c r="G551" i="43"/>
  <c r="G747" i="43"/>
  <c r="G157" i="43"/>
  <c r="G355" i="43"/>
  <c r="AC841" i="22"/>
  <c r="AI283" i="5"/>
  <c r="J865" i="22"/>
  <c r="J861" i="22"/>
  <c r="S860" i="22"/>
  <c r="J868" i="22"/>
  <c r="J867" i="22"/>
  <c r="J866" i="22"/>
  <c r="G947" i="43"/>
  <c r="G555" i="43"/>
  <c r="G751" i="43"/>
  <c r="G161" i="43"/>
  <c r="G359" i="43"/>
  <c r="AC873" i="22"/>
  <c r="AI291" i="5"/>
  <c r="J897" i="22"/>
  <c r="J893" i="22"/>
  <c r="S892" i="22"/>
  <c r="J900" i="22"/>
  <c r="J899" i="22"/>
  <c r="J898" i="22"/>
  <c r="G951" i="43"/>
  <c r="G559" i="43"/>
  <c r="G755" i="43"/>
  <c r="G165" i="43"/>
  <c r="G363" i="43"/>
  <c r="AC905" i="22"/>
  <c r="AI299" i="5"/>
  <c r="J929" i="22"/>
  <c r="J925" i="22"/>
  <c r="S924" i="22"/>
  <c r="J932" i="22"/>
  <c r="J931" i="22"/>
  <c r="J930" i="22"/>
  <c r="G955" i="43"/>
  <c r="G563" i="43"/>
  <c r="G759" i="43"/>
  <c r="G169" i="43"/>
  <c r="G367" i="43"/>
  <c r="AC937" i="22"/>
  <c r="AI307" i="5"/>
  <c r="J961" i="22"/>
  <c r="J957" i="22"/>
  <c r="S956" i="22"/>
  <c r="J964" i="22"/>
  <c r="J963" i="22"/>
  <c r="J962" i="22"/>
  <c r="G959" i="43"/>
  <c r="G567" i="43"/>
  <c r="G763" i="43"/>
  <c r="G173" i="43"/>
  <c r="G371" i="43"/>
  <c r="AC969" i="22"/>
  <c r="AI315" i="5"/>
  <c r="J996" i="22"/>
  <c r="J995" i="22"/>
  <c r="J994" i="22"/>
  <c r="J993" i="22"/>
  <c r="J989" i="22"/>
  <c r="S988" i="22"/>
  <c r="G963" i="43"/>
  <c r="G571" i="43"/>
  <c r="G767" i="43"/>
  <c r="G177" i="43"/>
  <c r="G375" i="43"/>
  <c r="AC1001" i="22"/>
  <c r="AI323" i="5"/>
  <c r="J1028" i="22"/>
  <c r="J1027" i="22"/>
  <c r="J1026" i="22"/>
  <c r="J1025" i="22"/>
  <c r="J1021" i="22"/>
  <c r="S1020" i="22"/>
  <c r="G967" i="43"/>
  <c r="G575" i="43"/>
  <c r="G771" i="43"/>
  <c r="G181" i="43"/>
  <c r="G379" i="43"/>
  <c r="AC1033" i="22"/>
  <c r="AI331" i="5"/>
  <c r="J1060" i="22"/>
  <c r="J1059" i="22"/>
  <c r="J1058" i="22"/>
  <c r="J1057" i="22"/>
  <c r="J1053" i="22"/>
  <c r="S1052" i="22"/>
  <c r="G971" i="43"/>
  <c r="G579" i="43"/>
  <c r="G775" i="43"/>
  <c r="G185" i="43"/>
  <c r="G383" i="43"/>
  <c r="AC1065" i="22"/>
  <c r="AI339" i="5"/>
  <c r="J1092" i="22"/>
  <c r="J1091" i="22"/>
  <c r="J1090" i="22"/>
  <c r="J1089" i="22"/>
  <c r="J1085" i="22"/>
  <c r="S1084" i="22"/>
  <c r="G975" i="43"/>
  <c r="G583" i="43"/>
  <c r="G779" i="43"/>
  <c r="G189" i="43"/>
  <c r="G387" i="43"/>
  <c r="AC1097" i="22"/>
  <c r="AI347" i="5"/>
  <c r="J1124" i="22"/>
  <c r="J1123" i="22"/>
  <c r="J1122" i="22"/>
  <c r="J1121" i="22"/>
  <c r="J1117" i="22"/>
  <c r="S1116" i="22"/>
  <c r="G979" i="43"/>
  <c r="G587" i="43"/>
  <c r="G783" i="43"/>
  <c r="G193" i="43"/>
  <c r="G391" i="43"/>
  <c r="AC1129" i="22"/>
  <c r="J1156" i="22"/>
  <c r="J1155" i="22"/>
  <c r="J1154" i="22"/>
  <c r="J1153" i="22"/>
  <c r="J1149" i="22"/>
  <c r="S1148" i="22"/>
  <c r="AC42" i="28"/>
  <c r="AC42" i="27"/>
  <c r="S42" i="28"/>
  <c r="S42" i="27"/>
  <c r="S6" i="12"/>
  <c r="S6" i="13"/>
  <c r="AD43" i="14"/>
  <c r="S45" i="14"/>
  <c r="AD43" i="15"/>
  <c r="AD43" i="16"/>
  <c r="AG49" i="17"/>
  <c r="I6" i="18"/>
  <c r="J7" i="18"/>
  <c r="AB45" i="18"/>
  <c r="AC41" i="20"/>
  <c r="AC41" i="22"/>
  <c r="AC73" i="22"/>
  <c r="AC105" i="22"/>
  <c r="AC137" i="22"/>
  <c r="AC169" i="22"/>
  <c r="AC201" i="22"/>
  <c r="AC233" i="22"/>
  <c r="AC265" i="22"/>
  <c r="AC297" i="22"/>
  <c r="AC329" i="22"/>
  <c r="AC361" i="22"/>
  <c r="AC393" i="22"/>
  <c r="AC425" i="22"/>
  <c r="AC457" i="22"/>
  <c r="AC41" i="19"/>
  <c r="AC41" i="21"/>
  <c r="J6" i="24"/>
  <c r="S5" i="24"/>
  <c r="J6" i="27"/>
  <c r="S5" i="27"/>
  <c r="K7" i="25"/>
  <c r="S7" i="25" s="1"/>
  <c r="S6" i="25"/>
  <c r="K7" i="28"/>
  <c r="S7" i="28" s="1"/>
  <c r="S6" i="28"/>
  <c r="S5" i="25"/>
  <c r="S5" i="28"/>
  <c r="B34" i="30"/>
  <c r="E70" i="30"/>
  <c r="K70" i="30" s="1"/>
  <c r="I31" i="30" s="1"/>
  <c r="I136" i="30" s="1"/>
  <c r="I36" i="38"/>
  <c r="H36" i="38" s="1"/>
  <c r="I58" i="38"/>
  <c r="H58" i="38" s="1"/>
  <c r="F10" i="50"/>
  <c r="U148" i="57"/>
  <c r="M148" i="57" s="1"/>
  <c r="E12" i="41" s="1"/>
  <c r="AA16" i="57"/>
  <c r="N16" i="57" s="1"/>
  <c r="I21" i="40" s="1"/>
  <c r="AA15" i="57"/>
  <c r="N15" i="57" s="1"/>
  <c r="I19" i="40" s="1"/>
  <c r="U14" i="57"/>
  <c r="M14" i="57" s="1"/>
  <c r="E18" i="40" s="1"/>
  <c r="AA12" i="57"/>
  <c r="N12" i="57" s="1"/>
  <c r="I16" i="40" s="1"/>
  <c r="E32" i="56"/>
  <c r="C32" i="56" s="1"/>
  <c r="E30" i="56"/>
  <c r="C30" i="56" s="1"/>
  <c r="D14" i="42" s="1"/>
  <c r="J46" i="55"/>
  <c r="J47" i="55"/>
  <c r="AA11" i="57"/>
  <c r="N11" i="57" s="1"/>
  <c r="I15" i="40" s="1"/>
  <c r="AA13" i="57"/>
  <c r="N13" i="57" s="1"/>
  <c r="I17" i="40" s="1"/>
  <c r="E4" i="56"/>
  <c r="C4" i="56" s="1"/>
  <c r="D4" i="7" s="1"/>
  <c r="G24" i="59"/>
  <c r="L23" i="59"/>
  <c r="G24" i="60"/>
  <c r="L23" i="60"/>
  <c r="H25" i="60" l="1"/>
  <c r="L25" i="60" s="1"/>
  <c r="L24" i="60"/>
  <c r="H25" i="59"/>
  <c r="L25" i="59" s="1"/>
  <c r="L24" i="59"/>
  <c r="H31" i="30"/>
  <c r="H136" i="30" s="1"/>
  <c r="K1150" i="22"/>
  <c r="S1150" i="22" s="1"/>
  <c r="S1149" i="22"/>
  <c r="K1118" i="22"/>
  <c r="S1118" i="22" s="1"/>
  <c r="S1117" i="22"/>
  <c r="S1089" i="22"/>
  <c r="K1090" i="22"/>
  <c r="S1090" i="22" s="1"/>
  <c r="K1054" i="22"/>
  <c r="S1054" i="22" s="1"/>
  <c r="S1053" i="22"/>
  <c r="S1025" i="22"/>
  <c r="K1026" i="22"/>
  <c r="S1026" i="22" s="1"/>
  <c r="K990" i="22"/>
  <c r="S990" i="22" s="1"/>
  <c r="S989" i="22"/>
  <c r="K958" i="22"/>
  <c r="S958" i="22" s="1"/>
  <c r="S957" i="22"/>
  <c r="K930" i="22"/>
  <c r="S930" i="22" s="1"/>
  <c r="S929" i="22"/>
  <c r="K894" i="22"/>
  <c r="S894" i="22" s="1"/>
  <c r="S893" i="22"/>
  <c r="K866" i="22"/>
  <c r="S866" i="22" s="1"/>
  <c r="S865" i="22"/>
  <c r="K830" i="22"/>
  <c r="S830" i="22" s="1"/>
  <c r="S829" i="22"/>
  <c r="K802" i="22"/>
  <c r="S802" i="22" s="1"/>
  <c r="S801" i="22"/>
  <c r="K766" i="22"/>
  <c r="S766" i="22" s="1"/>
  <c r="S765" i="22"/>
  <c r="K738" i="22"/>
  <c r="S738" i="22" s="1"/>
  <c r="S737" i="22"/>
  <c r="K702" i="22"/>
  <c r="S702" i="22" s="1"/>
  <c r="S701" i="22"/>
  <c r="K674" i="22"/>
  <c r="S674" i="22" s="1"/>
  <c r="S673" i="22"/>
  <c r="K638" i="22"/>
  <c r="S638" i="22" s="1"/>
  <c r="S637" i="22"/>
  <c r="K610" i="22"/>
  <c r="S610" i="22" s="1"/>
  <c r="S609" i="22"/>
  <c r="K574" i="22"/>
  <c r="S574" i="22" s="1"/>
  <c r="S573" i="22"/>
  <c r="K546" i="22"/>
  <c r="S546" i="22" s="1"/>
  <c r="S545" i="22"/>
  <c r="K510" i="22"/>
  <c r="S510" i="22" s="1"/>
  <c r="S509" i="22"/>
  <c r="K482" i="22"/>
  <c r="S482" i="22" s="1"/>
  <c r="S481" i="22"/>
  <c r="K7" i="22"/>
  <c r="S7" i="22" s="1"/>
  <c r="S6" i="22"/>
  <c r="K7" i="21"/>
  <c r="S7" i="21" s="1"/>
  <c r="S6" i="21"/>
  <c r="K7" i="20"/>
  <c r="S7" i="20" s="1"/>
  <c r="S6" i="20"/>
  <c r="K7" i="19"/>
  <c r="S7" i="19" s="1"/>
  <c r="S6" i="19"/>
  <c r="K46" i="25"/>
  <c r="S46" i="25" s="1"/>
  <c r="S45" i="25"/>
  <c r="J45" i="27"/>
  <c r="S44" i="27"/>
  <c r="K1102" i="22"/>
  <c r="S1102" i="22" s="1"/>
  <c r="S1101" i="22"/>
  <c r="S1041" i="22"/>
  <c r="K1042" i="22"/>
  <c r="S1042" i="22" s="1"/>
  <c r="K974" i="22"/>
  <c r="S974" i="22" s="1"/>
  <c r="S973" i="22"/>
  <c r="K910" i="22"/>
  <c r="S910" i="22" s="1"/>
  <c r="S909" i="22"/>
  <c r="K846" i="22"/>
  <c r="S846" i="22" s="1"/>
  <c r="S845" i="22"/>
  <c r="K786" i="22"/>
  <c r="S786" i="22" s="1"/>
  <c r="S785" i="22"/>
  <c r="K718" i="22"/>
  <c r="S718" i="22" s="1"/>
  <c r="S717" i="22"/>
  <c r="K658" i="22"/>
  <c r="S658" i="22" s="1"/>
  <c r="S657" i="22"/>
  <c r="K590" i="22"/>
  <c r="S590" i="22" s="1"/>
  <c r="S589" i="22"/>
  <c r="K530" i="22"/>
  <c r="S530" i="22" s="1"/>
  <c r="S529" i="22"/>
  <c r="K462" i="22"/>
  <c r="S462" i="22" s="1"/>
  <c r="S461" i="22"/>
  <c r="K414" i="22"/>
  <c r="S414" i="22" s="1"/>
  <c r="S413" i="22"/>
  <c r="K398" i="22"/>
  <c r="S398" i="22" s="1"/>
  <c r="S397" i="22"/>
  <c r="S353" i="22"/>
  <c r="K354" i="22"/>
  <c r="S354" i="22" s="1"/>
  <c r="S337" i="22"/>
  <c r="K338" i="22"/>
  <c r="S338" i="22" s="1"/>
  <c r="K286" i="22"/>
  <c r="S286" i="22" s="1"/>
  <c r="S285" i="22"/>
  <c r="K270" i="22"/>
  <c r="S270" i="22" s="1"/>
  <c r="S269" i="22"/>
  <c r="S225" i="22"/>
  <c r="K226" i="22"/>
  <c r="S226" i="22" s="1"/>
  <c r="S209" i="22"/>
  <c r="K210" i="22"/>
  <c r="S210" i="22" s="1"/>
  <c r="K158" i="22"/>
  <c r="S158" i="22" s="1"/>
  <c r="S157" i="22"/>
  <c r="K142" i="22"/>
  <c r="S142" i="22" s="1"/>
  <c r="S141" i="22"/>
  <c r="S97" i="22"/>
  <c r="K98" i="22"/>
  <c r="S98" i="22" s="1"/>
  <c r="S81" i="22"/>
  <c r="K82" i="22"/>
  <c r="S82" i="22" s="1"/>
  <c r="K46" i="22"/>
  <c r="S46" i="22" s="1"/>
  <c r="S45" i="22"/>
  <c r="K46" i="21"/>
  <c r="S46" i="21" s="1"/>
  <c r="S45" i="21"/>
  <c r="K46" i="20"/>
  <c r="S46" i="20" s="1"/>
  <c r="S45" i="20"/>
  <c r="K46" i="19"/>
  <c r="S46" i="19" s="1"/>
  <c r="S45" i="19"/>
  <c r="L9" i="17"/>
  <c r="U9" i="17" s="1"/>
  <c r="U8" i="17"/>
  <c r="K8" i="11"/>
  <c r="S8" i="11" s="1"/>
  <c r="S7" i="11"/>
  <c r="S1137" i="22"/>
  <c r="K1138" i="22"/>
  <c r="S1138" i="22" s="1"/>
  <c r="S1073" i="22"/>
  <c r="K1074" i="22"/>
  <c r="S1074" i="22" s="1"/>
  <c r="K1006" i="22"/>
  <c r="S1006" i="22" s="1"/>
  <c r="S1005" i="22"/>
  <c r="K942" i="22"/>
  <c r="S942" i="22" s="1"/>
  <c r="S941" i="22"/>
  <c r="K882" i="22"/>
  <c r="S882" i="22" s="1"/>
  <c r="S881" i="22"/>
  <c r="K814" i="22"/>
  <c r="S814" i="22" s="1"/>
  <c r="S813" i="22"/>
  <c r="K750" i="22"/>
  <c r="S750" i="22" s="1"/>
  <c r="S749" i="22"/>
  <c r="K686" i="22"/>
  <c r="S686" i="22" s="1"/>
  <c r="S685" i="22"/>
  <c r="K626" i="22"/>
  <c r="S626" i="22" s="1"/>
  <c r="S625" i="22"/>
  <c r="K558" i="22"/>
  <c r="S558" i="22" s="1"/>
  <c r="S557" i="22"/>
  <c r="K498" i="22"/>
  <c r="S498" i="22" s="1"/>
  <c r="S497" i="22"/>
  <c r="S449" i="22"/>
  <c r="K450" i="22"/>
  <c r="S450" i="22" s="1"/>
  <c r="S433" i="22"/>
  <c r="K434" i="22"/>
  <c r="S434" i="22" s="1"/>
  <c r="S385" i="22"/>
  <c r="K386" i="22"/>
  <c r="S386" i="22" s="1"/>
  <c r="S369" i="22"/>
  <c r="K370" i="22"/>
  <c r="S370" i="22" s="1"/>
  <c r="K318" i="22"/>
  <c r="S318" i="22" s="1"/>
  <c r="S317" i="22"/>
  <c r="K302" i="22"/>
  <c r="S302" i="22" s="1"/>
  <c r="S301" i="22"/>
  <c r="S257" i="22"/>
  <c r="K258" i="22"/>
  <c r="S258" i="22" s="1"/>
  <c r="S241" i="22"/>
  <c r="K242" i="22"/>
  <c r="S242" i="22" s="1"/>
  <c r="K190" i="22"/>
  <c r="S190" i="22" s="1"/>
  <c r="S189" i="22"/>
  <c r="K174" i="22"/>
  <c r="S174" i="22" s="1"/>
  <c r="S173" i="22"/>
  <c r="K126" i="22"/>
  <c r="S126" i="22" s="1"/>
  <c r="S125" i="22"/>
  <c r="K110" i="22"/>
  <c r="S110" i="22" s="1"/>
  <c r="S109" i="22"/>
  <c r="K62" i="22"/>
  <c r="S62" i="22" s="1"/>
  <c r="S61" i="22"/>
  <c r="K49" i="13"/>
  <c r="S49" i="13" s="1"/>
  <c r="S48" i="13"/>
  <c r="K49" i="16"/>
  <c r="S49" i="16" s="1"/>
  <c r="S48" i="16"/>
  <c r="K49" i="15"/>
  <c r="S49" i="15" s="1"/>
  <c r="S48" i="15"/>
  <c r="U55" i="17"/>
  <c r="L56" i="17"/>
  <c r="U56" i="17" s="1"/>
  <c r="G24" i="58"/>
  <c r="L23" i="58"/>
  <c r="K49" i="12"/>
  <c r="S49" i="12" s="1"/>
  <c r="S48" i="12"/>
  <c r="K49" i="11"/>
  <c r="S49" i="11" s="1"/>
  <c r="S48" i="11"/>
  <c r="F5" i="39"/>
  <c r="F5" i="36"/>
  <c r="F5" i="38"/>
  <c r="F5" i="37"/>
  <c r="K7" i="27"/>
  <c r="S7" i="27" s="1"/>
  <c r="S6" i="27"/>
  <c r="K7" i="24"/>
  <c r="S7" i="24" s="1"/>
  <c r="S6" i="24"/>
  <c r="S1153" i="22"/>
  <c r="K1154" i="22"/>
  <c r="S1154" i="22" s="1"/>
  <c r="S1121" i="22"/>
  <c r="K1122" i="22"/>
  <c r="S1122" i="22" s="1"/>
  <c r="K1086" i="22"/>
  <c r="S1086" i="22" s="1"/>
  <c r="S1085" i="22"/>
  <c r="S1057" i="22"/>
  <c r="K1058" i="22"/>
  <c r="S1058" i="22" s="1"/>
  <c r="K1022" i="22"/>
  <c r="S1022" i="22" s="1"/>
  <c r="S1021" i="22"/>
  <c r="S993" i="22"/>
  <c r="K994" i="22"/>
  <c r="S994" i="22" s="1"/>
  <c r="K962" i="22"/>
  <c r="S962" i="22" s="1"/>
  <c r="S961" i="22"/>
  <c r="K926" i="22"/>
  <c r="S926" i="22" s="1"/>
  <c r="S925" i="22"/>
  <c r="K898" i="22"/>
  <c r="S898" i="22" s="1"/>
  <c r="S897" i="22"/>
  <c r="K862" i="22"/>
  <c r="S862" i="22" s="1"/>
  <c r="S861" i="22"/>
  <c r="K834" i="22"/>
  <c r="S834" i="22" s="1"/>
  <c r="S833" i="22"/>
  <c r="K798" i="22"/>
  <c r="S798" i="22" s="1"/>
  <c r="S797" i="22"/>
  <c r="K770" i="22"/>
  <c r="S770" i="22" s="1"/>
  <c r="S769" i="22"/>
  <c r="K734" i="22"/>
  <c r="S734" i="22" s="1"/>
  <c r="S733" i="22"/>
  <c r="K706" i="22"/>
  <c r="S706" i="22" s="1"/>
  <c r="S705" i="22"/>
  <c r="K670" i="22"/>
  <c r="S670" i="22" s="1"/>
  <c r="S669" i="22"/>
  <c r="K642" i="22"/>
  <c r="S642" i="22" s="1"/>
  <c r="S641" i="22"/>
  <c r="K606" i="22"/>
  <c r="S606" i="22" s="1"/>
  <c r="S605" i="22"/>
  <c r="K578" i="22"/>
  <c r="S578" i="22" s="1"/>
  <c r="S577" i="22"/>
  <c r="K542" i="22"/>
  <c r="S542" i="22" s="1"/>
  <c r="S541" i="22"/>
  <c r="K514" i="22"/>
  <c r="S514" i="22" s="1"/>
  <c r="S513" i="22"/>
  <c r="K478" i="22"/>
  <c r="S478" i="22" s="1"/>
  <c r="S477" i="22"/>
  <c r="K46" i="24"/>
  <c r="S46" i="24" s="1"/>
  <c r="S45" i="24"/>
  <c r="J45" i="28"/>
  <c r="S44" i="28"/>
  <c r="S1105" i="22"/>
  <c r="K1106" i="22"/>
  <c r="S1106" i="22" s="1"/>
  <c r="K1038" i="22"/>
  <c r="S1038" i="22" s="1"/>
  <c r="S1037" i="22"/>
  <c r="S977" i="22"/>
  <c r="K978" i="22"/>
  <c r="S978" i="22" s="1"/>
  <c r="K914" i="22"/>
  <c r="S914" i="22" s="1"/>
  <c r="S913" i="22"/>
  <c r="K850" i="22"/>
  <c r="S850" i="22" s="1"/>
  <c r="S849" i="22"/>
  <c r="K782" i="22"/>
  <c r="S782" i="22" s="1"/>
  <c r="S781" i="22"/>
  <c r="K722" i="22"/>
  <c r="S722" i="22" s="1"/>
  <c r="S721" i="22"/>
  <c r="K654" i="22"/>
  <c r="S654" i="22" s="1"/>
  <c r="S653" i="22"/>
  <c r="K594" i="22"/>
  <c r="S594" i="22" s="1"/>
  <c r="S593" i="22"/>
  <c r="K526" i="22"/>
  <c r="S526" i="22" s="1"/>
  <c r="S525" i="22"/>
  <c r="K466" i="22"/>
  <c r="S466" i="22" s="1"/>
  <c r="S465" i="22"/>
  <c r="S417" i="22"/>
  <c r="K418" i="22"/>
  <c r="S418" i="22" s="1"/>
  <c r="S401" i="22"/>
  <c r="K402" i="22"/>
  <c r="S402" i="22" s="1"/>
  <c r="K350" i="22"/>
  <c r="S350" i="22" s="1"/>
  <c r="S349" i="22"/>
  <c r="K334" i="22"/>
  <c r="S334" i="22" s="1"/>
  <c r="S333" i="22"/>
  <c r="S289" i="22"/>
  <c r="K290" i="22"/>
  <c r="S290" i="22" s="1"/>
  <c r="S273" i="22"/>
  <c r="K274" i="22"/>
  <c r="S274" i="22" s="1"/>
  <c r="K222" i="22"/>
  <c r="S222" i="22" s="1"/>
  <c r="S221" i="22"/>
  <c r="K206" i="22"/>
  <c r="S206" i="22" s="1"/>
  <c r="S205" i="22"/>
  <c r="S161" i="22"/>
  <c r="K162" i="22"/>
  <c r="S162" i="22" s="1"/>
  <c r="S145" i="22"/>
  <c r="K146" i="22"/>
  <c r="S146" i="22" s="1"/>
  <c r="K94" i="22"/>
  <c r="S94" i="22" s="1"/>
  <c r="S93" i="22"/>
  <c r="K78" i="22"/>
  <c r="S78" i="22" s="1"/>
  <c r="S77" i="22"/>
  <c r="S49" i="22"/>
  <c r="K50" i="22"/>
  <c r="S50" i="22" s="1"/>
  <c r="D40" i="7"/>
  <c r="D42" i="7"/>
  <c r="D43" i="7" s="1"/>
  <c r="D44" i="7" s="1"/>
  <c r="D39" i="7"/>
  <c r="K1134" i="22"/>
  <c r="S1134" i="22" s="1"/>
  <c r="S1133" i="22"/>
  <c r="K1070" i="22"/>
  <c r="S1070" i="22" s="1"/>
  <c r="S1069" i="22"/>
  <c r="S1009" i="22"/>
  <c r="K1010" i="22"/>
  <c r="S1010" i="22" s="1"/>
  <c r="K946" i="22"/>
  <c r="S946" i="22" s="1"/>
  <c r="S945" i="22"/>
  <c r="K878" i="22"/>
  <c r="S878" i="22" s="1"/>
  <c r="S877" i="22"/>
  <c r="K818" i="22"/>
  <c r="S818" i="22" s="1"/>
  <c r="S817" i="22"/>
  <c r="K754" i="22"/>
  <c r="S754" i="22" s="1"/>
  <c r="S753" i="22"/>
  <c r="K690" i="22"/>
  <c r="S690" i="22" s="1"/>
  <c r="S689" i="22"/>
  <c r="K622" i="22"/>
  <c r="S622" i="22" s="1"/>
  <c r="S621" i="22"/>
  <c r="K562" i="22"/>
  <c r="S562" i="22" s="1"/>
  <c r="S561" i="22"/>
  <c r="K494" i="22"/>
  <c r="S494" i="22" s="1"/>
  <c r="S493" i="22"/>
  <c r="K446" i="22"/>
  <c r="S446" i="22" s="1"/>
  <c r="S445" i="22"/>
  <c r="K430" i="22"/>
  <c r="S430" i="22" s="1"/>
  <c r="S429" i="22"/>
  <c r="K382" i="22"/>
  <c r="S382" i="22" s="1"/>
  <c r="S381" i="22"/>
  <c r="K366" i="22"/>
  <c r="S366" i="22" s="1"/>
  <c r="S365" i="22"/>
  <c r="S321" i="22"/>
  <c r="K322" i="22"/>
  <c r="S322" i="22" s="1"/>
  <c r="S305" i="22"/>
  <c r="K306" i="22"/>
  <c r="S306" i="22" s="1"/>
  <c r="K254" i="22"/>
  <c r="S254" i="22" s="1"/>
  <c r="S253" i="22"/>
  <c r="K238" i="22"/>
  <c r="S238" i="22" s="1"/>
  <c r="S237" i="22"/>
  <c r="S193" i="22"/>
  <c r="K194" i="22"/>
  <c r="S194" i="22" s="1"/>
  <c r="S177" i="22"/>
  <c r="K178" i="22"/>
  <c r="S178" i="22" s="1"/>
  <c r="S129" i="22"/>
  <c r="K130" i="22"/>
  <c r="S130" i="22" s="1"/>
  <c r="S113" i="22"/>
  <c r="K114" i="22"/>
  <c r="S114" i="22" s="1"/>
  <c r="S65" i="22"/>
  <c r="K66" i="22"/>
  <c r="S66" i="22" s="1"/>
  <c r="J48" i="14"/>
  <c r="I47" i="14"/>
  <c r="K46" i="28" l="1"/>
  <c r="S46" i="28" s="1"/>
  <c r="S45" i="28"/>
  <c r="H25" i="58"/>
  <c r="L25" i="58" s="1"/>
  <c r="L24" i="58"/>
  <c r="K46" i="27"/>
  <c r="S46" i="27" s="1"/>
  <c r="S45" i="27"/>
  <c r="K49" i="14"/>
  <c r="S49" i="14" s="1"/>
  <c r="S48" i="14"/>
  <c r="D48" i="7"/>
  <c r="D46" i="7"/>
  <c r="D45" i="7"/>
  <c r="D47" i="7"/>
  <c r="D50" i="7"/>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<sst xmlns="http://schemas.openxmlformats.org/spreadsheetml/2006/main" count="21982" uniqueCount="4562">
  <si>
    <t xml:space="preserve"> (требуется обновление)</t>
  </si>
  <si>
    <t>Код отчёта: PP108.OPEN.INFO.REQUEST.COLDVSNA.EIAS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</si>
  <si>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</si>
  <si>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</si>
  <si>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</si>
  <si>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</si>
  <si>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</si>
  <si>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</si>
  <si>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</si>
  <si>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</si>
  <si>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</si>
  <si>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</si>
  <si>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</si>
  <si>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</si>
  <si>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Ставропольский край</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</si>
  <si>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</si>
  <si>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</si>
  <si>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</si>
  <si>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</si>
  <si>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</si>
  <si>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</si>
  <si>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</si>
  <si>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</si>
  <si>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</si>
  <si>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</si>
  <si>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</si>
  <si>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</si>
  <si>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</si>
  <si>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</si>
  <si>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</si>
  <si>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</si>
  <si>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</si>
  <si>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</si>
  <si>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</si>
  <si>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</si>
  <si>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</si>
  <si>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</si>
  <si>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06-11/11398</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</si>
  <si>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</si>
  <si>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</si>
  <si>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</si>
  <si>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</si>
  <si>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</si>
  <si>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ГУП СК "Ставрополькрайводоканал"</t>
  </si>
  <si>
    <t>Наименование (описание) обособленного подразделения</t>
  </si>
  <si>
    <t>ИНН</t>
  </si>
  <si>
    <t>2635040105</t>
  </si>
  <si>
    <t>КПП</t>
  </si>
  <si>
    <t>263501001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</si>
  <si>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</si>
  <si>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</si>
  <si>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</si>
  <si>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</si>
  <si>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</si>
  <si>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</si>
  <si>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</si>
  <si>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</si>
  <si>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</si>
  <si>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</si>
  <si>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</si>
  <si>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</si>
  <si>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</si>
  <si>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</si>
  <si>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</si>
  <si>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</si>
  <si>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</si>
  <si>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</si>
  <si>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355037, Российская Федерация, Ставропольский край. Город Ставрополь, ул. Доваторцев, д.35а</t>
  </si>
  <si>
    <t>Фамилия, имя, отчество руководителя</t>
  </si>
  <si>
    <t>Акимов Вячеслав Владимирович</t>
  </si>
  <si>
    <t>Ответственный за заполнение формы</t>
  </si>
  <si>
    <t>Фамилия, имя, отчество</t>
  </si>
  <si>
    <t>Кирсанова Ольга Анатольевна</t>
  </si>
  <si>
    <t>Должность</t>
  </si>
  <si>
    <t>Заместитель генерального директора по экономике и финансам</t>
  </si>
  <si>
    <t>Контактный телефон</t>
  </si>
  <si>
    <t>8 (8652) 99-27-47 (доб. 1104)</t>
  </si>
  <si>
    <t>E-mail</t>
  </si>
  <si>
    <t>o.kirsanova@skvk.ru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</si>
  <si>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</si>
  <si>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</si>
  <si>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</si>
  <si>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</si>
  <si>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</si>
  <si>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</si>
  <si>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</si>
  <si>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</si>
  <si>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</si>
  <si>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</si>
  <si>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</si>
  <si>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</si>
  <si>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</si>
  <si>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</si>
  <si>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</si>
  <si>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</si>
  <si>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</si>
  <si>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Александровский муниципальный округ</t>
  </si>
  <si>
    <t>07502000</t>
  </si>
  <si>
    <t>Добавить МО</t>
  </si>
  <si>
    <t>2</t>
  </si>
  <si>
    <t>×</t>
  </si>
  <si>
    <t>ter_55</t>
  </si>
  <si>
    <t>11</t>
  </si>
  <si>
    <t>Андроповский муниципальный округ</t>
  </si>
  <si>
    <t>07503000</t>
  </si>
  <si>
    <t>ter_56</t>
  </si>
  <si>
    <t>24</t>
  </si>
  <si>
    <t>Апанасенковский муниципальный округ</t>
  </si>
  <si>
    <t>07505000</t>
  </si>
  <si>
    <t>ter_57</t>
  </si>
  <si>
    <t>37</t>
  </si>
  <si>
    <t>Арзгирский муниципальный округ</t>
  </si>
  <si>
    <t>07507000</t>
  </si>
  <si>
    <t>5</t>
  </si>
  <si>
    <t>ter_58</t>
  </si>
  <si>
    <t>64</t>
  </si>
  <si>
    <t>Будённовский муниципальный округ</t>
  </si>
  <si>
    <t>07512000</t>
  </si>
  <si>
    <t>ter_59</t>
  </si>
  <si>
    <t>181</t>
  </si>
  <si>
    <t>Красногвардейский муниципальный округ</t>
  </si>
  <si>
    <t>07530000</t>
  </si>
  <si>
    <t>ter_60</t>
  </si>
  <si>
    <t>194</t>
  </si>
  <si>
    <t>Курский муниципальный округ</t>
  </si>
  <si>
    <t>07533000</t>
  </si>
  <si>
    <t>8</t>
  </si>
  <si>
    <t>ter_61</t>
  </si>
  <si>
    <t>269</t>
  </si>
  <si>
    <t>Новоселицкий муниципальный округ</t>
  </si>
  <si>
    <t>07544000</t>
  </si>
  <si>
    <t>9</t>
  </si>
  <si>
    <t>ter_62</t>
  </si>
  <si>
    <t>295</t>
  </si>
  <si>
    <t>Предгорный муниципальный округ</t>
  </si>
  <si>
    <t>07548000</t>
  </si>
  <si>
    <t>10</t>
  </si>
  <si>
    <t>ter_63</t>
  </si>
  <si>
    <t>322</t>
  </si>
  <si>
    <t>Степновский муниципальный округ</t>
  </si>
  <si>
    <t>07552000</t>
  </si>
  <si>
    <t>ter_64</t>
  </si>
  <si>
    <t>331</t>
  </si>
  <si>
    <t>Труновский муниципальный округ</t>
  </si>
  <si>
    <t>07554000</t>
  </si>
  <si>
    <t>12</t>
  </si>
  <si>
    <t>ter_65</t>
  </si>
  <si>
    <t>352</t>
  </si>
  <si>
    <t>Шпаковский муниципальный округ</t>
  </si>
  <si>
    <t>07558000</t>
  </si>
  <si>
    <t>13</t>
  </si>
  <si>
    <t>ter_66</t>
  </si>
  <si>
    <t>80</t>
  </si>
  <si>
    <t>Георгиевский</t>
  </si>
  <si>
    <t>07707000</t>
  </si>
  <si>
    <t>14</t>
  </si>
  <si>
    <t>ter_67</t>
  </si>
  <si>
    <t>114</t>
  </si>
  <si>
    <t>Изобильненский</t>
  </si>
  <si>
    <t>07713000</t>
  </si>
  <si>
    <t>15</t>
  </si>
  <si>
    <t>ter_68</t>
  </si>
  <si>
    <t>132</t>
  </si>
  <si>
    <t>Ипатовский</t>
  </si>
  <si>
    <t>07714000</t>
  </si>
  <si>
    <t>16</t>
  </si>
  <si>
    <t>ter_69</t>
  </si>
  <si>
    <t>151</t>
  </si>
  <si>
    <t>Кировский</t>
  </si>
  <si>
    <t>07716000</t>
  </si>
  <si>
    <t>17</t>
  </si>
  <si>
    <t>ter_70</t>
  </si>
  <si>
    <t>102</t>
  </si>
  <si>
    <t>Город-курорт Кисловодск</t>
  </si>
  <si>
    <t>07715000</t>
  </si>
  <si>
    <t>18</t>
  </si>
  <si>
    <t>ter_71</t>
  </si>
  <si>
    <t>239</t>
  </si>
  <si>
    <t>Нефтекумский</t>
  </si>
  <si>
    <t>07725000</t>
  </si>
  <si>
    <t>19</t>
  </si>
  <si>
    <t>ter_72</t>
  </si>
  <si>
    <t>254</t>
  </si>
  <si>
    <t>Новоалександровский</t>
  </si>
  <si>
    <t>07726000</t>
  </si>
  <si>
    <t>20</t>
  </si>
  <si>
    <t>ter_73</t>
  </si>
  <si>
    <t>279</t>
  </si>
  <si>
    <t>Петровский</t>
  </si>
  <si>
    <t>07731000</t>
  </si>
  <si>
    <t>21</t>
  </si>
  <si>
    <t>ter_74</t>
  </si>
  <si>
    <t>208</t>
  </si>
  <si>
    <t>Левокумский муниципальный округ</t>
  </si>
  <si>
    <t>07536000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</si>
  <si>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</si>
  <si>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</si>
  <si>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</si>
  <si>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</si>
  <si>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</si>
  <si>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</si>
  <si>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</si>
  <si>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</si>
  <si>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</si>
  <si>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</si>
  <si>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</si>
  <si>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</si>
  <si>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</si>
  <si>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</si>
  <si>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</si>
  <si>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</si>
  <si>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</si>
  <si>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</si>
  <si>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</si>
  <si>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</si>
  <si>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</si>
  <si>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</si>
  <si>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</si>
  <si>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</si>
  <si>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</si>
  <si>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</si>
  <si>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</si>
  <si>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</si>
  <si>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</si>
  <si>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</si>
  <si>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</si>
  <si>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</si>
  <si>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</si>
  <si>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</si>
  <si>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</si>
  <si>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</si>
  <si>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</si>
  <si>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</si>
  <si>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</si>
  <si>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</si>
  <si>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</si>
  <si>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</si>
  <si>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</si>
  <si>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</si>
  <si>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</si>
  <si>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</si>
  <si>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</si>
  <si>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</si>
  <si>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</si>
  <si>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</si>
  <si>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</si>
  <si>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</si>
  <si>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</si>
  <si>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</si>
  <si>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</si>
  <si>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</si>
  <si>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</si>
  <si>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</si>
  <si>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</si>
  <si>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</si>
  <si>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</si>
  <si>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</si>
  <si>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</si>
  <si>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</si>
  <si>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</si>
  <si>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</si>
  <si>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</si>
  <si>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</si>
  <si>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</si>
  <si>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</si>
  <si>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</si>
  <si>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</si>
  <si>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</si>
  <si>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</si>
  <si>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</si>
  <si>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</si>
  <si>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</si>
  <si>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</si>
  <si>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</si>
  <si>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</si>
  <si>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</si>
  <si>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</si>
  <si>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</si>
  <si>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</si>
  <si>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</si>
  <si>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</si>
  <si>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</si>
  <si>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</si>
  <si>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</si>
  <si>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</si>
  <si>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</si>
  <si>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</si>
  <si>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</si>
  <si>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</si>
  <si>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</si>
  <si>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</si>
  <si>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</si>
  <si>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</si>
  <si>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</si>
  <si>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</si>
  <si>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</si>
  <si>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</si>
  <si>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</si>
  <si>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</si>
  <si>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</si>
  <si>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</si>
  <si>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</si>
  <si>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</si>
  <si>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</si>
  <si>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</si>
  <si>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</si>
  <si>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</si>
  <si>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</si>
  <si>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Подвоз воды потребителям поселка Малостепновского</t>
  </si>
  <si>
    <t>4189673</t>
  </si>
  <si>
    <t>pIns_PT_VTAR_D_COLDVSNA</t>
  </si>
  <si>
    <t>pt_ntar_12</t>
  </si>
  <si>
    <t>pt_ter_12</t>
  </si>
  <si>
    <t>pt_cs_12</t>
  </si>
  <si>
    <t>Добавить централизованную систему для дифференциации</t>
  </si>
  <si>
    <t>Добавить территорию для дифференциации</t>
  </si>
  <si>
    <t>Подвоз воды потребителям хутора Репьевая</t>
  </si>
  <si>
    <t>pt_ntar_26</t>
  </si>
  <si>
    <t>pt_ter_30</t>
  </si>
  <si>
    <t>pt_cs_30</t>
  </si>
  <si>
    <t>pt_ist_te_30</t>
  </si>
  <si>
    <t>Подвоз воды потребителям хутора Красный Чонгарец</t>
  </si>
  <si>
    <t>pt_ntar_27</t>
  </si>
  <si>
    <t>pt_ter_31</t>
  </si>
  <si>
    <t>pt_cs_31</t>
  </si>
  <si>
    <t>pt_ist_te_31</t>
  </si>
  <si>
    <t>Подвоз воды потребителям села Киан-Подгорного</t>
  </si>
  <si>
    <t>pt_ntar_28</t>
  </si>
  <si>
    <t>pt_ter_32</t>
  </si>
  <si>
    <t>pt_cs_32</t>
  </si>
  <si>
    <t>pt_ist_te_32</t>
  </si>
  <si>
    <t>Подвоз воды потребителям села Водораздел</t>
  </si>
  <si>
    <t>pt_ntar_29</t>
  </si>
  <si>
    <t>pt_ter_33</t>
  </si>
  <si>
    <t>pt_cs_33</t>
  </si>
  <si>
    <t>pt_ist_te_33</t>
  </si>
  <si>
    <t>Подвоз воды потребителям хутора Павловка</t>
  </si>
  <si>
    <t>pt_ntar_30</t>
  </si>
  <si>
    <t>pt_ter_34</t>
  </si>
  <si>
    <t>pt_cs_34</t>
  </si>
  <si>
    <t>pt_ist_te_34</t>
  </si>
  <si>
    <t>Подвоз воды потребителям хутора Весёлого</t>
  </si>
  <si>
    <t>pt_ntar_31</t>
  </si>
  <si>
    <t>pt_ter_35</t>
  </si>
  <si>
    <t>pt_cs_35</t>
  </si>
  <si>
    <t>pt_ist_te_35</t>
  </si>
  <si>
    <t>Подвоз воды потребителям поселка Вишнёвого</t>
  </si>
  <si>
    <t>pt_ntar_32</t>
  </si>
  <si>
    <t>pt_ter_36</t>
  </si>
  <si>
    <t>pt_cs_36</t>
  </si>
  <si>
    <t>pt_ist_te_36</t>
  </si>
  <si>
    <t>Подвоз воды потребителям поселка Степного</t>
  </si>
  <si>
    <t>pt_ntar_33</t>
  </si>
  <si>
    <t>pt_ter_37</t>
  </si>
  <si>
    <t>pt_cs_37</t>
  </si>
  <si>
    <t>pt_ist_te_37</t>
  </si>
  <si>
    <t>Подвоз воды потребителям поселка Лугового</t>
  </si>
  <si>
    <t>pt_ntar_34</t>
  </si>
  <si>
    <t>pt_ter_38</t>
  </si>
  <si>
    <t>pt_cs_38</t>
  </si>
  <si>
    <t>pt_ist_te_38</t>
  </si>
  <si>
    <t>Подвоз воды потребителям поселка Правобережного</t>
  </si>
  <si>
    <t>pt_ntar_35</t>
  </si>
  <si>
    <t>pt_ter_39</t>
  </si>
  <si>
    <t>pt_cs_39</t>
  </si>
  <si>
    <t>pt_ist_te_39</t>
  </si>
  <si>
    <t>Подвоз воды потребителям хутора Добровольного</t>
  </si>
  <si>
    <t>pt_ntar_36</t>
  </si>
  <si>
    <t>pt_ter_40</t>
  </si>
  <si>
    <t>pt_cs_40</t>
  </si>
  <si>
    <t>pt_ist_te_40</t>
  </si>
  <si>
    <t>Подвоз воды потребителям хутора Среднего</t>
  </si>
  <si>
    <t>pt_ntar_37</t>
  </si>
  <si>
    <t>pt_ter_41</t>
  </si>
  <si>
    <t>pt_cs_41</t>
  </si>
  <si>
    <t>pt_ist_te_41</t>
  </si>
  <si>
    <t xml:space="preserve">Подвоз воды потребителям поселка Новобалтийского </t>
  </si>
  <si>
    <t>pt_ntar_38</t>
  </si>
  <si>
    <t>pt_ter_42</t>
  </si>
  <si>
    <t>pt_cs_42</t>
  </si>
  <si>
    <t>pt_ist_te_42</t>
  </si>
  <si>
    <t>Подвоз воды потребителям хутора Берёзкина</t>
  </si>
  <si>
    <t>pt_ntar_39</t>
  </si>
  <si>
    <t>pt_ter_43</t>
  </si>
  <si>
    <t>pt_cs_43</t>
  </si>
  <si>
    <t>pt_ist_te_43</t>
  </si>
  <si>
    <t>Подвоз воды потребителям поселка Бурунного</t>
  </si>
  <si>
    <t>pt_ntar_40</t>
  </si>
  <si>
    <t>pt_ter_44</t>
  </si>
  <si>
    <t>pt_cs_44</t>
  </si>
  <si>
    <t>pt_ist_te_44</t>
  </si>
  <si>
    <t>Подвоз воды потребителям поселка Мирного</t>
  </si>
  <si>
    <t>pt_ntar_41</t>
  </si>
  <si>
    <t>pt_ter_45</t>
  </si>
  <si>
    <t>pt_cs_45</t>
  </si>
  <si>
    <t>pt_ist_te_45</t>
  </si>
  <si>
    <t>Подвоз воды потребителям поселка Ага-Батыр</t>
  </si>
  <si>
    <t>pt_ntar_42</t>
  </si>
  <si>
    <t>pt_ter_46</t>
  </si>
  <si>
    <t>pt_cs_46</t>
  </si>
  <si>
    <t>pt_ist_te_46</t>
  </si>
  <si>
    <t>Подвоз воды потребителям хутора Кировского</t>
  </si>
  <si>
    <t>pt_ntar_43</t>
  </si>
  <si>
    <t>pt_ter_47</t>
  </si>
  <si>
    <t>pt_cs_47</t>
  </si>
  <si>
    <t>pt_ist_te_47</t>
  </si>
  <si>
    <t>Подвоз воды потребителям хутора Моздокского</t>
  </si>
  <si>
    <t>pt_ntar_44</t>
  </si>
  <si>
    <t>pt_ter_48</t>
  </si>
  <si>
    <t>pt_cs_48</t>
  </si>
  <si>
    <t>pt_ist_te_48</t>
  </si>
  <si>
    <t>Подвоз воды потребителям поселка Южанин</t>
  </si>
  <si>
    <t>pt_ntar_45</t>
  </si>
  <si>
    <t>pt_ter_49</t>
  </si>
  <si>
    <t>pt_cs_49</t>
  </si>
  <si>
    <t>pt_ist_te_49</t>
  </si>
  <si>
    <t>22</t>
  </si>
  <si>
    <t>Подвоз воды потребителям поселка Совхозного</t>
  </si>
  <si>
    <t>pt_ntar_46</t>
  </si>
  <si>
    <t>pt_ter_50</t>
  </si>
  <si>
    <t>pt_cs_50</t>
  </si>
  <si>
    <t>pt_ist_te_50</t>
  </si>
  <si>
    <t>23</t>
  </si>
  <si>
    <t>Подвоз воды потребителям поселка Песчаного</t>
  </si>
  <si>
    <t>pt_ntar_47</t>
  </si>
  <si>
    <t>pt_ter_51</t>
  </si>
  <si>
    <t>pt_cs_51</t>
  </si>
  <si>
    <t>pt_ist_te_51</t>
  </si>
  <si>
    <t>Подвоз воды потребителям аула Али-Кую</t>
  </si>
  <si>
    <t>pt_ntar_48</t>
  </si>
  <si>
    <t>pt_ter_52</t>
  </si>
  <si>
    <t>pt_cs_52</t>
  </si>
  <si>
    <t>pt_ist_te_52</t>
  </si>
  <si>
    <t>25</t>
  </si>
  <si>
    <t>Подвоз воды потребителям села Серноводского</t>
  </si>
  <si>
    <t>pt_ntar_49</t>
  </si>
  <si>
    <t>pt_ter_53</t>
  </si>
  <si>
    <t>pt_cs_53</t>
  </si>
  <si>
    <t>pt_ist_te_53</t>
  </si>
  <si>
    <t>26</t>
  </si>
  <si>
    <t>Подвоз воды потребителям хутора Медведева</t>
  </si>
  <si>
    <t>pt_ntar_50</t>
  </si>
  <si>
    <t>pt_ter_54</t>
  </si>
  <si>
    <t>pt_cs_54</t>
  </si>
  <si>
    <t>pt_ist_te_54</t>
  </si>
  <si>
    <t>27</t>
  </si>
  <si>
    <t>Подвоз воды потребителям хутора Графского</t>
  </si>
  <si>
    <t>pt_ntar_51</t>
  </si>
  <si>
    <t>pt_ter_55</t>
  </si>
  <si>
    <t>pt_cs_55</t>
  </si>
  <si>
    <t>pt_ist_te_55</t>
  </si>
  <si>
    <t>28</t>
  </si>
  <si>
    <t>Подвоз воды потребителям хутора Бугулова</t>
  </si>
  <si>
    <t>pt_ntar_52</t>
  </si>
  <si>
    <t>pt_ter_56</t>
  </si>
  <si>
    <t>pt_cs_56</t>
  </si>
  <si>
    <t>pt_ist_te_56</t>
  </si>
  <si>
    <t>29</t>
  </si>
  <si>
    <t>Подвоз воды потребителям хутора Горного</t>
  </si>
  <si>
    <t>pt_ntar_53</t>
  </si>
  <si>
    <t>pt_ter_57</t>
  </si>
  <si>
    <t>pt_cs_57</t>
  </si>
  <si>
    <t>pt_ist_te_57</t>
  </si>
  <si>
    <t>30</t>
  </si>
  <si>
    <t>Подвоз воды потребителям села Падинского</t>
  </si>
  <si>
    <t>pt_ntar_54</t>
  </si>
  <si>
    <t>pt_ter_58</t>
  </si>
  <si>
    <t>pt_cs_58</t>
  </si>
  <si>
    <t>pt_ist_te_58</t>
  </si>
  <si>
    <t>31</t>
  </si>
  <si>
    <t>Подвоз воды потребителям поселка Садовая Долина</t>
  </si>
  <si>
    <t>pt_ntar_55</t>
  </si>
  <si>
    <t>pt_ter_59</t>
  </si>
  <si>
    <t>pt_cs_59</t>
  </si>
  <si>
    <t>pt_ist_te_59</t>
  </si>
  <si>
    <t>32</t>
  </si>
  <si>
    <t>Подвоз воды потребителям хутора Новоборгустанского</t>
  </si>
  <si>
    <t>pt_ntar_56</t>
  </si>
  <si>
    <t>pt_ter_60</t>
  </si>
  <si>
    <t>pt_cs_60</t>
  </si>
  <si>
    <t>pt_ist_te_60</t>
  </si>
  <si>
    <t>33</t>
  </si>
  <si>
    <t>Подвоз воды потребителям поселка Боргустанские Горы</t>
  </si>
  <si>
    <t>pt_ntar_57</t>
  </si>
  <si>
    <t>pt_ter_61</t>
  </si>
  <si>
    <t>pt_cs_61</t>
  </si>
  <si>
    <t>pt_ist_te_61</t>
  </si>
  <si>
    <t>34</t>
  </si>
  <si>
    <t>Подвоз воды потребителям хутора Коммаяка</t>
  </si>
  <si>
    <t>pt_ntar_58</t>
  </si>
  <si>
    <t>pt_ter_62</t>
  </si>
  <si>
    <t>pt_cs_62</t>
  </si>
  <si>
    <t>pt_ist_te_62</t>
  </si>
  <si>
    <t>35</t>
  </si>
  <si>
    <t>Подвоз воды потребителям хутора Садового</t>
  </si>
  <si>
    <t>pt_ntar_59</t>
  </si>
  <si>
    <t>pt_ter_63</t>
  </si>
  <si>
    <t>pt_cs_63</t>
  </si>
  <si>
    <t>pt_ist_te_63</t>
  </si>
  <si>
    <t>36</t>
  </si>
  <si>
    <t>Подвоз воды потребителям хутора Кофанова</t>
  </si>
  <si>
    <t>pt_ntar_60</t>
  </si>
  <si>
    <t>pt_ter_64</t>
  </si>
  <si>
    <t>pt_cs_64</t>
  </si>
  <si>
    <t>pt_ist_te_64</t>
  </si>
  <si>
    <t>Подвоз воды потребителям хутора Холодногорского</t>
  </si>
  <si>
    <t>pt_ntar_61</t>
  </si>
  <si>
    <t>pt_ter_65</t>
  </si>
  <si>
    <t>pt_cs_65</t>
  </si>
  <si>
    <t>pt_ist_te_65</t>
  </si>
  <si>
    <t>38</t>
  </si>
  <si>
    <t>Подвоз воды потребителям хутора Гремучего</t>
  </si>
  <si>
    <t>pt_ntar_62</t>
  </si>
  <si>
    <t>pt_ter_66</t>
  </si>
  <si>
    <t>pt_cs_66</t>
  </si>
  <si>
    <t>pt_ist_te_66</t>
  </si>
  <si>
    <t>39</t>
  </si>
  <si>
    <t>Подвоз воды потребителям поселка Верхнедубовского</t>
  </si>
  <si>
    <t>pt_ntar_63</t>
  </si>
  <si>
    <t>pt_ter_67</t>
  </si>
  <si>
    <t>pt_cs_67</t>
  </si>
  <si>
    <t>pt_ist_te_67</t>
  </si>
  <si>
    <t>40</t>
  </si>
  <si>
    <t>Подвоз воды потребителям хутора Богатого</t>
  </si>
  <si>
    <t>pt_ntar_64</t>
  </si>
  <si>
    <t>pt_ter_68</t>
  </si>
  <si>
    <t>pt_cs_68</t>
  </si>
  <si>
    <t>pt_ist_te_68</t>
  </si>
  <si>
    <t>41</t>
  </si>
  <si>
    <t>Подвоз воды потребителям хутора Верхнеегорлыкского</t>
  </si>
  <si>
    <t>pt_ntar_65</t>
  </si>
  <si>
    <t>pt_ter_69</t>
  </si>
  <si>
    <t>pt_cs_69</t>
  </si>
  <si>
    <t>pt_ist_te_69</t>
  </si>
  <si>
    <t>42</t>
  </si>
  <si>
    <t>pt_ntar_66</t>
  </si>
  <si>
    <t>pt_ter_70</t>
  </si>
  <si>
    <t>pt_cs_70</t>
  </si>
  <si>
    <t>pt_ist_te_70</t>
  </si>
  <si>
    <t>43</t>
  </si>
  <si>
    <t>Подвоз воды потребителям хутора Темнореченского</t>
  </si>
  <si>
    <t>pt_ntar_67</t>
  </si>
  <si>
    <t>pt_ter_71</t>
  </si>
  <si>
    <t>pt_cs_71</t>
  </si>
  <si>
    <t>pt_ist_te_71</t>
  </si>
  <si>
    <t>44</t>
  </si>
  <si>
    <t>Подвоз воды потребителям хутора Рынок</t>
  </si>
  <si>
    <t>pt_ntar_68</t>
  </si>
  <si>
    <t>pt_ter_72</t>
  </si>
  <si>
    <t>pt_cs_72</t>
  </si>
  <si>
    <t>pt_ist_te_72</t>
  </si>
  <si>
    <t>45</t>
  </si>
  <si>
    <t>Подвоз воды потребителям хутора Польского</t>
  </si>
  <si>
    <t>pt_ntar_69</t>
  </si>
  <si>
    <t>pt_ter_73</t>
  </si>
  <si>
    <t>pt_cs_73</t>
  </si>
  <si>
    <t>pt_ist_te_73</t>
  </si>
  <si>
    <t>46</t>
  </si>
  <si>
    <t>Подвоз воды потребителям поселка Рогового</t>
  </si>
  <si>
    <t>pt_ntar_70</t>
  </si>
  <si>
    <t>pt_ter_74</t>
  </si>
  <si>
    <t>pt_cs_74</t>
  </si>
  <si>
    <t>pt_ist_te_74</t>
  </si>
  <si>
    <t>47</t>
  </si>
  <si>
    <t>Подвоз воды потребителям поселка Приэтокского</t>
  </si>
  <si>
    <t>pt_ntar_71</t>
  </si>
  <si>
    <t>pt_ter_75</t>
  </si>
  <si>
    <t>pt_cs_75</t>
  </si>
  <si>
    <t>pt_ist_te_75</t>
  </si>
  <si>
    <t>48</t>
  </si>
  <si>
    <t>Подвоз воды потребителям поселка Ореховая Роща</t>
  </si>
  <si>
    <t>pt_ntar_72</t>
  </si>
  <si>
    <t>pt_ter_76</t>
  </si>
  <si>
    <t>pt_cs_76</t>
  </si>
  <si>
    <t>pt_ist_te_76</t>
  </si>
  <si>
    <t>49</t>
  </si>
  <si>
    <t>Подвоз воды потребителям хутора Беляева</t>
  </si>
  <si>
    <t>pt_ntar_73</t>
  </si>
  <si>
    <t>pt_ter_77</t>
  </si>
  <si>
    <t>pt_cs_77</t>
  </si>
  <si>
    <t>pt_ist_te_77</t>
  </si>
  <si>
    <t>50</t>
  </si>
  <si>
    <t>Подвоз воды потребителям села Найдёновка</t>
  </si>
  <si>
    <t>pt_ntar_74</t>
  </si>
  <si>
    <t>pt_ter_78</t>
  </si>
  <si>
    <t>pt_cs_78</t>
  </si>
  <si>
    <t>pt_ist_te_78</t>
  </si>
  <si>
    <t>51</t>
  </si>
  <si>
    <t>Подвоз воды потребителям села Подлужного</t>
  </si>
  <si>
    <t>pt_ntar_75</t>
  </si>
  <si>
    <t>pt_ter_79</t>
  </si>
  <si>
    <t>pt_cs_79</t>
  </si>
  <si>
    <t>pt_ist_te_79</t>
  </si>
  <si>
    <t>52</t>
  </si>
  <si>
    <t>Подвоз воды потребителям хутора Красная Балка</t>
  </si>
  <si>
    <t>pt_ntar_76</t>
  </si>
  <si>
    <t>pt_ter_80</t>
  </si>
  <si>
    <t>pt_cs_80</t>
  </si>
  <si>
    <t>pt_ist_te_80</t>
  </si>
  <si>
    <t>53</t>
  </si>
  <si>
    <t>Подвоз воды потребителям хутора Козлова</t>
  </si>
  <si>
    <t>pt_ntar_77</t>
  </si>
  <si>
    <t>pt_ter_81</t>
  </si>
  <si>
    <t>pt_cs_81</t>
  </si>
  <si>
    <t>pt_ist_te_81</t>
  </si>
  <si>
    <t>54</t>
  </si>
  <si>
    <t>Подвоз воды потребителям села Тищенского</t>
  </si>
  <si>
    <t>pt_ntar_78</t>
  </si>
  <si>
    <t>pt_ter_82</t>
  </si>
  <si>
    <t>pt_cs_82</t>
  </si>
  <si>
    <t>pt_ist_te_82</t>
  </si>
  <si>
    <t>55</t>
  </si>
  <si>
    <t>Подвоз воды потребителям хутора Вавилон</t>
  </si>
  <si>
    <t>pt_ntar_79</t>
  </si>
  <si>
    <t>pt_ter_83</t>
  </si>
  <si>
    <t>pt_cs_83</t>
  </si>
  <si>
    <t>pt_ist_te_83</t>
  </si>
  <si>
    <t>56</t>
  </si>
  <si>
    <t>Подвоз воды потребителям хутора Липчанского</t>
  </si>
  <si>
    <t>pt_ntar_80</t>
  </si>
  <si>
    <t>pt_ter_84</t>
  </si>
  <si>
    <t>pt_cs_84</t>
  </si>
  <si>
    <t>pt_ist_te_84</t>
  </si>
  <si>
    <t>57</t>
  </si>
  <si>
    <t>Подвоз воды потребителям поселка Высокогорного</t>
  </si>
  <si>
    <t>pt_ntar_81</t>
  </si>
  <si>
    <t>pt_ter_85</t>
  </si>
  <si>
    <t>pt_cs_85</t>
  </si>
  <si>
    <t>pt_ist_te_85</t>
  </si>
  <si>
    <t>58</t>
  </si>
  <si>
    <t>Подвоз воды потребителям поселка Левоберезовского</t>
  </si>
  <si>
    <t>pt_ntar_82</t>
  </si>
  <si>
    <t>pt_ter_86</t>
  </si>
  <si>
    <t>pt_cs_86</t>
  </si>
  <si>
    <t>pt_ist_te_86</t>
  </si>
  <si>
    <t>59</t>
  </si>
  <si>
    <t>Подвоз воды потребителям поселка Правоберезовского</t>
  </si>
  <si>
    <t>pt_ntar_83</t>
  </si>
  <si>
    <t>pt_ter_87</t>
  </si>
  <si>
    <t>pt_cs_87</t>
  </si>
  <si>
    <t>pt_ist_te_87</t>
  </si>
  <si>
    <t>60</t>
  </si>
  <si>
    <t>Подвоз воды потребителям аула Бакрес</t>
  </si>
  <si>
    <t>pt_ntar_84</t>
  </si>
  <si>
    <t>pt_ter_88</t>
  </si>
  <si>
    <t>pt_cs_88</t>
  </si>
  <si>
    <t>pt_ist_te_88</t>
  </si>
  <si>
    <t>61</t>
  </si>
  <si>
    <t>Подвоз воды потребителям аула Уллуби-Юрт</t>
  </si>
  <si>
    <t>pt_ntar_85</t>
  </si>
  <si>
    <t>pt_ter_89</t>
  </si>
  <si>
    <t>pt_cs_89</t>
  </si>
  <si>
    <t>pt_ist_te_89</t>
  </si>
  <si>
    <t>62</t>
  </si>
  <si>
    <t>Подвоз воды потребителям аула Махач-Аул</t>
  </si>
  <si>
    <t>pt_ntar_86</t>
  </si>
  <si>
    <t>pt_ter_90</t>
  </si>
  <si>
    <t>pt_cs_90</t>
  </si>
  <si>
    <t>pt_ist_te_90</t>
  </si>
  <si>
    <t>63</t>
  </si>
  <si>
    <t>Подвоз воды потребителям аула Уч-Тюбе</t>
  </si>
  <si>
    <t>pt_ntar_87</t>
  </si>
  <si>
    <t>pt_ter_91</t>
  </si>
  <si>
    <t>pt_cs_91</t>
  </si>
  <si>
    <t>pt_ist_te_91</t>
  </si>
  <si>
    <t>Подвоз воды потребителям аула Кунай</t>
  </si>
  <si>
    <t>pt_ntar_88</t>
  </si>
  <si>
    <t>pt_ter_92</t>
  </si>
  <si>
    <t>pt_cs_92</t>
  </si>
  <si>
    <t>pt_ist_te_92</t>
  </si>
  <si>
    <t>65</t>
  </si>
  <si>
    <t>Подвоз воды потребителям аула Артезиан-Мангит</t>
  </si>
  <si>
    <t>pt_ntar_89</t>
  </si>
  <si>
    <t>pt_ter_93</t>
  </si>
  <si>
    <t>pt_cs_93</t>
  </si>
  <si>
    <t>pt_ist_te_93</t>
  </si>
  <si>
    <t>66</t>
  </si>
  <si>
    <t>Подвоз воды потребителям аула Кок-Бас</t>
  </si>
  <si>
    <t>pt_ntar_90</t>
  </si>
  <si>
    <t>pt_ter_94</t>
  </si>
  <si>
    <t>pt_cs_94</t>
  </si>
  <si>
    <t>pt_ist_te_94</t>
  </si>
  <si>
    <t>67</t>
  </si>
  <si>
    <t>Подвоз воды потребителям села Ачикулак</t>
  </si>
  <si>
    <t>pt_ntar_91</t>
  </si>
  <si>
    <t>pt_ter_95</t>
  </si>
  <si>
    <t>pt_cs_95</t>
  </si>
  <si>
    <t>pt_ist_te_95</t>
  </si>
  <si>
    <t>68</t>
  </si>
  <si>
    <t>Подвоз воды потребителям хутора Ганькин</t>
  </si>
  <si>
    <t>pt_ntar_92</t>
  </si>
  <si>
    <t>pt_ter_96</t>
  </si>
  <si>
    <t>pt_cs_96</t>
  </si>
  <si>
    <t>pt_ist_te_96</t>
  </si>
  <si>
    <t>69</t>
  </si>
  <si>
    <t>Подвоз воды потребителям хутора Сычёвского</t>
  </si>
  <si>
    <t>pt_ntar_93</t>
  </si>
  <si>
    <t>pt_ter_97</t>
  </si>
  <si>
    <t>pt_cs_97</t>
  </si>
  <si>
    <t>pt_ist_te_97</t>
  </si>
  <si>
    <t>70</t>
  </si>
  <si>
    <t>Подвоз воды потребителям села Величаевского</t>
  </si>
  <si>
    <t>pt_ntar_94</t>
  </si>
  <si>
    <t>pt_ter_98</t>
  </si>
  <si>
    <t>pt_cs_98</t>
  </si>
  <si>
    <t>pt_ist_te_98</t>
  </si>
  <si>
    <t>Добавить наименование тарифа</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</si>
  <si>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</si>
  <si>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</si>
  <si>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</si>
  <si>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</si>
  <si>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</si>
  <si>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</si>
  <si>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</si>
  <si>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</si>
  <si>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</si>
  <si>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</si>
  <si>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</si>
  <si>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</si>
  <si>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</si>
  <si>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</si>
  <si>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</si>
  <si>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</si>
  <si>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</si>
  <si>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</si>
  <si>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</si>
  <si>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</si>
  <si>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</si>
  <si>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</si>
  <si>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</si>
  <si>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</si>
  <si>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</si>
  <si>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</si>
  <si>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</si>
  <si>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</si>
  <si>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</si>
  <si>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</si>
  <si>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</si>
  <si>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</si>
  <si>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</si>
  <si>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</si>
  <si>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</si>
  <si>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</si>
  <si>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</si>
  <si>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</si>
  <si>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</si>
  <si>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</si>
  <si>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</si>
  <si>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</si>
  <si>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</si>
  <si>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</si>
  <si>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</si>
  <si>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</si>
  <si>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</si>
  <si>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</si>
  <si>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</si>
  <si>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</si>
  <si>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</si>
  <si>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</si>
  <si>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</si>
  <si>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</si>
  <si>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</si>
  <si>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</si>
  <si>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</si>
  <si>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</si>
  <si>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</si>
  <si>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</si>
  <si>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</si>
  <si>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</si>
  <si>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</si>
  <si>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</si>
  <si>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</si>
  <si>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</si>
  <si>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</si>
  <si>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</si>
  <si>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</si>
  <si>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</si>
  <si>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</si>
  <si>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</si>
  <si>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</si>
  <si>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</si>
  <si>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</si>
  <si>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</si>
  <si>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</si>
  <si>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</si>
  <si>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</si>
  <si>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</si>
  <si>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</si>
  <si>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</si>
  <si>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</si>
  <si>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</si>
  <si>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</si>
  <si>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</si>
  <si>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</si>
  <si>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</si>
  <si>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</si>
  <si>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</si>
  <si>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</si>
  <si>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</si>
  <si>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</si>
  <si>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</si>
  <si>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</si>
  <si>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</si>
  <si>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</si>
  <si>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</si>
  <si>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</si>
  <si>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</si>
  <si>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</si>
  <si>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</si>
  <si>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</si>
  <si>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</si>
  <si>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</si>
  <si>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</si>
  <si>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</si>
  <si>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</si>
  <si>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</si>
  <si>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</si>
  <si>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</si>
  <si>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</si>
  <si>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</si>
  <si>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</si>
  <si>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</si>
  <si>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</si>
  <si>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</si>
  <si>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</si>
  <si>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</si>
  <si>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</si>
  <si>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</si>
  <si>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</si>
  <si>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</si>
  <si>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</si>
  <si>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</si>
  <si>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</si>
  <si>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</si>
  <si>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</si>
  <si>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</si>
  <si>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</si>
  <si>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</si>
  <si>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</si>
  <si>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</si>
  <si>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</si>
  <si>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</si>
  <si>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</si>
  <si>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</si>
  <si>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</si>
  <si>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</si>
  <si>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</si>
  <si>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</si>
  <si>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</si>
  <si>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</si>
  <si>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</si>
  <si>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</si>
  <si>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</si>
  <si>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</si>
  <si>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</si>
  <si>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</si>
  <si>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</si>
  <si>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</si>
  <si>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</si>
  <si>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</si>
  <si>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</si>
  <si>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</si>
  <si>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</si>
  <si>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</si>
  <si>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</si>
  <si>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</si>
  <si>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</si>
  <si>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</si>
  <si>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</si>
  <si>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</si>
  <si>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</si>
  <si>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</si>
  <si>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</si>
  <si>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</si>
  <si>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</si>
  <si>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</si>
  <si>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</si>
  <si>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</si>
  <si>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</si>
  <si>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</si>
  <si>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</si>
  <si>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</si>
  <si>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</si>
  <si>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</si>
  <si>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</si>
  <si>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</si>
  <si>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</si>
  <si>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</si>
  <si>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</si>
  <si>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</si>
  <si>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</si>
  <si>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</si>
  <si>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</si>
  <si>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</si>
  <si>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</si>
  <si>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</si>
  <si>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</si>
  <si>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</si>
  <si>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</si>
  <si>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</si>
  <si>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</si>
  <si>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</si>
  <si>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</si>
  <si>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</si>
  <si>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</si>
  <si>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</si>
  <si>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</si>
  <si>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</si>
  <si>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</si>
  <si>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</si>
  <si>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</si>
  <si>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</si>
  <si>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</si>
  <si>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</si>
  <si>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</si>
  <si>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</si>
  <si>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</si>
  <si>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</si>
  <si>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</si>
  <si>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</si>
  <si>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</si>
  <si>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</si>
  <si>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</si>
  <si>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</si>
  <si>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</si>
  <si>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</si>
  <si>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</si>
  <si>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</si>
  <si>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</si>
  <si>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</si>
  <si>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</si>
  <si>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</si>
  <si>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</si>
  <si>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</si>
  <si>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</si>
  <si>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</si>
  <si>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</si>
  <si>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</si>
  <si>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</si>
  <si>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</si>
  <si>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</si>
  <si>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</si>
  <si>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</si>
  <si>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</si>
  <si>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</si>
  <si>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</si>
  <si>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</si>
  <si>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</si>
  <si>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</si>
  <si>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</si>
  <si>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</si>
  <si>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</si>
  <si>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</si>
  <si>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</si>
  <si>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</si>
  <si>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</si>
  <si>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</si>
  <si>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</si>
  <si>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</si>
  <si>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</si>
  <si>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</si>
  <si>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население</t>
  </si>
  <si>
    <t>Тариф для населения, руб. за 1 куб. метр с НДС</t>
  </si>
  <si>
    <t>прочие</t>
  </si>
  <si>
    <t>Тариф, руб. за 1 куб. метр без НДС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</si>
  <si>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</si>
  <si>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</si>
  <si>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</si>
  <si>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</si>
  <si>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</si>
  <si>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</si>
  <si>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</si>
  <si>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</si>
  <si>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</si>
  <si>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</si>
  <si>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</si>
  <si>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</si>
  <si>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</si>
  <si>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</si>
  <si>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</si>
  <si>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</si>
  <si>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</si>
  <si>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</si>
  <si>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</si>
  <si>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</si>
  <si>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</si>
  <si>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</si>
  <si>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</si>
  <si>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</si>
  <si>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</si>
  <si>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</si>
  <si>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</si>
  <si>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</si>
  <si>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</si>
  <si>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</si>
  <si>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</si>
  <si>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</si>
  <si>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</si>
  <si>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</si>
  <si>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</si>
  <si>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</si>
  <si>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</si>
  <si>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</si>
  <si>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</si>
  <si>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</si>
  <si>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</si>
  <si>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</si>
  <si>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</si>
  <si>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</si>
  <si>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</si>
  <si>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</si>
  <si>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</si>
  <si>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</si>
  <si>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</si>
  <si>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</si>
  <si>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</si>
  <si>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</si>
  <si>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</si>
  <si>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</si>
  <si>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</si>
  <si>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</si>
  <si>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</si>
  <si>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</si>
  <si>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</si>
  <si>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</si>
  <si>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</si>
  <si>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</si>
  <si>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</si>
  <si>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</si>
  <si>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</si>
  <si>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</si>
  <si>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</si>
  <si>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</si>
  <si>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</si>
  <si>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</si>
  <si>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</si>
  <si>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</si>
  <si>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</si>
  <si>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</si>
  <si>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</si>
  <si>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</si>
  <si>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</si>
  <si>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</si>
  <si>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</si>
  <si>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</si>
  <si>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</si>
  <si>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</si>
  <si>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</si>
  <si>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</si>
  <si>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</si>
  <si>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</si>
  <si>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</si>
  <si>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</si>
  <si>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</si>
  <si>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</si>
  <si>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</si>
  <si>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</si>
  <si>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</si>
  <si>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</si>
  <si>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</si>
  <si>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</si>
  <si>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</si>
  <si>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</si>
  <si>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</si>
  <si>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</si>
  <si>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</si>
  <si>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</si>
  <si>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</si>
  <si>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</si>
  <si>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</si>
  <si>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</si>
  <si>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</si>
  <si>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</si>
  <si>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</si>
  <si>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</si>
  <si>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</si>
  <si>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</si>
  <si>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</si>
  <si>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</si>
  <si>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</si>
  <si>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</si>
  <si>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</si>
  <si>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</si>
  <si>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</si>
  <si>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</si>
  <si>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</si>
  <si>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</si>
  <si>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</si>
  <si>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</si>
  <si>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</si>
  <si>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</si>
  <si>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</si>
  <si>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</si>
  <si>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</si>
  <si>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</si>
  <si>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</si>
  <si>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</si>
  <si>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</si>
  <si>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</si>
  <si>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</si>
  <si>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</si>
  <si>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</si>
  <si>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</si>
  <si>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</si>
  <si>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</si>
  <si>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</si>
  <si>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</si>
  <si>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</si>
  <si>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</si>
  <si>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</si>
  <si>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</si>
  <si>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</si>
  <si>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</si>
  <si>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</si>
  <si>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</si>
  <si>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</si>
  <si>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</si>
  <si>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</si>
  <si>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</si>
  <si>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</si>
  <si>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</si>
  <si>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</si>
  <si>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</si>
  <si>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</si>
  <si>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</si>
  <si>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</si>
  <si>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</si>
  <si>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</si>
  <si>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</si>
  <si>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</si>
  <si>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</si>
  <si>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</si>
  <si>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</si>
  <si>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</si>
  <si>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</si>
  <si>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</si>
  <si>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</si>
  <si>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</si>
  <si>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</si>
  <si>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</si>
  <si>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</si>
  <si>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</si>
  <si>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</si>
  <si>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</si>
  <si>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</si>
  <si>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</si>
  <si>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</si>
  <si>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</si>
  <si>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</si>
  <si>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</si>
  <si>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</si>
  <si>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</si>
  <si>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</si>
  <si>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</si>
  <si>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</si>
  <si>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</si>
  <si>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</si>
  <si>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</si>
  <si>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</si>
  <si>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</si>
  <si>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</si>
  <si>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</si>
  <si>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</si>
  <si>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</si>
  <si>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</si>
  <si>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</si>
  <si>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</si>
  <si>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</si>
  <si>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</si>
  <si>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</si>
  <si>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</si>
  <si>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</si>
  <si>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</si>
  <si>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</si>
  <si>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</si>
  <si>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</si>
  <si>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</si>
  <si>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</si>
  <si>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</si>
  <si>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</si>
  <si>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</si>
  <si>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</si>
  <si>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</si>
  <si>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</si>
  <si>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</si>
  <si>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</si>
  <si>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</si>
  <si>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</si>
  <si>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</si>
  <si>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</si>
  <si>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</si>
  <si>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</si>
  <si>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</si>
  <si>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</si>
  <si>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</si>
  <si>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</si>
  <si>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</si>
  <si>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</si>
  <si>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</si>
  <si>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</si>
  <si>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</si>
  <si>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</si>
  <si>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</si>
  <si>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</si>
  <si>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</si>
  <si>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</si>
  <si>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</si>
  <si>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</si>
  <si>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</si>
  <si>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</si>
  <si>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</si>
  <si>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</si>
  <si>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</si>
  <si>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</si>
  <si>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</si>
  <si>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</si>
  <si>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</si>
  <si>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</si>
  <si>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</si>
  <si>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</si>
  <si>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</si>
  <si>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</si>
  <si>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</si>
  <si>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</si>
  <si>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</si>
  <si>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</si>
  <si>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</si>
  <si>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</si>
  <si>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</si>
  <si>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</si>
  <si>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</si>
  <si>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</si>
  <si>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</si>
  <si>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</si>
  <si>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</si>
  <si>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</si>
  <si>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</si>
  <si>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</si>
  <si>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</si>
  <si>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</si>
  <si>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</si>
  <si>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</si>
  <si>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</si>
  <si>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</si>
  <si>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</si>
  <si>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</si>
  <si>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</si>
  <si>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</si>
  <si>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</si>
  <si>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</si>
  <si>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</si>
  <si>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</si>
  <si>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</si>
  <si>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</si>
  <si>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</si>
  <si>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</si>
  <si>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</si>
  <si>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</si>
  <si>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</si>
  <si>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</si>
  <si>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</si>
  <si>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</si>
  <si>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</si>
  <si>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</si>
  <si>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</si>
  <si>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</si>
  <si>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</si>
  <si>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</si>
  <si>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</si>
  <si>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</si>
  <si>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</si>
  <si>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</si>
  <si>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</si>
  <si>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</si>
  <si>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</si>
  <si>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</si>
  <si>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</si>
  <si>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</si>
  <si>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</si>
  <si>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</si>
  <si>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</si>
  <si>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</si>
  <si>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</si>
  <si>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</si>
  <si>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</si>
  <si>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</si>
  <si>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</si>
  <si>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</si>
  <si>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</si>
  <si>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</si>
  <si>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</si>
  <si>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</si>
  <si>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</si>
  <si>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</si>
  <si>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</si>
  <si>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</si>
  <si>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</si>
  <si>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</si>
  <si>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</si>
  <si>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</si>
  <si>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</si>
  <si>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</si>
  <si>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</si>
  <si>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</si>
  <si>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</si>
  <si>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</si>
  <si>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</si>
  <si>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</si>
  <si>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</si>
  <si>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</si>
  <si>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</si>
  <si>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</si>
  <si>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</si>
  <si>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</si>
  <si>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</si>
  <si>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</si>
  <si>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</si>
  <si>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</si>
  <si>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</si>
  <si>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</si>
  <si>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</si>
  <si>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</si>
  <si>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</si>
  <si>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</si>
  <si>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</si>
  <si>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</si>
  <si>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</si>
  <si>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</si>
  <si>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</si>
  <si>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</si>
  <si>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</si>
  <si>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</si>
  <si>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</si>
  <si>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</si>
  <si>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</si>
  <si>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</si>
  <si>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</si>
  <si>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</si>
  <si>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</si>
  <si>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</si>
  <si>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</si>
  <si>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</si>
  <si>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</si>
  <si>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</si>
  <si>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</si>
  <si>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</si>
  <si>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</si>
  <si>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</si>
  <si>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</si>
  <si>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</si>
  <si>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</si>
  <si>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</si>
  <si>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</si>
  <si>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</si>
  <si>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</si>
  <si>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</si>
  <si>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</si>
  <si>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</si>
  <si>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</si>
  <si>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</si>
  <si>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</si>
  <si>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</si>
  <si>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</si>
  <si>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</si>
  <si>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</si>
  <si>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</si>
  <si>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</si>
  <si>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</si>
  <si>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</si>
  <si>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</si>
  <si>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</si>
  <si>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</si>
  <si>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</si>
  <si>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</si>
  <si>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</si>
  <si>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</si>
  <si>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</si>
  <si>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</si>
  <si>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</si>
  <si>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</si>
  <si>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</si>
  <si>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</si>
  <si>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</si>
  <si>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</si>
  <si>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</si>
  <si>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</si>
  <si>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</si>
  <si>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</si>
  <si>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</si>
  <si>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</si>
  <si>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</si>
  <si>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</si>
  <si>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</si>
  <si>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</si>
  <si>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</si>
  <si>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</si>
  <si>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</si>
  <si>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</si>
  <si>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</si>
  <si>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</si>
  <si>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</si>
  <si>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</si>
  <si>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</si>
  <si>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</si>
  <si>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</si>
  <si>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</si>
  <si>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</si>
  <si>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</si>
  <si>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</si>
  <si>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</si>
  <si>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</si>
  <si>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</si>
  <si>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</si>
  <si>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</si>
  <si>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</si>
  <si>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</si>
  <si>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</si>
  <si>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</si>
  <si>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</si>
  <si>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</si>
  <si>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</si>
  <si>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</si>
  <si>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</si>
  <si>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</si>
  <si>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</si>
  <si>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</si>
  <si>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</si>
  <si>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</si>
  <si>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</si>
  <si>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</si>
  <si>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</si>
  <si>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</si>
  <si>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</si>
  <si>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</si>
  <si>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</si>
  <si>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</si>
  <si>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</si>
  <si>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</si>
  <si>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</si>
  <si>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</si>
  <si>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</si>
  <si>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</si>
  <si>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</si>
  <si>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</si>
  <si>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</si>
  <si>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</si>
  <si>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</si>
  <si>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</si>
  <si>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</si>
  <si>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</si>
  <si>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</si>
  <si>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</si>
  <si>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</si>
  <si>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</si>
  <si>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</si>
  <si>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</si>
  <si>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</si>
  <si>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</si>
  <si>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</si>
  <si>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</si>
  <si>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</si>
  <si>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</si>
  <si>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</si>
  <si>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</si>
  <si>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</si>
  <si>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</si>
  <si>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</si>
  <si>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</si>
  <si>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</si>
  <si>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</si>
  <si>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</si>
  <si>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</si>
  <si>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</si>
  <si>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</si>
  <si>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</si>
  <si>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</si>
  <si>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</si>
  <si>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</si>
  <si>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</si>
  <si>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</si>
  <si>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</si>
  <si>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</si>
  <si>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</si>
  <si>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</si>
  <si>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</si>
  <si>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</si>
  <si>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</si>
  <si>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</si>
  <si>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</si>
  <si>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</si>
  <si>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</si>
  <si>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</si>
  <si>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</si>
  <si>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</si>
  <si>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</si>
  <si>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</si>
  <si>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</si>
  <si>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</si>
  <si>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</si>
  <si>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</si>
  <si>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</si>
  <si>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</si>
  <si>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</si>
  <si>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</si>
  <si>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</si>
  <si>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</si>
  <si>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</si>
  <si>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</si>
  <si>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</si>
  <si>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</si>
  <si>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</si>
  <si>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</si>
  <si>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</si>
  <si>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</si>
  <si>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</si>
  <si>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</si>
  <si>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</si>
  <si>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</si>
  <si>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</si>
  <si>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</si>
  <si>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</si>
  <si>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</si>
  <si>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</si>
  <si>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</si>
  <si>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экономически обоснованных расходов (затрат)</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</si>
  <si>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</si>
  <si>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</si>
  <si>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</si>
  <si>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для обеспечения нужд государственного унитарного предприятия Ставропольского края «Ставрополькрайводоканал»</t>
  </si>
  <si>
    <t>https://zakupki.gov.ru/epz/orderclause/card/documents.html?orderClauseInfoId=669518</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</si>
  <si>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</si>
  <si>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</si>
  <si>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http://zakupki.gov.ru</t>
  </si>
  <si>
    <t>План закупки товаров, работ, услуг с 01.01.2023 по 31.12.2023</t>
  </si>
  <si>
    <t>https://zakupki.gov.ru/epz/orderplan/purchase-plan/card/common-info.html?id=854380&amp;infoId=6805575</t>
  </si>
  <si>
    <t>https://zakupki.gov.ru/epz/order/extendedsearch/results.html?searchString=2635040105&amp;morphology=on</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</si>
  <si>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</si>
  <si>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</si>
  <si>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</si>
  <si>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</si>
  <si>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</si>
  <si>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</si>
  <si>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</si>
  <si>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</si>
  <si>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</si>
  <si>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</si>
  <si>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</si>
  <si>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</si>
  <si>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</si>
  <si>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</si>
  <si>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</si>
  <si>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</si>
  <si>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</si>
  <si>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</si>
  <si>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</si>
  <si>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</si>
  <si>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</si>
  <si>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</si>
  <si>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</si>
  <si>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</si>
  <si>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</si>
  <si>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</si>
  <si>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</si>
  <si>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</si>
  <si>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</si>
  <si>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</si>
  <si>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</si>
  <si>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</si>
  <si>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</si>
  <si>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</si>
  <si>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</si>
  <si>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</si>
  <si>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</si>
  <si>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</si>
  <si>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</si>
  <si>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</si>
  <si>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</si>
  <si>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</si>
  <si>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</si>
  <si>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</si>
  <si>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</si>
  <si>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</si>
  <si>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</si>
  <si>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</si>
  <si>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</si>
  <si>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</si>
  <si>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</si>
  <si>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</si>
  <si>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</si>
  <si>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</si>
  <si>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</si>
  <si>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</si>
  <si>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</si>
  <si>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</si>
  <si>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</si>
  <si>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</si>
  <si>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</si>
  <si>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</si>
  <si>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</si>
  <si>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</si>
  <si>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</si>
  <si>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</si>
  <si>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</si>
  <si>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</si>
  <si>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</si>
  <si>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</si>
  <si>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</si>
  <si>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</si>
  <si>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</si>
  <si>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</si>
  <si>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</si>
  <si>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</si>
  <si>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</si>
  <si>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</si>
  <si>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</si>
  <si>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</si>
  <si>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</si>
  <si>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</si>
  <si>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</si>
  <si>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</si>
  <si>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</si>
  <si>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</si>
  <si>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</si>
  <si>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</si>
  <si>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</si>
  <si>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</si>
  <si>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</si>
  <si>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</si>
  <si>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</si>
  <si>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</si>
  <si>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</si>
  <si>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</si>
  <si>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</si>
  <si>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</si>
  <si>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</si>
  <si>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</si>
  <si>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</si>
  <si>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</si>
  <si>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</si>
  <si>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</si>
  <si>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</si>
  <si>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</si>
  <si>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</si>
  <si>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</si>
  <si>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</si>
  <si>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</si>
  <si>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</si>
  <si>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</si>
  <si>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</si>
  <si>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</si>
  <si>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</si>
  <si>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</si>
  <si>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</si>
  <si>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</si>
  <si>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</si>
  <si>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</si>
  <si>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</si>
  <si>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</si>
  <si>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</si>
  <si>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</si>
  <si>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</si>
  <si>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</si>
  <si>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</si>
  <si>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</si>
  <si>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</si>
  <si>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</si>
  <si>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</si>
  <si>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</si>
  <si>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</si>
  <si>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</si>
  <si>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</si>
  <si>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</si>
  <si>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</si>
  <si>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</si>
  <si>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</si>
  <si>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</si>
  <si>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</si>
  <si>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</si>
  <si>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</si>
  <si>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</si>
  <si>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</si>
  <si>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</si>
  <si>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</si>
  <si>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</si>
  <si>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</si>
  <si>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</si>
  <si>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</si>
  <si>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</si>
  <si>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</si>
  <si>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</si>
  <si>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</si>
  <si>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</si>
  <si>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</si>
  <si>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</si>
  <si>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</si>
  <si>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</si>
  <si>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</si>
  <si>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</si>
  <si>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</si>
  <si>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</si>
  <si>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</si>
  <si>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</si>
  <si>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</si>
  <si>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</si>
  <si>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</si>
  <si>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</si>
  <si>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</si>
  <si>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</si>
  <si>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</si>
  <si>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</si>
  <si>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</si>
  <si>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</si>
  <si>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</si>
  <si>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</si>
  <si>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</si>
  <si>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</si>
  <si>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</si>
  <si>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</si>
  <si>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</si>
  <si>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</si>
  <si>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</si>
  <si>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</si>
  <si>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</si>
  <si>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</si>
  <si>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</si>
  <si>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</si>
  <si>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</si>
  <si>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</si>
  <si>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</si>
  <si>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</si>
  <si>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</si>
  <si>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</si>
  <si>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</si>
  <si>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</si>
  <si>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</si>
  <si>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</si>
  <si>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</si>
  <si>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</si>
  <si>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</si>
  <si>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</si>
  <si>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</si>
  <si>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</si>
  <si>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</si>
  <si>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</si>
  <si>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</si>
  <si>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</si>
  <si>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</si>
  <si>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</si>
  <si>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</si>
  <si>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</si>
  <si>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</si>
  <si>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</si>
  <si>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</si>
  <si>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</si>
  <si>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</si>
  <si>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</si>
  <si>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</si>
  <si>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</si>
  <si>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</si>
  <si>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</si>
  <si>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</si>
  <si>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</si>
  <si>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</si>
  <si>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</si>
  <si>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</si>
  <si>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</si>
  <si>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</si>
  <si>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</si>
  <si>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</si>
  <si>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</si>
  <si>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</si>
  <si>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</si>
  <si>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</si>
  <si>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</si>
  <si>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</si>
  <si>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</si>
  <si>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</si>
  <si>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</si>
  <si>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</si>
  <si>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</si>
  <si>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</si>
  <si>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</si>
  <si>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</si>
  <si>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</si>
  <si>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</si>
  <si>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</si>
  <si>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</si>
  <si>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</si>
  <si>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</si>
  <si>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</si>
  <si>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</si>
  <si>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</si>
  <si>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</si>
  <si>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</si>
  <si>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</si>
  <si>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</si>
  <si>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</si>
  <si>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</si>
  <si>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</si>
  <si>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</si>
  <si>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</si>
  <si>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</si>
  <si>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</si>
  <si>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</si>
  <si>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</si>
  <si>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</si>
  <si>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</si>
  <si>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</si>
  <si>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</si>
  <si>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</si>
  <si>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</si>
  <si>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</si>
  <si>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</si>
  <si>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</si>
  <si>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</si>
  <si>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</si>
  <si>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</si>
  <si>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</si>
  <si>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</si>
  <si>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</si>
  <si>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</si>
  <si>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</si>
  <si>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</si>
  <si>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</si>
  <si>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</si>
  <si>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</si>
  <si>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</si>
  <si>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</si>
  <si>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</si>
  <si>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</si>
  <si>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</si>
  <si>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</si>
  <si>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</si>
  <si>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</si>
  <si>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</si>
  <si>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</si>
  <si>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</si>
  <si>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</si>
  <si>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</si>
  <si>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</si>
  <si>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</si>
  <si>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</si>
  <si>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</si>
  <si>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</si>
  <si>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</si>
  <si>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</si>
  <si>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</si>
  <si>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</si>
  <si>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</si>
  <si>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</si>
  <si>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</si>
  <si>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</si>
  <si>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</si>
  <si>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</si>
  <si>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</si>
  <si>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</si>
  <si>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</si>
  <si>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</si>
  <si>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</si>
  <si>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</si>
  <si>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</si>
  <si>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</si>
  <si>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</si>
  <si>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</si>
  <si>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</si>
  <si>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</si>
  <si>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</si>
  <si>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</si>
  <si>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</si>
  <si>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</si>
  <si>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</si>
  <si>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</si>
  <si>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</si>
  <si>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</si>
  <si>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</si>
  <si>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</si>
  <si>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</si>
  <si>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</si>
  <si>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</si>
  <si>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</si>
  <si>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</si>
  <si>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</si>
  <si>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</si>
  <si>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</si>
  <si>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</si>
  <si>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</si>
  <si>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</si>
  <si>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</si>
  <si>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</si>
  <si>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</si>
  <si>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</si>
  <si>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</si>
  <si>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</si>
  <si>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</si>
  <si>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</si>
  <si>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</si>
  <si>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</si>
  <si>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</si>
  <si>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</si>
  <si>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</si>
  <si>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</si>
  <si>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</si>
  <si>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</si>
  <si>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</si>
  <si>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</si>
  <si>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</si>
  <si>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</si>
  <si>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</si>
  <si>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</si>
  <si>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</si>
  <si>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</si>
  <si>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</si>
  <si>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</si>
  <si>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</si>
  <si>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</si>
  <si>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</si>
  <si>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</si>
  <si>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</si>
  <si>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</si>
  <si>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</si>
  <si>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</si>
  <si>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</si>
  <si>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</si>
  <si>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</si>
  <si>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</si>
  <si>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</si>
  <si>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</si>
  <si>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</si>
  <si>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</si>
  <si>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</si>
  <si>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</si>
  <si>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</si>
  <si>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</si>
  <si>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</si>
  <si>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</si>
  <si>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</si>
  <si>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</si>
  <si>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</si>
  <si>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</si>
  <si>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</si>
  <si>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</si>
  <si>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</si>
  <si>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</si>
  <si>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</si>
  <si>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</si>
  <si>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</si>
  <si>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</si>
  <si>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</si>
  <si>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</si>
  <si>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</si>
  <si>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</si>
  <si>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</si>
  <si>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</si>
  <si>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</si>
  <si>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</si>
  <si>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</si>
  <si>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</si>
  <si>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</si>
  <si>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</si>
  <si>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</si>
  <si>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</si>
  <si>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</si>
  <si>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</si>
  <si>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</si>
  <si>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</si>
  <si>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</si>
  <si>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</si>
  <si>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</si>
  <si>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</si>
  <si>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</si>
  <si>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</si>
  <si>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</si>
  <si>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</si>
  <si>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</si>
  <si>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</si>
  <si>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</si>
  <si>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</si>
  <si>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</si>
  <si>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</si>
  <si>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</si>
  <si>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</si>
  <si>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</si>
  <si>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</si>
  <si>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</si>
  <si>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</si>
  <si>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</si>
  <si>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</si>
  <si>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</si>
  <si>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</si>
  <si>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</si>
  <si>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</si>
  <si>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</si>
  <si>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</si>
  <si>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</si>
  <si>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</si>
  <si>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</si>
  <si>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</si>
  <si>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</si>
  <si>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</si>
  <si>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</si>
  <si>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</si>
  <si>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</si>
  <si>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</si>
  <si>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</si>
  <si>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</si>
  <si>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</si>
  <si>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</si>
  <si>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</si>
  <si>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</si>
  <si>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</si>
  <si>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</si>
  <si>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</si>
  <si>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</si>
  <si>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</si>
  <si>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</si>
  <si>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</si>
  <si>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</si>
  <si>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</si>
  <si>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</si>
  <si>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</si>
  <si>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</si>
  <si>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</si>
  <si>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</si>
  <si>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</si>
  <si>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</si>
  <si>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</si>
  <si>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</si>
  <si>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</si>
  <si>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</si>
  <si>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</si>
  <si>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</si>
  <si>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</si>
  <si>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</si>
  <si>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</si>
  <si>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</si>
  <si>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</si>
  <si>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</si>
  <si>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</si>
  <si>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</si>
  <si>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</si>
  <si>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</si>
  <si>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</si>
  <si>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</si>
  <si>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</si>
  <si>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</si>
  <si>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</si>
  <si>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</si>
  <si>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</si>
  <si>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</si>
  <si>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</si>
  <si>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</si>
  <si>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</si>
  <si>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</si>
  <si>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</si>
  <si>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</si>
  <si>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</si>
  <si>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</si>
  <si>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</si>
  <si>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</si>
  <si>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</si>
  <si>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</si>
  <si>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</si>
  <si>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</si>
  <si>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</si>
  <si>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</si>
  <si>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</si>
  <si>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</si>
  <si>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</si>
  <si>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</si>
  <si>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</si>
  <si>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</si>
  <si>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</si>
  <si>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</si>
  <si>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</si>
  <si>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</si>
  <si>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</si>
  <si>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</si>
  <si>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</si>
  <si>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</si>
  <si>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</si>
  <si>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</si>
  <si>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</si>
  <si>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</si>
  <si>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</si>
  <si>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</si>
  <si>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</si>
  <si>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</si>
  <si>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</si>
  <si>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</si>
  <si>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</si>
  <si>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</si>
  <si>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</si>
  <si>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</si>
  <si>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</si>
  <si>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</si>
  <si>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</si>
  <si>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</si>
  <si>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</si>
  <si>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</si>
  <si>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</si>
  <si>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</si>
  <si>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</si>
  <si>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</si>
  <si>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</si>
  <si>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</si>
  <si>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</si>
  <si>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</si>
  <si>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</si>
  <si>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</si>
  <si>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</si>
  <si>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</si>
  <si>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</si>
  <si>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</si>
  <si>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</si>
  <si>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</si>
  <si>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</si>
  <si>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</si>
  <si>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</si>
  <si>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</si>
  <si>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</si>
  <si>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</si>
  <si>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</si>
  <si>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</si>
  <si>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</si>
  <si>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</si>
  <si>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</si>
  <si>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</si>
  <si>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</si>
  <si>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</si>
  <si>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</si>
  <si>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</si>
  <si>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</si>
  <si>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</si>
  <si>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</si>
  <si>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</si>
  <si>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</si>
  <si>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</si>
  <si>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</si>
  <si>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</si>
  <si>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</si>
  <si>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</si>
  <si>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</si>
  <si>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</si>
  <si>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</si>
  <si>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</si>
  <si>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</si>
  <si>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</si>
  <si>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</si>
  <si>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</si>
  <si>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</si>
  <si>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</si>
  <si>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</si>
  <si>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</si>
  <si>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</si>
  <si>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</si>
  <si>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</si>
  <si>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</si>
  <si>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</si>
  <si>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</si>
  <si>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</si>
  <si>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</si>
  <si>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</si>
  <si>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</si>
  <si>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</si>
  <si>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</si>
  <si>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</si>
  <si>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</si>
  <si>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</si>
  <si>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</si>
  <si>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</si>
  <si>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</si>
  <si>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</si>
  <si>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</si>
  <si>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</si>
  <si>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</si>
  <si>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</si>
  <si>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</si>
  <si>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</si>
  <si>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</si>
  <si>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</si>
  <si>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</si>
  <si>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</si>
  <si>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</si>
  <si>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</si>
  <si>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</si>
  <si>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</si>
  <si>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</si>
  <si>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</si>
  <si>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</si>
  <si>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</si>
  <si>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</si>
  <si>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</si>
  <si>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</si>
  <si>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</si>
  <si>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</si>
  <si>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</si>
  <si>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</si>
  <si>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</si>
  <si>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</si>
  <si>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</si>
  <si>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</si>
  <si>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</si>
  <si>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</si>
  <si>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</si>
  <si>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</si>
  <si>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</si>
  <si>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</si>
  <si>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</si>
  <si>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</si>
  <si>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</si>
  <si>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</si>
  <si>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</si>
  <si>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</si>
  <si>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</si>
  <si>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</si>
  <si>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</si>
  <si>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</si>
  <si>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</si>
  <si>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</si>
  <si>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</si>
  <si>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</si>
  <si>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</si>
  <si>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</si>
  <si>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</si>
  <si>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</si>
  <si>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</si>
  <si>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</si>
  <si>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</si>
  <si>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</si>
  <si>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</si>
  <si>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</si>
  <si>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</si>
  <si>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</si>
  <si>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</si>
  <si>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</si>
  <si>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</si>
  <si>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</si>
  <si>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</si>
  <si>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</si>
  <si>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</si>
  <si>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</si>
  <si>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</si>
  <si>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</si>
  <si>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</si>
  <si>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</si>
  <si>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</si>
  <si>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</si>
  <si>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</si>
  <si>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</si>
  <si>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</si>
  <si>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</si>
  <si>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</si>
  <si>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</si>
  <si>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</si>
  <si>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</si>
  <si>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</si>
  <si>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</si>
  <si>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</si>
  <si>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</si>
  <si>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</si>
  <si>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</si>
  <si>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</si>
  <si>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</si>
  <si>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</si>
  <si>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</si>
  <si>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</si>
  <si>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</si>
  <si>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</si>
  <si>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</si>
  <si>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</si>
  <si>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</si>
  <si>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</si>
  <si>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</si>
  <si>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</si>
  <si>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</si>
  <si>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</si>
  <si>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</si>
  <si>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</si>
  <si>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</si>
  <si>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</si>
  <si>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</si>
  <si>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</si>
  <si>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</si>
  <si>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</si>
  <si>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</si>
  <si>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</si>
  <si>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</si>
  <si>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</si>
  <si>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</si>
  <si>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</si>
  <si>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</si>
  <si>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</si>
  <si>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</si>
  <si>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</si>
  <si>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</si>
  <si>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</si>
  <si>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</si>
  <si>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</si>
  <si>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</si>
  <si>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</si>
  <si>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</si>
  <si>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</si>
  <si>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</si>
  <si>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</si>
  <si>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</si>
  <si>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</si>
  <si>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</si>
  <si>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</si>
  <si>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</si>
  <si>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</si>
  <si>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</si>
  <si>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</si>
  <si>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</si>
  <si>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</si>
  <si>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</si>
  <si>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</si>
  <si>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</si>
  <si>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</si>
  <si>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</si>
  <si>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</si>
  <si>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</si>
  <si>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</si>
  <si>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</si>
  <si>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</si>
  <si>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</si>
  <si>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</si>
  <si>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</si>
  <si>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</si>
  <si>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</si>
  <si>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</si>
  <si>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</si>
  <si>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</si>
  <si>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</si>
  <si>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</si>
  <si>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</si>
  <si>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</si>
  <si>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</si>
  <si>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</si>
  <si>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</si>
  <si>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</si>
  <si>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</si>
  <si>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</si>
  <si>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</si>
  <si>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</si>
  <si>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</si>
  <si>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</si>
  <si>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</si>
  <si>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</si>
  <si>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</si>
  <si>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</si>
  <si>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</si>
  <si>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</si>
  <si>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</si>
  <si>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</si>
  <si>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</si>
  <si>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</si>
  <si>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</si>
  <si>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</si>
  <si>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</si>
  <si>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</si>
  <si>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</si>
  <si>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</si>
  <si>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</si>
  <si>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</si>
  <si>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</si>
  <si>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</si>
  <si>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</si>
  <si>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</si>
  <si>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</si>
  <si>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</si>
  <si>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</si>
  <si>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</si>
  <si>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</si>
  <si>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</si>
  <si>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</si>
  <si>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</si>
  <si>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</si>
  <si>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</si>
  <si>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</si>
  <si>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</si>
  <si>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</si>
  <si>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</si>
  <si>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</si>
  <si>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</si>
  <si>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</si>
  <si>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</si>
  <si>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</si>
  <si>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</si>
  <si>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</si>
  <si>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</si>
  <si>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</si>
  <si>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</si>
  <si>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</si>
  <si>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</si>
  <si>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</si>
  <si>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</si>
  <si>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</si>
  <si>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</si>
  <si>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</si>
  <si>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</si>
  <si>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</si>
  <si>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</si>
  <si>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</si>
  <si>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</si>
  <si>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</si>
  <si>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</si>
  <si>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</si>
  <si>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</si>
  <si>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</si>
  <si>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</si>
  <si>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</si>
  <si>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</si>
  <si>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</si>
  <si>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</si>
  <si>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</si>
  <si>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</si>
  <si>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</si>
  <si>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</si>
  <si>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</si>
  <si>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</si>
  <si>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</si>
  <si>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</si>
  <si>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</si>
  <si>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</si>
  <si>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</si>
  <si>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</si>
  <si>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</si>
  <si>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</si>
  <si>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</si>
  <si>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</si>
  <si>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</si>
  <si>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</si>
  <si>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</si>
  <si>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</si>
  <si>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</si>
  <si>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</si>
  <si>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</si>
  <si>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</si>
  <si>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</si>
  <si>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</si>
  <si>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</si>
  <si>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</si>
  <si>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</si>
  <si>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</si>
  <si>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</si>
  <si>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</si>
  <si>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</si>
  <si>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</si>
  <si>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</si>
  <si>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</si>
  <si>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</si>
  <si>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</si>
  <si>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</si>
  <si>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</si>
  <si>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</si>
  <si>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</si>
  <si>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</si>
  <si>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</si>
  <si>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</si>
  <si>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</si>
  <si>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</si>
  <si>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</si>
  <si>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</si>
  <si>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</si>
  <si>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</si>
  <si>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</si>
  <si>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</si>
  <si>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</si>
  <si>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</si>
  <si>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</si>
  <si>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</si>
  <si>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</si>
  <si>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</si>
  <si>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</si>
  <si>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</si>
  <si>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</si>
  <si>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</si>
  <si>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</si>
  <si>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</si>
  <si>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</si>
  <si>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</si>
  <si>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</si>
  <si>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</si>
  <si>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</si>
  <si>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</si>
  <si>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</si>
  <si>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</si>
  <si>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</si>
  <si>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</si>
  <si>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</si>
  <si>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</si>
  <si>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</si>
  <si>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</si>
  <si>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</si>
  <si>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</si>
  <si>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</si>
  <si>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</si>
  <si>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</si>
  <si>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</si>
  <si>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</si>
  <si>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</si>
  <si>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</si>
  <si>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</si>
  <si>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</si>
  <si>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</si>
  <si>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</si>
  <si>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</si>
  <si>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</si>
  <si>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</si>
  <si>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</si>
  <si>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</si>
  <si>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</si>
  <si>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</si>
  <si>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</si>
  <si>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</si>
  <si>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</si>
  <si>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</si>
  <si>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</si>
  <si>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</si>
  <si>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</si>
  <si>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</si>
  <si>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</si>
  <si>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</si>
  <si>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</si>
  <si>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</si>
  <si>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</si>
  <si>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</si>
  <si>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</si>
  <si>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</si>
  <si>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</si>
  <si>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</si>
  <si>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</si>
  <si>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</si>
  <si>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</si>
  <si>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</si>
  <si>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</si>
  <si>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</si>
  <si>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</si>
  <si>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</si>
  <si>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</si>
  <si>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</si>
  <si>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</si>
  <si>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</si>
  <si>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</si>
  <si>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</si>
  <si>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</si>
  <si>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</si>
  <si>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</si>
  <si>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</si>
  <si>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</si>
  <si>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</si>
  <si>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</si>
  <si>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</si>
  <si>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</si>
  <si>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</si>
  <si>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</si>
  <si>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</si>
  <si>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</si>
  <si>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</si>
  <si>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</si>
  <si>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</si>
  <si>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</si>
  <si>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</si>
  <si>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</si>
  <si>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</si>
  <si>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</si>
  <si>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</si>
  <si>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</si>
  <si>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</si>
  <si>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</si>
  <si>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</si>
  <si>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</si>
  <si>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</si>
  <si>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</si>
  <si>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</si>
  <si>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</si>
  <si>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</si>
  <si>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</si>
  <si>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</si>
  <si>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</si>
  <si>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</si>
  <si>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</si>
  <si>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</si>
  <si>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</si>
  <si>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</si>
  <si>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</si>
  <si>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</si>
  <si>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</si>
  <si>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</si>
  <si>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</si>
  <si>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</si>
  <si>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</si>
  <si>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</si>
  <si>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</si>
  <si>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</si>
  <si>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</si>
  <si>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</si>
  <si>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</si>
  <si>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</si>
  <si>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</si>
  <si>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</si>
  <si>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2627</t>
  </si>
  <si>
    <t>26355173</t>
  </si>
  <si>
    <t>АО "Завод Атлант"</t>
  </si>
  <si>
    <t>2607000333</t>
  </si>
  <si>
    <t>260701001</t>
  </si>
  <si>
    <t>26-05-1994 00:00:00</t>
  </si>
  <si>
    <t>26355197</t>
  </si>
  <si>
    <t>АО "Квант-Энергия"</t>
  </si>
  <si>
    <t>2631002155</t>
  </si>
  <si>
    <t>263101001</t>
  </si>
  <si>
    <t>13-12-1994 00:00:00</t>
  </si>
  <si>
    <t>26419409</t>
  </si>
  <si>
    <t>АО "Невинномысский Азот"</t>
  </si>
  <si>
    <t>2631015563</t>
  </si>
  <si>
    <t>31-12-1992 00:00:00</t>
  </si>
  <si>
    <t>26850785</t>
  </si>
  <si>
    <t>АО "ПТЭК"</t>
  </si>
  <si>
    <t>2632800936</t>
  </si>
  <si>
    <t>263201001</t>
  </si>
  <si>
    <t>10-05-2011 00:00:00</t>
  </si>
  <si>
    <t>26838066</t>
  </si>
  <si>
    <t>АО "РЭУ"</t>
  </si>
  <si>
    <t>7714783092</t>
  </si>
  <si>
    <t>770401001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</si>
  <si>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</si>
  <si>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</si>
  <si>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</si>
  <si>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</si>
  <si>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</si>
  <si>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</si>
  <si>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</si>
  <si>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</si>
  <si>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</si>
  <si>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</si>
  <si>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</si>
  <si>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</si>
  <si>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07-07-1999 00:00:00</t>
  </si>
  <si>
    <t>26355198</t>
  </si>
  <si>
    <t>АО "Теплосеть" г. Невинномысск</t>
  </si>
  <si>
    <t>2631054298</t>
  </si>
  <si>
    <t>26355211</t>
  </si>
  <si>
    <t>АО "Теплосеть" г. Ставрополь</t>
  </si>
  <si>
    <t>2635095930</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</si>
  <si>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</si>
  <si>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</si>
  <si>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</si>
  <si>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</si>
  <si>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</si>
  <si>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</si>
  <si>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</si>
  <si>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</si>
  <si>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</si>
  <si>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</si>
  <si>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</si>
  <si>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</si>
  <si>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</si>
  <si>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</si>
  <si>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</si>
  <si>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28118061</t>
  </si>
  <si>
    <t>ГБПОУ ЖХСТ</t>
  </si>
  <si>
    <t>2627012954</t>
  </si>
  <si>
    <t>262701001</t>
  </si>
  <si>
    <t>15-02-2012 00:00:00</t>
  </si>
  <si>
    <t>31246558</t>
  </si>
  <si>
    <t>ГБПОУ ПАТТ</t>
  </si>
  <si>
    <t>2624000742</t>
  </si>
  <si>
    <t>262401001</t>
  </si>
  <si>
    <t>15-05-2001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</si>
  <si>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</si>
  <si>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</si>
  <si>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</si>
  <si>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</si>
  <si>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</si>
  <si>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</si>
  <si>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</si>
  <si>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</si>
  <si>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26355225</t>
  </si>
  <si>
    <t>ГУП СК "Крайтеплоэнерго"</t>
  </si>
  <si>
    <t>2635060510</t>
  </si>
  <si>
    <t>16-01-2002 00:00:00</t>
  </si>
  <si>
    <t>26371332</t>
  </si>
  <si>
    <t>18-11-1997 00:00:00</t>
  </si>
  <si>
    <t>26360929</t>
  </si>
  <si>
    <t>ЗАО "ЮЭК" филиал в г. Лермонтов Ставропольского края</t>
  </si>
  <si>
    <t>7704262319</t>
  </si>
  <si>
    <t>262902001</t>
  </si>
  <si>
    <t>23-05-2003 00:00:00</t>
  </si>
  <si>
    <t>31558540</t>
  </si>
  <si>
    <t>Запикетная ГПА-ТЭЦ КПП ООО "ЛУКОЙЛ-Ростовэнерго"</t>
  </si>
  <si>
    <t>6164288981</t>
  </si>
  <si>
    <t>262845003</t>
  </si>
  <si>
    <t>01-01-2022 00:00:00</t>
  </si>
  <si>
    <t>30370933</t>
  </si>
  <si>
    <t>ИП Гукасян Владимир Александрович</t>
  </si>
  <si>
    <t>263603503719</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</si>
  <si>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</si>
  <si>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</si>
  <si>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</si>
  <si>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</si>
  <si>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</si>
  <si>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</si>
  <si>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</si>
  <si>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</si>
  <si>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</si>
  <si>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31601420</t>
  </si>
  <si>
    <t>ИП Чернов Д.В.</t>
  </si>
  <si>
    <t>781912345501</t>
  </si>
  <si>
    <t>15-09-2020 00:00:00</t>
  </si>
  <si>
    <t>31539861</t>
  </si>
  <si>
    <t>Кисловодская ТЭЦ КПП ООО "ЛУКОЙЛ-Ростовэнерго"</t>
  </si>
  <si>
    <t>262845004</t>
  </si>
  <si>
    <t>26355205</t>
  </si>
  <si>
    <t>ЛПУП  Санаторий "РОДНИК"</t>
  </si>
  <si>
    <t>2632053836</t>
  </si>
  <si>
    <t>29-06-1999 00:00:00</t>
  </si>
  <si>
    <t>26355207</t>
  </si>
  <si>
    <t>ЛПУП "Пятигорская бальнеогрязелечебница"</t>
  </si>
  <si>
    <t>2632054854</t>
  </si>
  <si>
    <t>14-11-2002 00:00:00</t>
  </si>
  <si>
    <t>31424319</t>
  </si>
  <si>
    <t>МБУ "Дорожно-хозяйственное управление"</t>
  </si>
  <si>
    <t>2606009260</t>
  </si>
  <si>
    <t>260601001</t>
  </si>
  <si>
    <t>25-05-2020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</si>
  <si>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</si>
  <si>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</si>
  <si>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</si>
  <si>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</si>
  <si>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</si>
  <si>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</si>
  <si>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</si>
  <si>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</si>
  <si>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</si>
  <si>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</si>
  <si>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26526815</t>
  </si>
  <si>
    <t>МУП ЖКХ Александровского округа</t>
  </si>
  <si>
    <t>2601004596</t>
  </si>
  <si>
    <t>260101001</t>
  </si>
  <si>
    <t>08-09-1998 00:00:00</t>
  </si>
  <si>
    <t>31589489</t>
  </si>
  <si>
    <t>МУП КМО СК "ЖКХ Кочубеевское"</t>
  </si>
  <si>
    <t>2610801118</t>
  </si>
  <si>
    <t>261001001</t>
  </si>
  <si>
    <t>19-03-2014 00:00:00</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</si>
  <si>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</si>
  <si>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</si>
  <si>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</si>
  <si>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</si>
  <si>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</si>
  <si>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</si>
  <si>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</si>
  <si>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</si>
  <si>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31022141</t>
  </si>
  <si>
    <t>ООО "Горизонт"</t>
  </si>
  <si>
    <t>2616008378</t>
  </si>
  <si>
    <t>772701001</t>
  </si>
  <si>
    <t>15-11-2023 00:00:00</t>
  </si>
  <si>
    <t>31634484</t>
  </si>
  <si>
    <t>ООО "ДОМ СТРОЙ"</t>
  </si>
  <si>
    <t>2632102593</t>
  </si>
  <si>
    <t>02-08-2017 00:00:00</t>
  </si>
  <si>
    <t>31062553</t>
  </si>
  <si>
    <t>ООО "КОМС ПЛЮС"</t>
  </si>
  <si>
    <t>2602006892</t>
  </si>
  <si>
    <t>260201001</t>
  </si>
  <si>
    <t>26-06-2017 00:00:00</t>
  </si>
  <si>
    <t>31423130</t>
  </si>
  <si>
    <t>ООО "КОМФОРТНОЕ ЖИЛЬЕ МВ"</t>
  </si>
  <si>
    <t>2630049190</t>
  </si>
  <si>
    <t>31235882</t>
  </si>
  <si>
    <t>ООО "Коммунальное хозяйство" Туркменского муниципального района Ставропольского края</t>
  </si>
  <si>
    <t>2622005600</t>
  </si>
  <si>
    <t>262201001</t>
  </si>
  <si>
    <t>02-07-2018 00:00:00</t>
  </si>
  <si>
    <t>27567409</t>
  </si>
  <si>
    <t>ООО "ЛУКОЙЛ-Ставропольэнерго"</t>
  </si>
  <si>
    <t>2624033219</t>
  </si>
  <si>
    <t>01-08-2011 00:00:00</t>
  </si>
  <si>
    <t>26355170</t>
  </si>
  <si>
    <t>ООО "Мултон Партнерс" филиал в селе Солуно-Дмитриевское</t>
  </si>
  <si>
    <t>7701215046</t>
  </si>
  <si>
    <t>525801001</t>
  </si>
  <si>
    <t>15-04-1999 00:00:00</t>
  </si>
  <si>
    <t>26355190</t>
  </si>
  <si>
    <t>ООО "Объединение котельных курорта" г.Ессентуки</t>
  </si>
  <si>
    <t>2626027362</t>
  </si>
  <si>
    <t>26355209</t>
  </si>
  <si>
    <t>ООО "Пятигорсктеплосервис"</t>
  </si>
  <si>
    <t>2632062277</t>
  </si>
  <si>
    <t>26891086</t>
  </si>
  <si>
    <t>ООО "Ритм-Б"</t>
  </si>
  <si>
    <t>2636032690</t>
  </si>
  <si>
    <t>22-04-2011 00:00:00</t>
  </si>
  <si>
    <t>31491888</t>
  </si>
  <si>
    <t>ООО "СЗ РП-СК"</t>
  </si>
  <si>
    <t>2618015243</t>
  </si>
  <si>
    <t>261801001</t>
  </si>
  <si>
    <t>13-08-2010 00:00:00</t>
  </si>
  <si>
    <t>28952051</t>
  </si>
  <si>
    <t>ООО "СКС"</t>
  </si>
  <si>
    <t>2607000284</t>
  </si>
  <si>
    <t>10-03-2015 00:00:00</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</si>
  <si>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</si>
  <si>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</si>
  <si>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</si>
  <si>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</si>
  <si>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</si>
  <si>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</si>
  <si>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</si>
  <si>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</si>
  <si>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</si>
  <si>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</si>
  <si>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</si>
  <si>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</si>
  <si>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</si>
  <si>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</si>
  <si>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</si>
  <si>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</si>
  <si>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</si>
  <si>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</si>
  <si>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31311400</t>
  </si>
  <si>
    <t>ООО "Теплострой"</t>
  </si>
  <si>
    <t>2625033363</t>
  </si>
  <si>
    <t>11-05-2007 00:00:00</t>
  </si>
  <si>
    <t>30479236</t>
  </si>
  <si>
    <t>ООО "Теплоэнерго Кисловодск"</t>
  </si>
  <si>
    <t>2628057299</t>
  </si>
  <si>
    <t>262801001</t>
  </si>
  <si>
    <t>20-04-2016 00:00:00</t>
  </si>
  <si>
    <t>26891277</t>
  </si>
  <si>
    <t>ООО "Теплый дом"</t>
  </si>
  <si>
    <t>2601009690</t>
  </si>
  <si>
    <t>11-01-2011 00:00:00</t>
  </si>
  <si>
    <t>31707325</t>
  </si>
  <si>
    <t>ООО "Торнадо"</t>
  </si>
  <si>
    <t>2628059994</t>
  </si>
  <si>
    <t>16-12-2019 00:00:00</t>
  </si>
  <si>
    <t>27882380</t>
  </si>
  <si>
    <t>ООО "ЭНЕРГЕТИК" (котельная "Машук" в г. Пятигорске)</t>
  </si>
  <si>
    <t>2618800660</t>
  </si>
  <si>
    <t>26-03-2012 00:00:00</t>
  </si>
  <si>
    <t>31369128</t>
  </si>
  <si>
    <t>ООО "ЭНЕРГИЯ"</t>
  </si>
  <si>
    <t>2630049200</t>
  </si>
  <si>
    <t>19-06-2019 00:00:00</t>
  </si>
  <si>
    <t>31335320</t>
  </si>
  <si>
    <t>ООО "Юг-Ресурс"</t>
  </si>
  <si>
    <t>0901047734</t>
  </si>
  <si>
    <t>090101001</t>
  </si>
  <si>
    <t>26355224</t>
  </si>
  <si>
    <t>ООО «Газпром трансгаз Ставрополь»</t>
  </si>
  <si>
    <t>2636032629</t>
  </si>
  <si>
    <t>263601001</t>
  </si>
  <si>
    <t>30-06-1999 00:00:00</t>
  </si>
  <si>
    <t>31424186</t>
  </si>
  <si>
    <t>ООО КХ Арзгирского района</t>
  </si>
  <si>
    <t>2604006104</t>
  </si>
  <si>
    <t>260401001</t>
  </si>
  <si>
    <t>03-06-2020 00:00:00</t>
  </si>
  <si>
    <t>31461451</t>
  </si>
  <si>
    <t>ООО фирма "Сириус"</t>
  </si>
  <si>
    <t>2636011026</t>
  </si>
  <si>
    <t>25-11-2002 00:00:00</t>
  </si>
  <si>
    <t>30356084</t>
  </si>
  <si>
    <t>Обособленное подразделение "Ставропольское" АО "ГУ ЖКХ"</t>
  </si>
  <si>
    <t>5116000922</t>
  </si>
  <si>
    <t>263445001</t>
  </si>
  <si>
    <t>13-05-2009 00:00:00</t>
  </si>
  <si>
    <t>27051140</t>
  </si>
  <si>
    <t>ПАО "ОГК-2"</t>
  </si>
  <si>
    <t>2607018122</t>
  </si>
  <si>
    <t>781701001</t>
  </si>
  <si>
    <t>09-03-2005 00:00:00</t>
  </si>
  <si>
    <t>26355219</t>
  </si>
  <si>
    <t>ПАО "Ставропольский радиозавод "Сигнал"</t>
  </si>
  <si>
    <t>2635000092</t>
  </si>
  <si>
    <t>26318929</t>
  </si>
  <si>
    <t>ПАО "Ставропольэнергосбыт"</t>
  </si>
  <si>
    <t>2626033550</t>
  </si>
  <si>
    <t>785150001</t>
  </si>
  <si>
    <t>01-04-2005 00:00:00</t>
  </si>
  <si>
    <t>РЕГИОНАЛЬНАЯ ТАРИФНАЯ КОМИССИЯ СТАВРОПОЛЬСКОГО КРАЯ</t>
  </si>
  <si>
    <t>2635105024</t>
  </si>
  <si>
    <t>263401001</t>
  </si>
  <si>
    <t>30438499</t>
  </si>
  <si>
    <t>Санаторий им. И.М.Сеченова - НКФ ФГБУ " НМИЦ РК" Минздрава России</t>
  </si>
  <si>
    <t>7704040281</t>
  </si>
  <si>
    <t>262643002</t>
  </si>
  <si>
    <t>15-03-2016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</si>
  <si>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</si>
  <si>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</si>
  <si>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</si>
  <si>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</si>
  <si>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</si>
  <si>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</si>
  <si>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</si>
  <si>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</si>
  <si>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</si>
  <si>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28980134</t>
  </si>
  <si>
    <t>УФСБ России по Ставропольскому краю</t>
  </si>
  <si>
    <t>2634025295</t>
  </si>
  <si>
    <t>30923515</t>
  </si>
  <si>
    <t>ФГБУ "Центральное жилищно-коммунальное управление" Министерства обороны РФ</t>
  </si>
  <si>
    <t>7729314745</t>
  </si>
  <si>
    <t>616543001</t>
  </si>
  <si>
    <t>26416944</t>
  </si>
  <si>
    <t>Филиал "Невинномысская ГРЭС" ПАО "ЭЛ5-Энерго"</t>
  </si>
  <si>
    <t>6671156423</t>
  </si>
  <si>
    <t>263102001</t>
  </si>
  <si>
    <t>27-10-2004 00:00:00</t>
  </si>
  <si>
    <t>31062737</t>
  </si>
  <si>
    <t>Филиал АО НПО «Микроген» в г. Ставрополь «Аллерген»</t>
  </si>
  <si>
    <t>7722422237</t>
  </si>
  <si>
    <t>01-01-2018 00:00:00</t>
  </si>
  <si>
    <t>26416974</t>
  </si>
  <si>
    <t>Филиал ПАО "ОГК-2"-Ставропольская ГРЭС</t>
  </si>
  <si>
    <t>260702001</t>
  </si>
  <si>
    <t>26379464</t>
  </si>
  <si>
    <t>АО "Водоканал" г. Невинномысск</t>
  </si>
  <si>
    <t>2631054308</t>
  </si>
  <si>
    <t>30-07-2010 00:00:00</t>
  </si>
  <si>
    <t>26653521</t>
  </si>
  <si>
    <t>АО "Монокристалл"</t>
  </si>
  <si>
    <t>2635116509</t>
  </si>
  <si>
    <t>21-07-2008 00:00:00</t>
  </si>
  <si>
    <t>26645437</t>
  </si>
  <si>
    <t>АО "Ставропольнефтегеофизика"</t>
  </si>
  <si>
    <t>2634011976</t>
  </si>
  <si>
    <t>06-05-1994 00:00:00</t>
  </si>
  <si>
    <t>27741540</t>
  </si>
  <si>
    <t>ГБУ СК «Управление СЭСПН»</t>
  </si>
  <si>
    <t>2636802148</t>
  </si>
  <si>
    <t>09-08-2011 00:00:00</t>
  </si>
  <si>
    <t>26371496</t>
  </si>
  <si>
    <t>ГУП СК "Верхнерусское КХ"</t>
  </si>
  <si>
    <t>2623012008</t>
  </si>
  <si>
    <t>262301001</t>
  </si>
  <si>
    <t>21-09-1998 00:00:00</t>
  </si>
  <si>
    <t>26355180</t>
  </si>
  <si>
    <t>ГУП СК "ЖКХ Советского района"</t>
  </si>
  <si>
    <t>2619001525</t>
  </si>
  <si>
    <t>261901001</t>
  </si>
  <si>
    <t>01-06-1993 00:00:00</t>
  </si>
  <si>
    <t>26371493</t>
  </si>
  <si>
    <t>ГУП СК "Зеленокумский водоканал"</t>
  </si>
  <si>
    <t>2619011227</t>
  </si>
  <si>
    <t>27-09-2005 00:00:00</t>
  </si>
  <si>
    <t>26371497</t>
  </si>
  <si>
    <t>ГУП СК "Коммунальник"</t>
  </si>
  <si>
    <t>2623015288</t>
  </si>
  <si>
    <t>28-03-2001 00:00:00</t>
  </si>
  <si>
    <t>30855619</t>
  </si>
  <si>
    <t>ГУП СК "Корпорация развития Ставропольского края"</t>
  </si>
  <si>
    <t>2634088104</t>
  </si>
  <si>
    <t>29-12-2009 00:00:00</t>
  </si>
  <si>
    <t>30854760</t>
  </si>
  <si>
    <t>ЗАО "Доброжеланный"</t>
  </si>
  <si>
    <t>2624000830</t>
  </si>
  <si>
    <t>12-10-1999 00:00:00</t>
  </si>
  <si>
    <t>26412185</t>
  </si>
  <si>
    <t>ЗАО "Пятигорская птицефабрика"</t>
  </si>
  <si>
    <t>2618016913</t>
  </si>
  <si>
    <t>06-12-2004 00:00:00</t>
  </si>
  <si>
    <t>31092053</t>
  </si>
  <si>
    <t>ИП Николаенко Ю.И.</t>
  </si>
  <si>
    <t>262300362915</t>
  </si>
  <si>
    <t>31-07-2017 00:00:00</t>
  </si>
  <si>
    <t>26414239</t>
  </si>
  <si>
    <t>Колхоз имени Ленина</t>
  </si>
  <si>
    <t>2612000297</t>
  </si>
  <si>
    <t>261201001</t>
  </si>
  <si>
    <t>24-11-2000 00:00:00</t>
  </si>
  <si>
    <t>26414263</t>
  </si>
  <si>
    <t>МП НГО СК "Горьковское жилищно-коммунальное хозяйство"</t>
  </si>
  <si>
    <t>2615012406</t>
  </si>
  <si>
    <t>261501001</t>
  </si>
  <si>
    <t>12-11-2001 00:00:00</t>
  </si>
  <si>
    <t>26371484</t>
  </si>
  <si>
    <t>МП НГО СК "Расшеватский водоканал"</t>
  </si>
  <si>
    <t>2615010800</t>
  </si>
  <si>
    <t>14-09-1998 00:00:00</t>
  </si>
  <si>
    <t>26607132</t>
  </si>
  <si>
    <t>МУП "АКВА" с. Каясула НГО СК</t>
  </si>
  <si>
    <t>2614020796</t>
  </si>
  <si>
    <t>261401001</t>
  </si>
  <si>
    <t>15-12-2009 00:00:00</t>
  </si>
  <si>
    <t>26371474</t>
  </si>
  <si>
    <t>МУП "ВОДНИК" с. Ачикулак НГО СК</t>
  </si>
  <si>
    <t>2614010371</t>
  </si>
  <si>
    <t>15-11-1996 00:00:00</t>
  </si>
  <si>
    <t>26379466</t>
  </si>
  <si>
    <t>МУП "ВОДОКАНАЛ"</t>
  </si>
  <si>
    <t>2633001291</t>
  </si>
  <si>
    <t>25-10-2000 00:00:00</t>
  </si>
  <si>
    <t>26371471</t>
  </si>
  <si>
    <t>МУП "Водоканал" села Дмитриевского</t>
  </si>
  <si>
    <t>2611007620</t>
  </si>
  <si>
    <t>01-09-2005 00:00:00</t>
  </si>
  <si>
    <t>28176846</t>
  </si>
  <si>
    <t>МУП "Водоканал-Т"</t>
  </si>
  <si>
    <t>2623802302</t>
  </si>
  <si>
    <t>26-02-2013 00:00:00</t>
  </si>
  <si>
    <t>26640775</t>
  </si>
  <si>
    <t>МУП "Гарант" НГО СК</t>
  </si>
  <si>
    <t>2614019014</t>
  </si>
  <si>
    <t>24-03-2005 00:00:00</t>
  </si>
  <si>
    <t>26371495</t>
  </si>
  <si>
    <t>МУП "Коммунальное хозяйство села Горькая Балка"</t>
  </si>
  <si>
    <t>2619011442</t>
  </si>
  <si>
    <t>28-02-2006 00:00:00</t>
  </si>
  <si>
    <t>26371470</t>
  </si>
  <si>
    <t>МУП "Коммунальщик"</t>
  </si>
  <si>
    <t>2609022692</t>
  </si>
  <si>
    <t>260901001</t>
  </si>
  <si>
    <t>26-01-2007 00:00:00</t>
  </si>
  <si>
    <t>27519585</t>
  </si>
  <si>
    <t>2623800665</t>
  </si>
  <si>
    <t>08-07-2011 00:00:00</t>
  </si>
  <si>
    <t>26371476</t>
  </si>
  <si>
    <t>МУП "Нептун" НГО СК</t>
  </si>
  <si>
    <t>2614017835</t>
  </si>
  <si>
    <t>17-10-2001 00:00:00</t>
  </si>
  <si>
    <t>26371500</t>
  </si>
  <si>
    <t>МУП "Прогресс"</t>
  </si>
  <si>
    <t>2623019412</t>
  </si>
  <si>
    <t>14-03-2006 00:00:00</t>
  </si>
  <si>
    <t>26371478</t>
  </si>
  <si>
    <t>МУП "Родник" х. Андрей-Курган</t>
  </si>
  <si>
    <t>2614018998</t>
  </si>
  <si>
    <t>28-02-2005 00:00:00</t>
  </si>
  <si>
    <t>20-10-2023 00:00:00</t>
  </si>
  <si>
    <t>26371508</t>
  </si>
  <si>
    <t>МУП "Славянка"</t>
  </si>
  <si>
    <t>2630039233</t>
  </si>
  <si>
    <t>03-05-2007 00:00:00</t>
  </si>
  <si>
    <t>31315796</t>
  </si>
  <si>
    <t>МУП ЖКХ и БОН "Коммунальник"</t>
  </si>
  <si>
    <t>2624026571</t>
  </si>
  <si>
    <t>13-05-2002 00:00:00</t>
  </si>
  <si>
    <t>28942344</t>
  </si>
  <si>
    <t>МУП ИГО СК ЖКХ "Подлужное"</t>
  </si>
  <si>
    <t>2607801661</t>
  </si>
  <si>
    <t>17-10-2014 00:00:00</t>
  </si>
  <si>
    <t>26371468</t>
  </si>
  <si>
    <t>МУП КГО СК "Надежда"</t>
  </si>
  <si>
    <t>2609022928</t>
  </si>
  <si>
    <t>25-07-2007 00:00:00</t>
  </si>
  <si>
    <t>26371498</t>
  </si>
  <si>
    <t>МУП ШМО СК "Родник"</t>
  </si>
  <si>
    <t>2623017550</t>
  </si>
  <si>
    <t>30-12-2003 00:00:00</t>
  </si>
  <si>
    <t>31222756</t>
  </si>
  <si>
    <t>Муниципальное унитарное предприятие сельского поселения Этоко Зольского муниципального  района Кабардино-Балкарской Республики "УЮТ"</t>
  </si>
  <si>
    <t>0702011780</t>
  </si>
  <si>
    <t>070201001</t>
  </si>
  <si>
    <t>13-09-2018 00:00:00</t>
  </si>
  <si>
    <t>27164074</t>
  </si>
  <si>
    <t>ОАО "Тищенское"</t>
  </si>
  <si>
    <t>2607017136</t>
  </si>
  <si>
    <t>11-11-2003 00:00:00</t>
  </si>
  <si>
    <t>30839002</t>
  </si>
  <si>
    <t>ОАО "Урожайное"</t>
  </si>
  <si>
    <t>2615012420</t>
  </si>
  <si>
    <t>17-01-2002 00:00:00</t>
  </si>
  <si>
    <t>27662763</t>
  </si>
  <si>
    <t>ООО "АПСК"</t>
  </si>
  <si>
    <t>2619010470</t>
  </si>
  <si>
    <t>25-08-2003 00:00:00</t>
  </si>
  <si>
    <t>16-05-2023 00:00:00</t>
  </si>
  <si>
    <t>26371504</t>
  </si>
  <si>
    <t>ООО "ЖКХ Орловка"</t>
  </si>
  <si>
    <t>2624030031</t>
  </si>
  <si>
    <t>28-09-2006 00:00:00</t>
  </si>
  <si>
    <t>26414057</t>
  </si>
  <si>
    <t>ООО "ИРМАГ"</t>
  </si>
  <si>
    <t>2612018858</t>
  </si>
  <si>
    <t>27-01-2004 00:00:00</t>
  </si>
  <si>
    <t>27564249</t>
  </si>
  <si>
    <t>ООО "Исток"</t>
  </si>
  <si>
    <t>0702007920</t>
  </si>
  <si>
    <t>26371503</t>
  </si>
  <si>
    <t>ООО "Краснооктябрьское ЖКХ"</t>
  </si>
  <si>
    <t>2624030024</t>
  </si>
  <si>
    <t>28046959</t>
  </si>
  <si>
    <t>ООО "ЛУКОЙЛ-ЭНЕРГОСЕТИ"</t>
  </si>
  <si>
    <t>5260230051</t>
  </si>
  <si>
    <t>770901001</t>
  </si>
  <si>
    <t>17-01-2013 00:00:00</t>
  </si>
  <si>
    <t>26414003</t>
  </si>
  <si>
    <t>ООО "Нептун"</t>
  </si>
  <si>
    <t>2609021280</t>
  </si>
  <si>
    <t>02-06-2003 00:00:00</t>
  </si>
  <si>
    <t>28855808</t>
  </si>
  <si>
    <t>ООО "ОРБИТА"</t>
  </si>
  <si>
    <t>2618014190</t>
  </si>
  <si>
    <t>06-08-2001 00:00:00</t>
  </si>
  <si>
    <t>31658293</t>
  </si>
  <si>
    <t>ООО "Олимп"</t>
  </si>
  <si>
    <t>2609800350</t>
  </si>
  <si>
    <t>25-06-2013 00:00:00</t>
  </si>
  <si>
    <t>31640635</t>
  </si>
  <si>
    <t>ООО "Перспектива"</t>
  </si>
  <si>
    <t>2635802850</t>
  </si>
  <si>
    <t>26414049</t>
  </si>
  <si>
    <t>ООО "СП "Содружество"</t>
  </si>
  <si>
    <t>2612019820</t>
  </si>
  <si>
    <t>15-07-2008 00:00:00</t>
  </si>
  <si>
    <t>31423903</t>
  </si>
  <si>
    <t>ООО Специализированный застройщик "ТЕРОС"</t>
  </si>
  <si>
    <t>2626028253</t>
  </si>
  <si>
    <t>17-05-2000 00:00:00</t>
  </si>
  <si>
    <t>31420059</t>
  </si>
  <si>
    <t>СОНТ "Октябрь"</t>
  </si>
  <si>
    <t>2624031596</t>
  </si>
  <si>
    <t>30-04-2008 00:00:00</t>
  </si>
  <si>
    <t>26371479</t>
  </si>
  <si>
    <t>СПА "Колхоз им.Ворошилова"</t>
  </si>
  <si>
    <t>2615001041</t>
  </si>
  <si>
    <t>09-09-1997 00:00:00</t>
  </si>
  <si>
    <t>26530688</t>
  </si>
  <si>
    <t>СПК "Агрофирма" Восточное"</t>
  </si>
  <si>
    <t>2619009002</t>
  </si>
  <si>
    <t>06-05-2000 00:00:00</t>
  </si>
  <si>
    <t>14-04-2023 00:00:00</t>
  </si>
  <si>
    <t>27606482</t>
  </si>
  <si>
    <t>СПК колхоз "Правокумский"</t>
  </si>
  <si>
    <t>2619009161</t>
  </si>
  <si>
    <t>17-07-2000 00:00:00</t>
  </si>
  <si>
    <t>28147219</t>
  </si>
  <si>
    <t>СХАО "Радуга"</t>
  </si>
  <si>
    <t>2615001161</t>
  </si>
  <si>
    <t>12-05-1996 00:00:00</t>
  </si>
  <si>
    <t>28033347</t>
  </si>
  <si>
    <t>ФКУ ИК-6 УФСИН России по Ставропольскому краю</t>
  </si>
  <si>
    <t>2612000434</t>
  </si>
  <si>
    <t>13-05-1999 00:00:00</t>
  </si>
  <si>
    <t>26606928</t>
  </si>
  <si>
    <t>ЗАО "Люминофор-Сервис"</t>
  </si>
  <si>
    <t>2635050255</t>
  </si>
  <si>
    <t>01-12-1999 00:00:00</t>
  </si>
  <si>
    <t>26379457</t>
  </si>
  <si>
    <t>МУП ЖКХ КМО СК</t>
  </si>
  <si>
    <t>2611000128</t>
  </si>
  <si>
    <t>24-09-1997 00:00:00</t>
  </si>
  <si>
    <t>28221858</t>
  </si>
  <si>
    <t>ООО "Аква"</t>
  </si>
  <si>
    <t>0916008329</t>
  </si>
  <si>
    <t>091601001</t>
  </si>
  <si>
    <t>26379452</t>
  </si>
  <si>
    <t>ООО "Ремав"</t>
  </si>
  <si>
    <t>2607012628</t>
  </si>
  <si>
    <t>16-09-1999 00:00:00</t>
  </si>
  <si>
    <t>26411986</t>
  </si>
  <si>
    <t>ООО "СВОП"</t>
  </si>
  <si>
    <t>2636008513</t>
  </si>
  <si>
    <t>08-06-1992 00:00:00</t>
  </si>
  <si>
    <t>31365348</t>
  </si>
  <si>
    <t>ООО "Ставропольский бройлер" филиал "Рыздвяненский"</t>
  </si>
  <si>
    <t>2623030222</t>
  </si>
  <si>
    <t>260743001</t>
  </si>
  <si>
    <t>04-04-2019 00:00:00</t>
  </si>
  <si>
    <t>27519657</t>
  </si>
  <si>
    <t>ООО "ЮТАС"</t>
  </si>
  <si>
    <t>2624800097</t>
  </si>
  <si>
    <t>23-12-2010 00:00:00</t>
  </si>
  <si>
    <t>31707288</t>
  </si>
  <si>
    <t>ИП Акулов А.А.</t>
  </si>
  <si>
    <t>890500713182</t>
  </si>
  <si>
    <t>22-12-2004 00:00:00</t>
  </si>
  <si>
    <t>31690852</t>
  </si>
  <si>
    <t>ИП Багинян Г.Р.</t>
  </si>
  <si>
    <t>263600127030</t>
  </si>
  <si>
    <t>07-11-2008 00:00:00</t>
  </si>
  <si>
    <t>31707274</t>
  </si>
  <si>
    <t>ИП Багинян Р.Г.</t>
  </si>
  <si>
    <t>263600476256</t>
  </si>
  <si>
    <t>31701704</t>
  </si>
  <si>
    <t>ИП Бежанова А.П.</t>
  </si>
  <si>
    <t>263600720507</t>
  </si>
  <si>
    <t>24-08-2020 00:00:00</t>
  </si>
  <si>
    <t>31690994</t>
  </si>
  <si>
    <t>ИП Долгополов С.В.</t>
  </si>
  <si>
    <t>263500444701</t>
  </si>
  <si>
    <t>26-05-2016 00:00:00</t>
  </si>
  <si>
    <t>31690901</t>
  </si>
  <si>
    <t>ИП Мадатян М.С.</t>
  </si>
  <si>
    <t>263601981981</t>
  </si>
  <si>
    <t>31690880</t>
  </si>
  <si>
    <t>ИП Мкртичян А.Ю.</t>
  </si>
  <si>
    <t>263501922460</t>
  </si>
  <si>
    <t>12-11-2013 00:00:00</t>
  </si>
  <si>
    <t>31701582</t>
  </si>
  <si>
    <t>ИП Омельченко Н.П.</t>
  </si>
  <si>
    <t>612900047590</t>
  </si>
  <si>
    <t>28-08-2019 00:00:00</t>
  </si>
  <si>
    <t>31690980</t>
  </si>
  <si>
    <t>ИП Терехова М.С.</t>
  </si>
  <si>
    <t>263511878732</t>
  </si>
  <si>
    <t>19-08-2015 00:00:00</t>
  </si>
  <si>
    <t>31701514</t>
  </si>
  <si>
    <t>ИП Чукунова Е.А.</t>
  </si>
  <si>
    <t>263603746542</t>
  </si>
  <si>
    <t>31690866</t>
  </si>
  <si>
    <t>ИП Шмыгина Е.А.</t>
  </si>
  <si>
    <t>263507354077</t>
  </si>
  <si>
    <t>08-11-2016 00:00:00</t>
  </si>
  <si>
    <t>31690917</t>
  </si>
  <si>
    <t>ИП Шмыгина М.А.</t>
  </si>
  <si>
    <t>263513970525</t>
  </si>
  <si>
    <t>29-08-2019 00:00:00</t>
  </si>
  <si>
    <t>30835825</t>
  </si>
  <si>
    <t>МУП "ЖКХ" Ипатовского района</t>
  </si>
  <si>
    <t>2608007701</t>
  </si>
  <si>
    <t>260801001</t>
  </si>
  <si>
    <t>10-06-1998 00:00:00</t>
  </si>
  <si>
    <t>31694439</t>
  </si>
  <si>
    <t>ООО "АС-Строй"</t>
  </si>
  <si>
    <t>2630804075</t>
  </si>
  <si>
    <t>04-02-2014 00:00:00</t>
  </si>
  <si>
    <t>31448767</t>
  </si>
  <si>
    <t>ООО "АгентМВ"</t>
  </si>
  <si>
    <t>2630050075</t>
  </si>
  <si>
    <t>12-12-2018 00:00:00</t>
  </si>
  <si>
    <t>26414362</t>
  </si>
  <si>
    <t>ООО "Арго"</t>
  </si>
  <si>
    <t>2626005270</t>
  </si>
  <si>
    <t>10-06-1997 00:00:00</t>
  </si>
  <si>
    <t>31694756</t>
  </si>
  <si>
    <t>ООО "Вторресурс"</t>
  </si>
  <si>
    <t>2628058937</t>
  </si>
  <si>
    <t>05-03-2018 00:00:00</t>
  </si>
  <si>
    <t>31694367</t>
  </si>
  <si>
    <t>ООО "ГРИН СИТИ"</t>
  </si>
  <si>
    <t>2630050830</t>
  </si>
  <si>
    <t>19-09-2019 00:00:00</t>
  </si>
  <si>
    <t>31152714</t>
  </si>
  <si>
    <t>ООО "ЖКХ"</t>
  </si>
  <si>
    <t>2630040574</t>
  </si>
  <si>
    <t>17-12-2007 00:00:00</t>
  </si>
  <si>
    <t>26645427</t>
  </si>
  <si>
    <t>ООО "КБ"</t>
  </si>
  <si>
    <t>2624033201</t>
  </si>
  <si>
    <t>28-10-2010 00:00:00</t>
  </si>
  <si>
    <t>31694405</t>
  </si>
  <si>
    <t>ООО "КОМФОРТНАЯ СРЕДА"</t>
  </si>
  <si>
    <t>2630050815</t>
  </si>
  <si>
    <t>12-09-2019 00:00:00</t>
  </si>
  <si>
    <t>31690958</t>
  </si>
  <si>
    <t>ООО "ПТК"</t>
  </si>
  <si>
    <t>2627800105</t>
  </si>
  <si>
    <t>03-02-2014 00:00:00</t>
  </si>
  <si>
    <t>26382163</t>
  </si>
  <si>
    <t>ООО "Полигон Яр"</t>
  </si>
  <si>
    <t>2635074930</t>
  </si>
  <si>
    <t>28-07-2004 00:00:00</t>
  </si>
  <si>
    <t>31690838</t>
  </si>
  <si>
    <t>ООО "Полигон-Сервис"</t>
  </si>
  <si>
    <t>2636090229</t>
  </si>
  <si>
    <t>24-02-2010 00:00:00</t>
  </si>
  <si>
    <t>31707384</t>
  </si>
  <si>
    <t>ООО "РБ ГРУПП"</t>
  </si>
  <si>
    <t>2635240425</t>
  </si>
  <si>
    <t>10-04-2019 00:00:00</t>
  </si>
  <si>
    <t>30983469</t>
  </si>
  <si>
    <t>ООО "СУО"</t>
  </si>
  <si>
    <t>2626045386</t>
  </si>
  <si>
    <t>08-04-2016 00:00:00</t>
  </si>
  <si>
    <t>30474739</t>
  </si>
  <si>
    <t>ООО "Сортировка и переработка"</t>
  </si>
  <si>
    <t>2626800053</t>
  </si>
  <si>
    <t>04-05-2011 00:00:00</t>
  </si>
  <si>
    <t>31690811</t>
  </si>
  <si>
    <t>ООО "Спецсервис"</t>
  </si>
  <si>
    <t>2627024149</t>
  </si>
  <si>
    <t>15-07-2009 00:00:00</t>
  </si>
  <si>
    <t>26647914</t>
  </si>
  <si>
    <t>ООО "Сфера-М"</t>
  </si>
  <si>
    <t>2625036124</t>
  </si>
  <si>
    <t>24-09-2009 00:00:00</t>
  </si>
  <si>
    <t>31694858</t>
  </si>
  <si>
    <t>ООО "ТЕХНОЛОГЯ КОМФОРТА"</t>
  </si>
  <si>
    <t>2630050847</t>
  </si>
  <si>
    <t>20-09-2019 00:00:00</t>
  </si>
  <si>
    <t>31697666</t>
  </si>
  <si>
    <t>ООО "УК СБО"</t>
  </si>
  <si>
    <t>2624033466</t>
  </si>
  <si>
    <t>15-05-2015 00:00:00</t>
  </si>
  <si>
    <t>31152710</t>
  </si>
  <si>
    <t>ООО "Уборочные Технологии"</t>
  </si>
  <si>
    <t>2628058084</t>
  </si>
  <si>
    <t>31-01-2017 00:00:00</t>
  </si>
  <si>
    <t>30431429</t>
  </si>
  <si>
    <t>ООО "ЭКЛАТ"</t>
  </si>
  <si>
    <t>2605016112</t>
  </si>
  <si>
    <t>30-06-2015 00:00:00</t>
  </si>
  <si>
    <t>31694800</t>
  </si>
  <si>
    <t>ООО "ЭСК"</t>
  </si>
  <si>
    <t>2627027277</t>
  </si>
  <si>
    <t>18-09-2019 00:00:00</t>
  </si>
  <si>
    <t>31690966</t>
  </si>
  <si>
    <t>ООО "Эко-Сервис"</t>
  </si>
  <si>
    <t>2635128529</t>
  </si>
  <si>
    <t>23-10-2009 00:00:00</t>
  </si>
  <si>
    <t>31691019</t>
  </si>
  <si>
    <t>ООО "Эко-Сити ПР"</t>
  </si>
  <si>
    <t>2617013934</t>
  </si>
  <si>
    <t>261701001</t>
  </si>
  <si>
    <t>20-07-2015 00:00:00</t>
  </si>
  <si>
    <t>27998960</t>
  </si>
  <si>
    <t>ООО "Эко-Сити"</t>
  </si>
  <si>
    <t>2636803134</t>
  </si>
  <si>
    <t>21-12-2011 00:00:00</t>
  </si>
  <si>
    <t>31206698</t>
  </si>
  <si>
    <t>ООО "Эко-город"</t>
  </si>
  <si>
    <t>2628801895</t>
  </si>
  <si>
    <t>17-06-2013 00:00:00</t>
  </si>
  <si>
    <t>31694819</t>
  </si>
  <si>
    <t>ООО "ЭкоТех"</t>
  </si>
  <si>
    <t>2628059313</t>
  </si>
  <si>
    <t>12-10-2018 00:00:00</t>
  </si>
  <si>
    <t>31694890</t>
  </si>
  <si>
    <t>ООО "Экологистик"</t>
  </si>
  <si>
    <t>2627027301</t>
  </si>
  <si>
    <t>31088956</t>
  </si>
  <si>
    <t>ООО "Экострой"</t>
  </si>
  <si>
    <t>2634812831</t>
  </si>
  <si>
    <t>07-03-2014 00:00:00</t>
  </si>
  <si>
    <t>31694950</t>
  </si>
  <si>
    <t>ООО "Экотехнология"</t>
  </si>
  <si>
    <t>2630050822</t>
  </si>
  <si>
    <t>31694913</t>
  </si>
  <si>
    <t>ООО "ЮГАВТОТРАНС"</t>
  </si>
  <si>
    <t>2630050893</t>
  </si>
  <si>
    <t>14-10-2019 00:00:00</t>
  </si>
  <si>
    <t>28149169</t>
  </si>
  <si>
    <t>ООО "Югагролизинг"</t>
  </si>
  <si>
    <t>2630042934</t>
  </si>
  <si>
    <t>31-03-2009 00:00:00</t>
  </si>
  <si>
    <t>26607051</t>
  </si>
  <si>
    <t>ООО ЖКХ "Левокумского района"</t>
  </si>
  <si>
    <t>2613009334</t>
  </si>
  <si>
    <t>261301001</t>
  </si>
  <si>
    <t>01-08-2007 00:00:00</t>
  </si>
  <si>
    <t>NSRF</t>
  </si>
  <si>
    <t>MR_NAME</t>
  </si>
  <si>
    <t>OKTMO_MR_NAME</t>
  </si>
  <si>
    <t>MO_NAME</t>
  </si>
  <si>
    <t>OKTMO_NAME</t>
  </si>
  <si>
    <t>TYPE</t>
  </si>
  <si>
    <t>MR_ID</t>
  </si>
  <si>
    <t>муниципальный округ</t>
  </si>
  <si>
    <t>Александровский муниципальный район</t>
  </si>
  <si>
    <t>07602000</t>
  </si>
  <si>
    <t>муниципальный район</t>
  </si>
  <si>
    <t>Александровский сельсовет</t>
  </si>
  <si>
    <t>07602402</t>
  </si>
  <si>
    <t>сельское поселение</t>
  </si>
  <si>
    <t>Калиновский сельсовет</t>
  </si>
  <si>
    <t>07602407</t>
  </si>
  <si>
    <t>Круглолесский сельсовет</t>
  </si>
  <si>
    <t>07602410</t>
  </si>
  <si>
    <t>Новокавказский сельсовет</t>
  </si>
  <si>
    <t>07602413</t>
  </si>
  <si>
    <t>Саблинский сельсовет</t>
  </si>
  <si>
    <t>07602416</t>
  </si>
  <si>
    <t>Село Грушевское</t>
  </si>
  <si>
    <t>07602404</t>
  </si>
  <si>
    <t>Село Северное</t>
  </si>
  <si>
    <t>07602419</t>
  </si>
  <si>
    <t>Средненский сельсовет</t>
  </si>
  <si>
    <t>07602422</t>
  </si>
  <si>
    <t>Андроповский муниципальный район</t>
  </si>
  <si>
    <t>07632000</t>
  </si>
  <si>
    <t>Водораздельный сельсовет</t>
  </si>
  <si>
    <t>07632402</t>
  </si>
  <si>
    <t>Казинский сельсовет</t>
  </si>
  <si>
    <t>07632406</t>
  </si>
  <si>
    <t>Красноярский сельсовет</t>
  </si>
  <si>
    <t>07632407</t>
  </si>
  <si>
    <t>Курсавский сельсовет</t>
  </si>
  <si>
    <t>07632410</t>
  </si>
  <si>
    <t>Куршавский сельсовет</t>
  </si>
  <si>
    <t>07632412</t>
  </si>
  <si>
    <t>Новоянкульский сельсовет</t>
  </si>
  <si>
    <t>07632414</t>
  </si>
  <si>
    <t>Село Крымгиреевское</t>
  </si>
  <si>
    <t>07632408</t>
  </si>
  <si>
    <t>Село Султан</t>
  </si>
  <si>
    <t>07632419</t>
  </si>
  <si>
    <t>Солуно-Дмитриевский сельсовет</t>
  </si>
  <si>
    <t>07632416</t>
  </si>
  <si>
    <t>Станица Воровсколесская</t>
  </si>
  <si>
    <t>07632404</t>
  </si>
  <si>
    <t>Янкульский сельсовет</t>
  </si>
  <si>
    <t>07632422</t>
  </si>
  <si>
    <t>Апанасенковский муниципальный район</t>
  </si>
  <si>
    <t>07605000</t>
  </si>
  <si>
    <t>Айгурский сельсовет</t>
  </si>
  <si>
    <t>07605402</t>
  </si>
  <si>
    <t>Дербетовский сельсовет</t>
  </si>
  <si>
    <t>07605416</t>
  </si>
  <si>
    <t>Село Апанасенковское</t>
  </si>
  <si>
    <t>07605404</t>
  </si>
  <si>
    <t>Село Белые Копани</t>
  </si>
  <si>
    <t>07605407</t>
  </si>
  <si>
    <t>Село Воздвиженское</t>
  </si>
  <si>
    <t>07605410</t>
  </si>
  <si>
    <t>Село Вознесеновское</t>
  </si>
  <si>
    <t>07605413</t>
  </si>
  <si>
    <t>Село Дивное</t>
  </si>
  <si>
    <t>07605419</t>
  </si>
  <si>
    <t>Село Киевка</t>
  </si>
  <si>
    <t>07605422</t>
  </si>
  <si>
    <t>Село Малая Джалга</t>
  </si>
  <si>
    <t>07605425</t>
  </si>
  <si>
    <t>Село Манычское</t>
  </si>
  <si>
    <t>07605428</t>
  </si>
  <si>
    <t>Село Рагули</t>
  </si>
  <si>
    <t>07605431</t>
  </si>
  <si>
    <t>Арзгирский муниципальный район</t>
  </si>
  <si>
    <t>07607000</t>
  </si>
  <si>
    <t>Арзгирский сельсовет</t>
  </si>
  <si>
    <t>07607402</t>
  </si>
  <si>
    <t>Новоромановский сельсовет</t>
  </si>
  <si>
    <t>07607404</t>
  </si>
  <si>
    <t>Село Каменная Балка</t>
  </si>
  <si>
    <t>07607403</t>
  </si>
  <si>
    <t>Село Петропавловское</t>
  </si>
  <si>
    <t>07607407</t>
  </si>
  <si>
    <t>Село Родниковское</t>
  </si>
  <si>
    <t>07607410</t>
  </si>
  <si>
    <t>Село Садовое</t>
  </si>
  <si>
    <t>07607413</t>
  </si>
  <si>
    <t>Село Серафимовское</t>
  </si>
  <si>
    <t>07607416</t>
  </si>
  <si>
    <t>Чограйский сельсовет</t>
  </si>
  <si>
    <t>07607422</t>
  </si>
  <si>
    <t>Благодарненский</t>
  </si>
  <si>
    <t>07705000</t>
  </si>
  <si>
    <t>городской округ</t>
  </si>
  <si>
    <t>Благодарненский муниципальный округ</t>
  </si>
  <si>
    <t>07510000</t>
  </si>
  <si>
    <t>Благодарненский муниципальный район</t>
  </si>
  <si>
    <t>07610000</t>
  </si>
  <si>
    <t>Cело Елизаветинское</t>
  </si>
  <si>
    <t>07610410</t>
  </si>
  <si>
    <t>Александрийский сельсовет</t>
  </si>
  <si>
    <t>07610402</t>
  </si>
  <si>
    <t>Аул Эдельбай</t>
  </si>
  <si>
    <t>07610428</t>
  </si>
  <si>
    <t>Город Благодарный</t>
  </si>
  <si>
    <t>07610101</t>
  </si>
  <si>
    <t>городское поселение, в состав которого входит город</t>
  </si>
  <si>
    <t>Каменнобалковский сельсовет</t>
  </si>
  <si>
    <t>07610413</t>
  </si>
  <si>
    <t>Красноключевский сельсовет</t>
  </si>
  <si>
    <t>07610416</t>
  </si>
  <si>
    <t>Село Алексеевское</t>
  </si>
  <si>
    <t>07610404</t>
  </si>
  <si>
    <t>Село Бурлацкое</t>
  </si>
  <si>
    <t>07610407</t>
  </si>
  <si>
    <t>Село Мирное</t>
  </si>
  <si>
    <t>07610417</t>
  </si>
  <si>
    <t>Село Сотниковское</t>
  </si>
  <si>
    <t>07610419</t>
  </si>
  <si>
    <t>Село Спасское</t>
  </si>
  <si>
    <t>07610422</t>
  </si>
  <si>
    <t>Село Шишкино</t>
  </si>
  <si>
    <t>07610427</t>
  </si>
  <si>
    <t>Ставропольский сельсовет</t>
  </si>
  <si>
    <t>07610425</t>
  </si>
  <si>
    <t>Хутор Большевик</t>
  </si>
  <si>
    <t>07610406</t>
  </si>
  <si>
    <t>Будённовский муниципальный район</t>
  </si>
  <si>
    <t>07612000</t>
  </si>
  <si>
    <t>Архиповский сельсовет</t>
  </si>
  <si>
    <t>07612404</t>
  </si>
  <si>
    <t>Город Буденновск</t>
  </si>
  <si>
    <t>07612101</t>
  </si>
  <si>
    <t>Искровский сельсовет</t>
  </si>
  <si>
    <t>07612407</t>
  </si>
  <si>
    <t>Краснооктябрьский сельсовет</t>
  </si>
  <si>
    <t>07612409</t>
  </si>
  <si>
    <t>Новожизненский сельсовет</t>
  </si>
  <si>
    <t>07612410</t>
  </si>
  <si>
    <t>Орловский сельсовет</t>
  </si>
  <si>
    <t>07612413</t>
  </si>
  <si>
    <t>71</t>
  </si>
  <si>
    <t>Покойненский сельсовет</t>
  </si>
  <si>
    <t>07612416</t>
  </si>
  <si>
    <t>72</t>
  </si>
  <si>
    <t>Преображенский сельсовет</t>
  </si>
  <si>
    <t>07612420</t>
  </si>
  <si>
    <t>73</t>
  </si>
  <si>
    <t>Село Архангельское</t>
  </si>
  <si>
    <t>07612402</t>
  </si>
  <si>
    <t>74</t>
  </si>
  <si>
    <t>Село Прасковея</t>
  </si>
  <si>
    <t>07612419</t>
  </si>
  <si>
    <t>75</t>
  </si>
  <si>
    <t>Село Толстово-Васюковское</t>
  </si>
  <si>
    <t>07612427</t>
  </si>
  <si>
    <t>76</t>
  </si>
  <si>
    <t>Стародубский сельсовет</t>
  </si>
  <si>
    <t>07612422</t>
  </si>
  <si>
    <t>77</t>
  </si>
  <si>
    <t>Терский сельсовет</t>
  </si>
  <si>
    <t>07612425</t>
  </si>
  <si>
    <t>78</t>
  </si>
  <si>
    <t>Томузловский сельсовет</t>
  </si>
  <si>
    <t>07612429</t>
  </si>
  <si>
    <t>79</t>
  </si>
  <si>
    <t>Георгиевский муниципальный округ</t>
  </si>
  <si>
    <t>07515000</t>
  </si>
  <si>
    <t>81</t>
  </si>
  <si>
    <t>Георгиевский муниципальный район</t>
  </si>
  <si>
    <t>07615000</t>
  </si>
  <si>
    <t>07615402</t>
  </si>
  <si>
    <t>82</t>
  </si>
  <si>
    <t>Балковский сельсовет</t>
  </si>
  <si>
    <t>07615403</t>
  </si>
  <si>
    <t>83</t>
  </si>
  <si>
    <t>84</t>
  </si>
  <si>
    <t>Крутоярский сельсовет</t>
  </si>
  <si>
    <t>07615408</t>
  </si>
  <si>
    <t>85</t>
  </si>
  <si>
    <t>Незлобненский сельсовет</t>
  </si>
  <si>
    <t>07615413</t>
  </si>
  <si>
    <t>86</t>
  </si>
  <si>
    <t>Поселок Новый</t>
  </si>
  <si>
    <t>07615415</t>
  </si>
  <si>
    <t>87</t>
  </si>
  <si>
    <t>Село Краснокумское</t>
  </si>
  <si>
    <t>07615406</t>
  </si>
  <si>
    <t>88</t>
  </si>
  <si>
    <t>Село Новозаведенное</t>
  </si>
  <si>
    <t>07615416</t>
  </si>
  <si>
    <t>89</t>
  </si>
  <si>
    <t>Село Обильное</t>
  </si>
  <si>
    <t>07615419</t>
  </si>
  <si>
    <t>90</t>
  </si>
  <si>
    <t>Станица Георгиевская</t>
  </si>
  <si>
    <t>07615404</t>
  </si>
  <si>
    <t>91</t>
  </si>
  <si>
    <t>Станица Лысогорская</t>
  </si>
  <si>
    <t>07615410</t>
  </si>
  <si>
    <t>92</t>
  </si>
  <si>
    <t>Станица Подгорная</t>
  </si>
  <si>
    <t>07615422</t>
  </si>
  <si>
    <t>93</t>
  </si>
  <si>
    <t>Ульяновский сельсовет</t>
  </si>
  <si>
    <t>07615425</t>
  </si>
  <si>
    <t>94</t>
  </si>
  <si>
    <t>Урухский сельсовет</t>
  </si>
  <si>
    <t>07615428</t>
  </si>
  <si>
    <t>95</t>
  </si>
  <si>
    <t>Шаумяновский сельсовет</t>
  </si>
  <si>
    <t>07615431</t>
  </si>
  <si>
    <t>96</t>
  </si>
  <si>
    <t>Город Лермонтов</t>
  </si>
  <si>
    <t>07718000</t>
  </si>
  <si>
    <t>97</t>
  </si>
  <si>
    <t>Город Невинномысск</t>
  </si>
  <si>
    <t>07724000</t>
  </si>
  <si>
    <t>98</t>
  </si>
  <si>
    <t>Город Ставрополь</t>
  </si>
  <si>
    <t>07701000</t>
  </si>
  <si>
    <t>99</t>
  </si>
  <si>
    <t>Город-курорт Ессентуки</t>
  </si>
  <si>
    <t>07710000</t>
  </si>
  <si>
    <t>100</t>
  </si>
  <si>
    <t>Город-курорт Железноводск</t>
  </si>
  <si>
    <t>07712000</t>
  </si>
  <si>
    <t>101</t>
  </si>
  <si>
    <t>Город-курорт Пятигорск</t>
  </si>
  <si>
    <t>07727000</t>
  </si>
  <si>
    <t>103</t>
  </si>
  <si>
    <t>Грачёвский муниципальный округ</t>
  </si>
  <si>
    <t>07517000</t>
  </si>
  <si>
    <t>104</t>
  </si>
  <si>
    <t>Грачёвский муниципальный район</t>
  </si>
  <si>
    <t>07617000</t>
  </si>
  <si>
    <t>105</t>
  </si>
  <si>
    <t>Грачевский сельсовет</t>
  </si>
  <si>
    <t>07617404</t>
  </si>
  <si>
    <t>106</t>
  </si>
  <si>
    <t>Красный сельсовет</t>
  </si>
  <si>
    <t>07617407</t>
  </si>
  <si>
    <t>107</t>
  </si>
  <si>
    <t>Кугультинский сельсовет</t>
  </si>
  <si>
    <t>07617410</t>
  </si>
  <si>
    <t>108</t>
  </si>
  <si>
    <t>Село Бешпагир</t>
  </si>
  <si>
    <t>07617401</t>
  </si>
  <si>
    <t>109</t>
  </si>
  <si>
    <t>Село Тугулук</t>
  </si>
  <si>
    <t>07617422</t>
  </si>
  <si>
    <t>110</t>
  </si>
  <si>
    <t>Сергиевский сельсовет</t>
  </si>
  <si>
    <t>07617413</t>
  </si>
  <si>
    <t>111</t>
  </si>
  <si>
    <t>Спицевский сельсовет</t>
  </si>
  <si>
    <t>07617416</t>
  </si>
  <si>
    <t>112</t>
  </si>
  <si>
    <t>Старомарьевский сельсовет</t>
  </si>
  <si>
    <t>07617419</t>
  </si>
  <si>
    <t>113</t>
  </si>
  <si>
    <t>Изобильненский муниципальный округ</t>
  </si>
  <si>
    <t>07520000</t>
  </si>
  <si>
    <t>115</t>
  </si>
  <si>
    <t>Изобильненский муниципальный район</t>
  </si>
  <si>
    <t>07620000</t>
  </si>
  <si>
    <t>Город Изобильный</t>
  </si>
  <si>
    <t>07620101</t>
  </si>
  <si>
    <t>116</t>
  </si>
  <si>
    <t>117</t>
  </si>
  <si>
    <t>Каменнобродский сельсовет</t>
  </si>
  <si>
    <t>07620404</t>
  </si>
  <si>
    <t>118</t>
  </si>
  <si>
    <t>Московский сельсовет</t>
  </si>
  <si>
    <t>07620407</t>
  </si>
  <si>
    <t>119</t>
  </si>
  <si>
    <t>Новоизобильненский сельсовет</t>
  </si>
  <si>
    <t>07620409</t>
  </si>
  <si>
    <t>120</t>
  </si>
  <si>
    <t>Передовой сельсовет</t>
  </si>
  <si>
    <t>07620412</t>
  </si>
  <si>
    <t>121</t>
  </si>
  <si>
    <t>Подлужненский сельсовет</t>
  </si>
  <si>
    <t>07620413</t>
  </si>
  <si>
    <t>122</t>
  </si>
  <si>
    <t>Поселок Рыздвяный</t>
  </si>
  <si>
    <t>07620153</t>
  </si>
  <si>
    <t>городское поселение, в состав которого входит поселок</t>
  </si>
  <si>
    <t>123</t>
  </si>
  <si>
    <t>Поселок Солнечнодольск</t>
  </si>
  <si>
    <t>07620155</t>
  </si>
  <si>
    <t>124</t>
  </si>
  <si>
    <t>Рождественский сельсовет</t>
  </si>
  <si>
    <t>07620416</t>
  </si>
  <si>
    <t>125</t>
  </si>
  <si>
    <t>Село Птичье</t>
  </si>
  <si>
    <t>07620414</t>
  </si>
  <si>
    <t>126</t>
  </si>
  <si>
    <t>Село Тищенское</t>
  </si>
  <si>
    <t>07620422</t>
  </si>
  <si>
    <t>127</t>
  </si>
  <si>
    <t>Станица Баклановская</t>
  </si>
  <si>
    <t>07620402</t>
  </si>
  <si>
    <t>128</t>
  </si>
  <si>
    <t>Станица Новотроицкая</t>
  </si>
  <si>
    <t>07620410</t>
  </si>
  <si>
    <t>129</t>
  </si>
  <si>
    <t>Староизобильненский сельсовет</t>
  </si>
  <si>
    <t>07620419</t>
  </si>
  <si>
    <t>130</t>
  </si>
  <si>
    <t>Хутор Спорный</t>
  </si>
  <si>
    <t>07620418</t>
  </si>
  <si>
    <t>131</t>
  </si>
  <si>
    <t>Ипатовский муниципальный округ</t>
  </si>
  <si>
    <t>07522000</t>
  </si>
  <si>
    <t>133</t>
  </si>
  <si>
    <t>Ипатовский муниципальный район</t>
  </si>
  <si>
    <t>07622000</t>
  </si>
  <si>
    <t>Большевистский сельсовет</t>
  </si>
  <si>
    <t>07622402</t>
  </si>
  <si>
    <t>134</t>
  </si>
  <si>
    <t>Винодельненский сельсовет</t>
  </si>
  <si>
    <t>07622410</t>
  </si>
  <si>
    <t>135</t>
  </si>
  <si>
    <t>Город Ипатово</t>
  </si>
  <si>
    <t>07622101</t>
  </si>
  <si>
    <t>136</t>
  </si>
  <si>
    <t>Добровольно-Васильевский сельсовет</t>
  </si>
  <si>
    <t>07622413</t>
  </si>
  <si>
    <t>137</t>
  </si>
  <si>
    <t>Золотаревский сельсовет</t>
  </si>
  <si>
    <t>07622416</t>
  </si>
  <si>
    <t>138</t>
  </si>
  <si>
    <t>139</t>
  </si>
  <si>
    <t>Кевсалинский сельсовет</t>
  </si>
  <si>
    <t>07622422</t>
  </si>
  <si>
    <t>140</t>
  </si>
  <si>
    <t>Красочный сельсовет</t>
  </si>
  <si>
    <t>07622425</t>
  </si>
  <si>
    <t>141</t>
  </si>
  <si>
    <t>Леснодачненский сельсовет</t>
  </si>
  <si>
    <t>07622427</t>
  </si>
  <si>
    <t>142</t>
  </si>
  <si>
    <t>Лиманский сельсовет</t>
  </si>
  <si>
    <t>07622428</t>
  </si>
  <si>
    <t>143</t>
  </si>
  <si>
    <t>Мало-Барханчакский сельсовет</t>
  </si>
  <si>
    <t>07622429</t>
  </si>
  <si>
    <t>144</t>
  </si>
  <si>
    <t>Октябрьский сельсовет</t>
  </si>
  <si>
    <t>07622431</t>
  </si>
  <si>
    <t>145</t>
  </si>
  <si>
    <t>Первомайский сельсовет</t>
  </si>
  <si>
    <t>07622434</t>
  </si>
  <si>
    <t>146</t>
  </si>
  <si>
    <t>Село Большая Джалга</t>
  </si>
  <si>
    <t>07622404</t>
  </si>
  <si>
    <t>147</t>
  </si>
  <si>
    <t>Село Бурукшун</t>
  </si>
  <si>
    <t>07622407</t>
  </si>
  <si>
    <t>148</t>
  </si>
  <si>
    <t>Советскорунный сельсовет</t>
  </si>
  <si>
    <t>07622437</t>
  </si>
  <si>
    <t>149</t>
  </si>
  <si>
    <t>Тахтинский сельсовет</t>
  </si>
  <si>
    <t>07622440</t>
  </si>
  <si>
    <t>150</t>
  </si>
  <si>
    <t>Кировский муниципальный округ</t>
  </si>
  <si>
    <t>07525000</t>
  </si>
  <si>
    <t>152</t>
  </si>
  <si>
    <t>Кировский муниципальный район</t>
  </si>
  <si>
    <t>07625000</t>
  </si>
  <si>
    <t>Горнозаводской сельсовет</t>
  </si>
  <si>
    <t>07625402</t>
  </si>
  <si>
    <t>153</t>
  </si>
  <si>
    <t>Город Новопавловск</t>
  </si>
  <si>
    <t>07625101</t>
  </si>
  <si>
    <t>154</t>
  </si>
  <si>
    <t>Зольский сельсовет</t>
  </si>
  <si>
    <t>07625404</t>
  </si>
  <si>
    <t>155</t>
  </si>
  <si>
    <t>156</t>
  </si>
  <si>
    <t>Комсомольский сельсовет</t>
  </si>
  <si>
    <t>07625407</t>
  </si>
  <si>
    <t>157</t>
  </si>
  <si>
    <t>Новосредненский сельсовет</t>
  </si>
  <si>
    <t>07625416</t>
  </si>
  <si>
    <t>158</t>
  </si>
  <si>
    <t>07625417</t>
  </si>
  <si>
    <t>159</t>
  </si>
  <si>
    <t>Посёлок Фазанный</t>
  </si>
  <si>
    <t>07625428</t>
  </si>
  <si>
    <t>160</t>
  </si>
  <si>
    <t>Советский сельсовет</t>
  </si>
  <si>
    <t>07625419</t>
  </si>
  <si>
    <t>161</t>
  </si>
  <si>
    <t>Станица Марьинская</t>
  </si>
  <si>
    <t>07625410</t>
  </si>
  <si>
    <t>162</t>
  </si>
  <si>
    <t>Старопавловский сельсовет</t>
  </si>
  <si>
    <t>07625422</t>
  </si>
  <si>
    <t>163</t>
  </si>
  <si>
    <t>Кочубеевский муниципальный округ</t>
  </si>
  <si>
    <t>07528000</t>
  </si>
  <si>
    <t>164</t>
  </si>
  <si>
    <t>Кочубеевский муниципальный район</t>
  </si>
  <si>
    <t>07628000</t>
  </si>
  <si>
    <t>Балахоновский сельсовет</t>
  </si>
  <si>
    <t>07628402</t>
  </si>
  <si>
    <t>165</t>
  </si>
  <si>
    <t>Барсуковский сельсовет</t>
  </si>
  <si>
    <t>07628404</t>
  </si>
  <si>
    <t>166</t>
  </si>
  <si>
    <t>Васильевский сельсовет</t>
  </si>
  <si>
    <t>07628440</t>
  </si>
  <si>
    <t>167</t>
  </si>
  <si>
    <t>Вревский сельсовет</t>
  </si>
  <si>
    <t>07628407</t>
  </si>
  <si>
    <t>168</t>
  </si>
  <si>
    <t>Георгиевский сельсовет</t>
  </si>
  <si>
    <t>07628408</t>
  </si>
  <si>
    <t>169</t>
  </si>
  <si>
    <t>Заветненский сельсовет</t>
  </si>
  <si>
    <t>07628413</t>
  </si>
  <si>
    <t>170</t>
  </si>
  <si>
    <t>Ивановский сельсовет</t>
  </si>
  <si>
    <t>07628416</t>
  </si>
  <si>
    <t>171</t>
  </si>
  <si>
    <t>Казьминский сельсовет</t>
  </si>
  <si>
    <t>07628419</t>
  </si>
  <si>
    <t>172</t>
  </si>
  <si>
    <t>173</t>
  </si>
  <si>
    <t>Мищенский сельсовет</t>
  </si>
  <si>
    <t>07628423</t>
  </si>
  <si>
    <t>174</t>
  </si>
  <si>
    <t>Надзорненский сельсовет</t>
  </si>
  <si>
    <t>07628424</t>
  </si>
  <si>
    <t>175</t>
  </si>
  <si>
    <t>Новодеревенский сельсовет</t>
  </si>
  <si>
    <t>07628425</t>
  </si>
  <si>
    <t>176</t>
  </si>
  <si>
    <t>Село Кочубеевское</t>
  </si>
  <si>
    <t>07628422</t>
  </si>
  <si>
    <t>177</t>
  </si>
  <si>
    <t>Станица Беломечетская</t>
  </si>
  <si>
    <t>07628406</t>
  </si>
  <si>
    <t>178</t>
  </si>
  <si>
    <t>Стародворцовский сельсовет</t>
  </si>
  <si>
    <t>07628430</t>
  </si>
  <si>
    <t>179</t>
  </si>
  <si>
    <t>Усть-Невинский сельсовет</t>
  </si>
  <si>
    <t>07628435</t>
  </si>
  <si>
    <t>180</t>
  </si>
  <si>
    <t>Красногвардейский муниципальный район</t>
  </si>
  <si>
    <t>07630000</t>
  </si>
  <si>
    <t>Коммунаровский сельсовет</t>
  </si>
  <si>
    <t>07630404</t>
  </si>
  <si>
    <t>182</t>
  </si>
  <si>
    <t>183</t>
  </si>
  <si>
    <t>Медвеженский сельсовет</t>
  </si>
  <si>
    <t>07630413</t>
  </si>
  <si>
    <t>184</t>
  </si>
  <si>
    <t>Привольненский сельсовет</t>
  </si>
  <si>
    <t>07630425</t>
  </si>
  <si>
    <t>185</t>
  </si>
  <si>
    <t>Родыковский сельсовет</t>
  </si>
  <si>
    <t>07630428</t>
  </si>
  <si>
    <t>186</t>
  </si>
  <si>
    <t>Село Дмитриевское</t>
  </si>
  <si>
    <t>07630402</t>
  </si>
  <si>
    <t>187</t>
  </si>
  <si>
    <t>Село Красногвардейское</t>
  </si>
  <si>
    <t>07630407</t>
  </si>
  <si>
    <t>188</t>
  </si>
  <si>
    <t>Село Ладовская Балка</t>
  </si>
  <si>
    <t>07630410</t>
  </si>
  <si>
    <t>189</t>
  </si>
  <si>
    <t>Село Новомихайловское</t>
  </si>
  <si>
    <t>07630416</t>
  </si>
  <si>
    <t>190</t>
  </si>
  <si>
    <t>Село Покровское</t>
  </si>
  <si>
    <t>07630419</t>
  </si>
  <si>
    <t>191</t>
  </si>
  <si>
    <t>Село Преградное</t>
  </si>
  <si>
    <t>07630422</t>
  </si>
  <si>
    <t>192</t>
  </si>
  <si>
    <t>Штурмовский сельсовет</t>
  </si>
  <si>
    <t>07630443</t>
  </si>
  <si>
    <t>193</t>
  </si>
  <si>
    <t>Курский муниципальный район</t>
  </si>
  <si>
    <t>07633000</t>
  </si>
  <si>
    <t>Балтийский сельсовет</t>
  </si>
  <si>
    <t>07633402</t>
  </si>
  <si>
    <t>195</t>
  </si>
  <si>
    <t>Галюгаевский сельсовет</t>
  </si>
  <si>
    <t>07633404</t>
  </si>
  <si>
    <t>196</t>
  </si>
  <si>
    <t>Кановский сельсовет</t>
  </si>
  <si>
    <t>07633406</t>
  </si>
  <si>
    <t>197</t>
  </si>
  <si>
    <t>198</t>
  </si>
  <si>
    <t>Курский сельсовет</t>
  </si>
  <si>
    <t>07633407</t>
  </si>
  <si>
    <t>199</t>
  </si>
  <si>
    <t>Мирненский сельсовет</t>
  </si>
  <si>
    <t>07633410</t>
  </si>
  <si>
    <t>200</t>
  </si>
  <si>
    <t>Полтавский сельсовет</t>
  </si>
  <si>
    <t>07633413</t>
  </si>
  <si>
    <t>201</t>
  </si>
  <si>
    <t>Ростовановский сельсовет</t>
  </si>
  <si>
    <t>07633416</t>
  </si>
  <si>
    <t>202</t>
  </si>
  <si>
    <t>Рощинский сельсовет</t>
  </si>
  <si>
    <t>07633419</t>
  </si>
  <si>
    <t>203</t>
  </si>
  <si>
    <t>Русский сельсовет</t>
  </si>
  <si>
    <t>07633422</t>
  </si>
  <si>
    <t>204</t>
  </si>
  <si>
    <t>Село Эдиссия</t>
  </si>
  <si>
    <t>07633428</t>
  </si>
  <si>
    <t>205</t>
  </si>
  <si>
    <t>Серноводский сельсовет</t>
  </si>
  <si>
    <t>07633425</t>
  </si>
  <si>
    <t>206</t>
  </si>
  <si>
    <t>Станица Стодеревская</t>
  </si>
  <si>
    <t>07633426</t>
  </si>
  <si>
    <t>207</t>
  </si>
  <si>
    <t>Левокумский муниципальный район</t>
  </si>
  <si>
    <t>07636000</t>
  </si>
  <si>
    <t>Бургун-Маджарский сельсовет</t>
  </si>
  <si>
    <t>07636402</t>
  </si>
  <si>
    <t>209</t>
  </si>
  <si>
    <t>Величаевский сельсовет</t>
  </si>
  <si>
    <t>07636404</t>
  </si>
  <si>
    <t>210</t>
  </si>
  <si>
    <t>Владимировский сельсовет</t>
  </si>
  <si>
    <t>07636407</t>
  </si>
  <si>
    <t>211</t>
  </si>
  <si>
    <t>Заринский сельсовет</t>
  </si>
  <si>
    <t>07636409</t>
  </si>
  <si>
    <t>212</t>
  </si>
  <si>
    <t>213</t>
  </si>
  <si>
    <t>Николо-Александровский сельсовет</t>
  </si>
  <si>
    <t>07636413</t>
  </si>
  <si>
    <t>214</t>
  </si>
  <si>
    <t>Поселок Новокумский</t>
  </si>
  <si>
    <t>07636414</t>
  </si>
  <si>
    <t>215</t>
  </si>
  <si>
    <t>Село Левокумское</t>
  </si>
  <si>
    <t>07636410</t>
  </si>
  <si>
    <t>216</t>
  </si>
  <si>
    <t>Село Правокумское</t>
  </si>
  <si>
    <t>07636416</t>
  </si>
  <si>
    <t>217</t>
  </si>
  <si>
    <t>Село Приозерское</t>
  </si>
  <si>
    <t>07636417</t>
  </si>
  <si>
    <t>218</t>
  </si>
  <si>
    <t>Село Урожайное</t>
  </si>
  <si>
    <t>07636422</t>
  </si>
  <si>
    <t>219</t>
  </si>
  <si>
    <t>Турксадский сельсовет</t>
  </si>
  <si>
    <t>07636419</t>
  </si>
  <si>
    <t>220</t>
  </si>
  <si>
    <t>Минераловодский</t>
  </si>
  <si>
    <t>07721000</t>
  </si>
  <si>
    <t>221</t>
  </si>
  <si>
    <t>Минераловодский муниципальный округ</t>
  </si>
  <si>
    <t>07539000</t>
  </si>
  <si>
    <t>222</t>
  </si>
  <si>
    <t>Минераловодский муниципальный район</t>
  </si>
  <si>
    <t>07639000</t>
  </si>
  <si>
    <t>Город Минеральные Воды</t>
  </si>
  <si>
    <t>07639101</t>
  </si>
  <si>
    <t>223</t>
  </si>
  <si>
    <t>Гражданский сельсовет</t>
  </si>
  <si>
    <t>07639402</t>
  </si>
  <si>
    <t>224</t>
  </si>
  <si>
    <t>Левокумский сельсовет</t>
  </si>
  <si>
    <t>07639421</t>
  </si>
  <si>
    <t>225</t>
  </si>
  <si>
    <t>Ленинский сельсовет</t>
  </si>
  <si>
    <t>07639407</t>
  </si>
  <si>
    <t>226</t>
  </si>
  <si>
    <t>Марьино-Колодцевский сельсовет</t>
  </si>
  <si>
    <t>07639410</t>
  </si>
  <si>
    <t>227</t>
  </si>
  <si>
    <t>228</t>
  </si>
  <si>
    <t>Нижнеалександровский сельсовет</t>
  </si>
  <si>
    <t>07639416</t>
  </si>
  <si>
    <t>229</t>
  </si>
  <si>
    <t>07639418</t>
  </si>
  <si>
    <t>230</t>
  </si>
  <si>
    <t>Перевальненский сельсовет</t>
  </si>
  <si>
    <t>07639420</t>
  </si>
  <si>
    <t>231</t>
  </si>
  <si>
    <t>Побегайловский сельсовет</t>
  </si>
  <si>
    <t>07639419</t>
  </si>
  <si>
    <t>232</t>
  </si>
  <si>
    <t>Поселок Анджиевский</t>
  </si>
  <si>
    <t>07639152</t>
  </si>
  <si>
    <t>233</t>
  </si>
  <si>
    <t>Прикумский сельсовет</t>
  </si>
  <si>
    <t>07639422</t>
  </si>
  <si>
    <t>234</t>
  </si>
  <si>
    <t>Розовский сельсовет</t>
  </si>
  <si>
    <t>07639425</t>
  </si>
  <si>
    <t>235</t>
  </si>
  <si>
    <t>Село Греческое</t>
  </si>
  <si>
    <t>07639404</t>
  </si>
  <si>
    <t>236</t>
  </si>
  <si>
    <t>Село Нагутское</t>
  </si>
  <si>
    <t>07639413</t>
  </si>
  <si>
    <t>237</t>
  </si>
  <si>
    <t>07639430</t>
  </si>
  <si>
    <t>238</t>
  </si>
  <si>
    <t>Нефтекумский муниципальный округ</t>
  </si>
  <si>
    <t>07541000</t>
  </si>
  <si>
    <t>240</t>
  </si>
  <si>
    <t>Нефтекумский муниципальный район</t>
  </si>
  <si>
    <t>07641000</t>
  </si>
  <si>
    <t>Город Нефтекумск</t>
  </si>
  <si>
    <t>07641101</t>
  </si>
  <si>
    <t>241</t>
  </si>
  <si>
    <t>Закумский сельсовет</t>
  </si>
  <si>
    <t>07641403</t>
  </si>
  <si>
    <t>242</t>
  </si>
  <si>
    <t>Зимнеставочный сельсовет</t>
  </si>
  <si>
    <t>07641404</t>
  </si>
  <si>
    <t>243</t>
  </si>
  <si>
    <t>Зункарский сельсовет</t>
  </si>
  <si>
    <t>07641405</t>
  </si>
  <si>
    <t>244</t>
  </si>
  <si>
    <t>Кара-Тюбинский сельсовет</t>
  </si>
  <si>
    <t>07641407</t>
  </si>
  <si>
    <t>245</t>
  </si>
  <si>
    <t>Каясулинский сельсовет</t>
  </si>
  <si>
    <t>07641410</t>
  </si>
  <si>
    <t>246</t>
  </si>
  <si>
    <t>Махмуд-Мектебский сельсовет</t>
  </si>
  <si>
    <t>07641413</t>
  </si>
  <si>
    <t>247</t>
  </si>
  <si>
    <t>248</t>
  </si>
  <si>
    <t>Новкус-Артезианский сельсовет</t>
  </si>
  <si>
    <t>07641416</t>
  </si>
  <si>
    <t>249</t>
  </si>
  <si>
    <t>Озек-Суатский сельсовет</t>
  </si>
  <si>
    <t>07641419</t>
  </si>
  <si>
    <t>250</t>
  </si>
  <si>
    <t>Поселок Затеречный</t>
  </si>
  <si>
    <t>07641153</t>
  </si>
  <si>
    <t>251</t>
  </si>
  <si>
    <t>Село Ачикулак</t>
  </si>
  <si>
    <t>07641402</t>
  </si>
  <si>
    <t>252</t>
  </si>
  <si>
    <t>Тукуй-Мектебский сельсовет</t>
  </si>
  <si>
    <t>07641422</t>
  </si>
  <si>
    <t>253</t>
  </si>
  <si>
    <t>Новоалександровский муниципальный округ</t>
  </si>
  <si>
    <t>07543000</t>
  </si>
  <si>
    <t>255</t>
  </si>
  <si>
    <t>Новоалександровский муниципальный район</t>
  </si>
  <si>
    <t>07643000</t>
  </si>
  <si>
    <t>Город Новоалександровск</t>
  </si>
  <si>
    <t>07643101</t>
  </si>
  <si>
    <t>256</t>
  </si>
  <si>
    <t>Горьковский сельсовет</t>
  </si>
  <si>
    <t>07643402</t>
  </si>
  <si>
    <t>257</t>
  </si>
  <si>
    <t>Григорополисский сельсовет</t>
  </si>
  <si>
    <t>07643404</t>
  </si>
  <si>
    <t>258</t>
  </si>
  <si>
    <t>Краснозоринский сельсовет</t>
  </si>
  <si>
    <t>07643407</t>
  </si>
  <si>
    <t>259</t>
  </si>
  <si>
    <t>Красночервонный сельсовет</t>
  </si>
  <si>
    <t>07643423</t>
  </si>
  <si>
    <t>260</t>
  </si>
  <si>
    <t>261</t>
  </si>
  <si>
    <t>Присадовый сельсовет</t>
  </si>
  <si>
    <t>07643410</t>
  </si>
  <si>
    <t>262</t>
  </si>
  <si>
    <t>Радужский сельсовет</t>
  </si>
  <si>
    <t>07643412</t>
  </si>
  <si>
    <t>263</t>
  </si>
  <si>
    <t>Раздольненский сельсовет</t>
  </si>
  <si>
    <t>07643413</t>
  </si>
  <si>
    <t>264</t>
  </si>
  <si>
    <t>Светлинский сельсовет</t>
  </si>
  <si>
    <t>07643417</t>
  </si>
  <si>
    <t>265</t>
  </si>
  <si>
    <t>Станица Кармалиновская</t>
  </si>
  <si>
    <t>07643406</t>
  </si>
  <si>
    <t>266</t>
  </si>
  <si>
    <t>Станица Расшеватская</t>
  </si>
  <si>
    <t>07643416</t>
  </si>
  <si>
    <t>267</t>
  </si>
  <si>
    <t>Темижбекский сельсовет</t>
  </si>
  <si>
    <t>07643419</t>
  </si>
  <si>
    <t>268</t>
  </si>
  <si>
    <t>Новоселицкий муниципальный район</t>
  </si>
  <si>
    <t>07644000</t>
  </si>
  <si>
    <t>Журавский сельсовет</t>
  </si>
  <si>
    <t>07644404</t>
  </si>
  <si>
    <t>270</t>
  </si>
  <si>
    <t>Новомаякский сельсовет</t>
  </si>
  <si>
    <t>07644409</t>
  </si>
  <si>
    <t>271</t>
  </si>
  <si>
    <t>272</t>
  </si>
  <si>
    <t>Поселок Щелкан</t>
  </si>
  <si>
    <t>07644420</t>
  </si>
  <si>
    <t>273</t>
  </si>
  <si>
    <t>Село Долиновка</t>
  </si>
  <si>
    <t>07644402</t>
  </si>
  <si>
    <t>274</t>
  </si>
  <si>
    <t>Село Китаевское</t>
  </si>
  <si>
    <t>07644407</t>
  </si>
  <si>
    <t>275</t>
  </si>
  <si>
    <t>Село Новоселицкое</t>
  </si>
  <si>
    <t>07644410</t>
  </si>
  <si>
    <t>276</t>
  </si>
  <si>
    <t>Село Падинское</t>
  </si>
  <si>
    <t>07644412</t>
  </si>
  <si>
    <t>277</t>
  </si>
  <si>
    <t>Село Чернолесское</t>
  </si>
  <si>
    <t>07644413</t>
  </si>
  <si>
    <t>278</t>
  </si>
  <si>
    <t>Петровский муниципальный округ</t>
  </si>
  <si>
    <t>07546000</t>
  </si>
  <si>
    <t>280</t>
  </si>
  <si>
    <t>Петровский муниципальный район</t>
  </si>
  <si>
    <t>07646000</t>
  </si>
  <si>
    <t>Высоцкий сельсовет</t>
  </si>
  <si>
    <t>07646404</t>
  </si>
  <si>
    <t>281</t>
  </si>
  <si>
    <t>Город Светлоград</t>
  </si>
  <si>
    <t>07646101</t>
  </si>
  <si>
    <t>282</t>
  </si>
  <si>
    <t>Дон-Балковский сельсовет</t>
  </si>
  <si>
    <t>07646410</t>
  </si>
  <si>
    <t>283</t>
  </si>
  <si>
    <t>Константиновский сельсовет</t>
  </si>
  <si>
    <t>07646413</t>
  </si>
  <si>
    <t>284</t>
  </si>
  <si>
    <t>285</t>
  </si>
  <si>
    <t>Прикалаусский сельсовет</t>
  </si>
  <si>
    <t>07646417</t>
  </si>
  <si>
    <t>286</t>
  </si>
  <si>
    <t>Просянский сельсовет</t>
  </si>
  <si>
    <t>07646418</t>
  </si>
  <si>
    <t>287</t>
  </si>
  <si>
    <t>Рогато-Балковский сельсовет</t>
  </si>
  <si>
    <t>07646419</t>
  </si>
  <si>
    <t>288</t>
  </si>
  <si>
    <t>Село Благодатное</t>
  </si>
  <si>
    <t>07646402</t>
  </si>
  <si>
    <t>289</t>
  </si>
  <si>
    <t>Село Гофицкое</t>
  </si>
  <si>
    <t>07646407</t>
  </si>
  <si>
    <t>290</t>
  </si>
  <si>
    <t>Село Николина Балка</t>
  </si>
  <si>
    <t>07646416</t>
  </si>
  <si>
    <t>291</t>
  </si>
  <si>
    <t>Село Сухая Буйвола</t>
  </si>
  <si>
    <t>07646422</t>
  </si>
  <si>
    <t>292</t>
  </si>
  <si>
    <t>Село Шведино</t>
  </si>
  <si>
    <t>07646428</t>
  </si>
  <si>
    <t>293</t>
  </si>
  <si>
    <t>Шангалинский сельсовет</t>
  </si>
  <si>
    <t>07646425</t>
  </si>
  <si>
    <t>294</t>
  </si>
  <si>
    <t>Предгорный муниципальный район</t>
  </si>
  <si>
    <t>07648000</t>
  </si>
  <si>
    <t>Винсадский сельсовет</t>
  </si>
  <si>
    <t>07648410</t>
  </si>
  <si>
    <t>296</t>
  </si>
  <si>
    <t>Ессентукский сельсовет</t>
  </si>
  <si>
    <t>07648413</t>
  </si>
  <si>
    <t>297</t>
  </si>
  <si>
    <t>Нежинский сельсовет</t>
  </si>
  <si>
    <t>07648416</t>
  </si>
  <si>
    <t>298</t>
  </si>
  <si>
    <t>Новоблагодарненский сельсовет</t>
  </si>
  <si>
    <t>07648422</t>
  </si>
  <si>
    <t>299</t>
  </si>
  <si>
    <t>Подкумский сельсовет</t>
  </si>
  <si>
    <t>07648424</t>
  </si>
  <si>
    <t>300</t>
  </si>
  <si>
    <t>Поселок Мирный</t>
  </si>
  <si>
    <t>07648415</t>
  </si>
  <si>
    <t>301</t>
  </si>
  <si>
    <t>302</t>
  </si>
  <si>
    <t>Пригородный сельсовет</t>
  </si>
  <si>
    <t>07648425</t>
  </si>
  <si>
    <t>303</t>
  </si>
  <si>
    <t>Пятигорский сельсовет</t>
  </si>
  <si>
    <t>07648428</t>
  </si>
  <si>
    <t>304</t>
  </si>
  <si>
    <t>Станица Бекешевская</t>
  </si>
  <si>
    <t>07648402</t>
  </si>
  <si>
    <t>305</t>
  </si>
  <si>
    <t>Станица Боргустанская</t>
  </si>
  <si>
    <t>07648407</t>
  </si>
  <si>
    <t>306</t>
  </si>
  <si>
    <t>Суворовский сельсовет</t>
  </si>
  <si>
    <t>07648431</t>
  </si>
  <si>
    <t>307</t>
  </si>
  <si>
    <t>Тельмановский сельсовет</t>
  </si>
  <si>
    <t>07648432</t>
  </si>
  <si>
    <t>308</t>
  </si>
  <si>
    <t>Этокский сельсовет</t>
  </si>
  <si>
    <t>07648434</t>
  </si>
  <si>
    <t>309</t>
  </si>
  <si>
    <t>Юцкий сельсовет</t>
  </si>
  <si>
    <t>07648437</t>
  </si>
  <si>
    <t>310</t>
  </si>
  <si>
    <t>Яснополянский сельсовет</t>
  </si>
  <si>
    <t>07648440</t>
  </si>
  <si>
    <t>311</t>
  </si>
  <si>
    <t>Советский</t>
  </si>
  <si>
    <t>07735000</t>
  </si>
  <si>
    <t>312</t>
  </si>
  <si>
    <t>Советский муниципальный округ</t>
  </si>
  <si>
    <t>07550000</t>
  </si>
  <si>
    <t>313</t>
  </si>
  <si>
    <t>Советский муниципальный район</t>
  </si>
  <si>
    <t>07650000</t>
  </si>
  <si>
    <t>Восточный сельсовет</t>
  </si>
  <si>
    <t>07650402</t>
  </si>
  <si>
    <t>314</t>
  </si>
  <si>
    <t>Город Зеленокумск</t>
  </si>
  <si>
    <t>07650101</t>
  </si>
  <si>
    <t>315</t>
  </si>
  <si>
    <t>Нинский сельсовет</t>
  </si>
  <si>
    <t>07650407</t>
  </si>
  <si>
    <t>316</t>
  </si>
  <si>
    <t>Правокумский сельсовет</t>
  </si>
  <si>
    <t>07650413</t>
  </si>
  <si>
    <t>317</t>
  </si>
  <si>
    <t>Село Горькая Балка</t>
  </si>
  <si>
    <t>07650404</t>
  </si>
  <si>
    <t>318</t>
  </si>
  <si>
    <t>Село Отказное</t>
  </si>
  <si>
    <t>07650410</t>
  </si>
  <si>
    <t>319</t>
  </si>
  <si>
    <t>320</t>
  </si>
  <si>
    <t>Солдато-Александровский сельсовет</t>
  </si>
  <si>
    <t>07650416</t>
  </si>
  <si>
    <t>321</t>
  </si>
  <si>
    <t>Степновский муниципальный район</t>
  </si>
  <si>
    <t>07652000</t>
  </si>
  <si>
    <t>Богдановский сельсовет</t>
  </si>
  <si>
    <t>07652402</t>
  </si>
  <si>
    <t>323</t>
  </si>
  <si>
    <t>Варениковский сельсовет</t>
  </si>
  <si>
    <t>07652404</t>
  </si>
  <si>
    <t>324</t>
  </si>
  <si>
    <t>Верхнестепновский сельсовет</t>
  </si>
  <si>
    <t>07652407</t>
  </si>
  <si>
    <t>325</t>
  </si>
  <si>
    <t>Иргаклинский сельсовет</t>
  </si>
  <si>
    <t>07652410</t>
  </si>
  <si>
    <t>326</t>
  </si>
  <si>
    <t>Ольгинский сельсовет</t>
  </si>
  <si>
    <t>07652415</t>
  </si>
  <si>
    <t>327</t>
  </si>
  <si>
    <t>Село Соломенское</t>
  </si>
  <si>
    <t>07652420</t>
  </si>
  <si>
    <t>328</t>
  </si>
  <si>
    <t>329</t>
  </si>
  <si>
    <t>Степновский сельсовет</t>
  </si>
  <si>
    <t>07652426</t>
  </si>
  <si>
    <t>330</t>
  </si>
  <si>
    <t>Труновский муниципальный район</t>
  </si>
  <si>
    <t>07654000</t>
  </si>
  <si>
    <t>Безопасненский сельсовет</t>
  </si>
  <si>
    <t>07654402</t>
  </si>
  <si>
    <t>332</t>
  </si>
  <si>
    <t>Донской сельсовет</t>
  </si>
  <si>
    <t>07654404</t>
  </si>
  <si>
    <t>333</t>
  </si>
  <si>
    <t>Кировский сельсовет</t>
  </si>
  <si>
    <t>07654407</t>
  </si>
  <si>
    <t>334</t>
  </si>
  <si>
    <t>Село Новая Кугульта</t>
  </si>
  <si>
    <t>07654410</t>
  </si>
  <si>
    <t>335</t>
  </si>
  <si>
    <t>Село Подлесное</t>
  </si>
  <si>
    <t>07654413</t>
  </si>
  <si>
    <t>336</t>
  </si>
  <si>
    <t>337</t>
  </si>
  <si>
    <t>Труновский сельсовет</t>
  </si>
  <si>
    <t>07654416</t>
  </si>
  <si>
    <t>338</t>
  </si>
  <si>
    <t>Туркменский муниципальный округ</t>
  </si>
  <si>
    <t>07556000</t>
  </si>
  <si>
    <t>339</t>
  </si>
  <si>
    <t>Туркменский муниципальный район</t>
  </si>
  <si>
    <t>07656000</t>
  </si>
  <si>
    <t>07656401</t>
  </si>
  <si>
    <t>340</t>
  </si>
  <si>
    <t>Кендже-Кулакский сельсовет</t>
  </si>
  <si>
    <t>07656407</t>
  </si>
  <si>
    <t>341</t>
  </si>
  <si>
    <t>Красноманычский сельсовет</t>
  </si>
  <si>
    <t>07656410</t>
  </si>
  <si>
    <t>342</t>
  </si>
  <si>
    <t>Куликово-Копанский сельсовет</t>
  </si>
  <si>
    <t>07656413</t>
  </si>
  <si>
    <t>343</t>
  </si>
  <si>
    <t>Кучерлинский сельсовет</t>
  </si>
  <si>
    <t>07656416</t>
  </si>
  <si>
    <t>344</t>
  </si>
  <si>
    <t>Летнеставочный сельсовет</t>
  </si>
  <si>
    <t>07656419</t>
  </si>
  <si>
    <t>345</t>
  </si>
  <si>
    <t>Новокучерлинский сельсовет</t>
  </si>
  <si>
    <t>07656424</t>
  </si>
  <si>
    <t>346</t>
  </si>
  <si>
    <t>Овощинский сельсовет</t>
  </si>
  <si>
    <t>07656426</t>
  </si>
  <si>
    <t>347</t>
  </si>
  <si>
    <t>Село Казгулак</t>
  </si>
  <si>
    <t>07656402</t>
  </si>
  <si>
    <t>348</t>
  </si>
  <si>
    <t>Село Камбулат</t>
  </si>
  <si>
    <t>07656404</t>
  </si>
  <si>
    <t>349</t>
  </si>
  <si>
    <t>Село Малые Ягуры</t>
  </si>
  <si>
    <t>07656422</t>
  </si>
  <si>
    <t>350</t>
  </si>
  <si>
    <t>351</t>
  </si>
  <si>
    <t>Шпаковский муниципальный район</t>
  </si>
  <si>
    <t>07658000</t>
  </si>
  <si>
    <t>Верхнерусский сельсовет</t>
  </si>
  <si>
    <t>07658402</t>
  </si>
  <si>
    <t>353</t>
  </si>
  <si>
    <t>Город Михайловск</t>
  </si>
  <si>
    <t>07658101</t>
  </si>
  <si>
    <t>354</t>
  </si>
  <si>
    <t>Деминский сельсовет</t>
  </si>
  <si>
    <t>07658404</t>
  </si>
  <si>
    <t>355</t>
  </si>
  <si>
    <t>Дубовский сельсовет</t>
  </si>
  <si>
    <t>07658406</t>
  </si>
  <si>
    <t>356</t>
  </si>
  <si>
    <t>07658408</t>
  </si>
  <si>
    <t>357</t>
  </si>
  <si>
    <t>Надеждинский сельсовет</t>
  </si>
  <si>
    <t>07658410</t>
  </si>
  <si>
    <t>358</t>
  </si>
  <si>
    <t>Пелагиадский сельсовет</t>
  </si>
  <si>
    <t>07658416</t>
  </si>
  <si>
    <t>359</t>
  </si>
  <si>
    <t>Сенгилеевский сельсовет</t>
  </si>
  <si>
    <t>07658419</t>
  </si>
  <si>
    <t>360</t>
  </si>
  <si>
    <t>Станица Новомарьевская</t>
  </si>
  <si>
    <t>07658413</t>
  </si>
  <si>
    <t>361</t>
  </si>
  <si>
    <t>Татарский сельсовет</t>
  </si>
  <si>
    <t>07658422</t>
  </si>
  <si>
    <t>362</t>
  </si>
  <si>
    <t>Темнолесский сельсовет</t>
  </si>
  <si>
    <t>07658425</t>
  </si>
  <si>
    <t>363</t>
  </si>
  <si>
    <t>Цимлянский сельсовет</t>
  </si>
  <si>
    <t>07658428</t>
  </si>
  <si>
    <t>364</t>
  </si>
  <si>
    <t>365</t>
  </si>
  <si>
    <t>NUMBER_POINT</t>
  </si>
  <si>
    <t>L_NAME</t>
  </si>
  <si>
    <t>L_START_DATE</t>
  </si>
  <si>
    <t>L_END_DATE</t>
  </si>
  <si>
    <t>Инвестиционная программа № 1883 от 16.11.2023 МУП "ВОДОКАНАЛ" в сфере холодного водоснабжения по развитию системы водоснабжения, на территории городского округа Ставрополь на 2024-2028 годы</t>
  </si>
  <si>
    <t>01.01.2024</t>
  </si>
  <si>
    <t>31.12.2028</t>
  </si>
  <si>
    <t>Инвестиционная программа № 309 от 26.10.2020 АО "Водоканал" г. Невинномысск в сфере водоснабжения в отношении объектов централизованной системы водоснабжения на 2021-2023 годы</t>
  </si>
  <si>
    <t>01.01.2021</t>
  </si>
  <si>
    <t>31.12.2023</t>
  </si>
  <si>
    <t>Инвестиционная программа № 309 от 26.10.2020 АО "Водоканал" г. Невинномысск в сфере водоснабжения в отношении объектов централизованной системы водоснабжения, на территории городского округа Невинномысск на 2021-2023 годы</t>
  </si>
  <si>
    <t>Инвестиционная программа № 309 от 26.10.2020 АО "Водоканал" г. Невинномысск в сфере водоснабжения по развитию систем водоснабжения, на территории городского округа Невинномысск на 2021-2023 годы</t>
  </si>
  <si>
    <t>Инвестиционная программа № 327 от 10.11.2022 ГБУ СК «Управление СЭСПН» в сфере водоснабжения по модернизации и реконструкции имущественного комплекса на 2023-2028 годы</t>
  </si>
  <si>
    <t>01.01.2023</t>
  </si>
  <si>
    <t>Инвестиционная программа № 358 от 28.12.2019 ГУП СК "Ставрополькрайводоканал" в сфере водоснабжения и водоотведения в отношении систем водоcнабжения и водоотведения на 2020-2028 годы</t>
  </si>
  <si>
    <t>01.01.2020</t>
  </si>
  <si>
    <t>Инвестиционная программа ГБУ СК "Управление СЭСПН" по реконструкции магистральных сетей Эшкаконских очистных сооружений водопровода Д 600 мм и Д 700 мм в районе с. Джалга и с. Красный Курган с выносом сетей из поймы реки Подкумок и застроенной территории с. Джалга и с. Красный Курган на 2018-2022 годы</t>
  </si>
  <si>
    <t>01.01.2018</t>
  </si>
  <si>
    <t>31.12.2022</t>
  </si>
  <si>
    <t>Инвестиционная программа ГУП Ставропольского края "Управление по строительству и эксплуатации сооружений природоохранного назначения" по строительству и реконструкции объектов имущественного комплекса Эшкаконского гидроузла на 2018-2022 годы</t>
  </si>
  <si>
    <t>Инвестиционная программа от 26.10.2020 АО "Водоканал" г. Невинномысск в сфере холодного водоснабжения по развитию, модернизации и реконструкции объектов централизованной системы водоснабжения, на территории городского округа Невинномысск на 2021-2023 годы</t>
  </si>
  <si>
    <t>Инвестиционная программа от 28.12.2019 ГУП СК "Ставрополькрайводоканал" в сфере водоснабжения и водоотведения в отношении систем холодного водоснабжения и водоотведения на 2020-2023 годы</t>
  </si>
  <si>
    <t>Инвестиционная программа от 28.12.2019 ГУП СК "Ставрополькрайводоканал" в сфере водоснабжения и водоотведения в отношении системы водоcнабжения и водоотведения на 2020-2025 годы</t>
  </si>
  <si>
    <t>31.12.2025</t>
  </si>
  <si>
    <t>Инвестиционная программа от 29.10.2014 МУП "ВОДОКАНАЛ" в сфере холодного водоснабжения по развитию систем водоснабжения, на территории городского округа Ставрополь на 2015-2023 годы</t>
  </si>
  <si>
    <t>01.01.2015</t>
  </si>
  <si>
    <t>Инвестиционная программа от 29.10.2014 МУП "ВОДОКАНАЛ" в сфере холодного водоснабжения по развитию, реконструкции и модернизации систем объектов централизованной системы водоснабжения, на территории городского округа Ставрополь на 2015-2023 годы</t>
  </si>
  <si>
    <t>Инвестиционная программа от 30.09.2019 АО "Водоканал" г. Невинномысск в сфере водоснабжения и водоотведения по строительству, реконструкции и модернизации систем инженерной инфраструктуры, на территории городского округа Невинномысск на 2020-2022 годы</t>
  </si>
  <si>
    <t>Инвестиционная программа от 30.11.2017 ГБУ СК «Управление по строительству и эксплуатации сооружений природоохранного назначения» в сфере холодного водоснабжения по строительству, реконструкции и модернизации имущественного комплекса на 2018-2022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</si>
  <si>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</si>
  <si>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</si>
  <si>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</si>
  <si>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</si>
  <si>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</si>
  <si>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</si>
  <si>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</si>
  <si>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</si>
  <si>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</si>
  <si>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</si>
  <si>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</si>
  <si>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</si>
  <si>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</si>
  <si>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</si>
  <si>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</si>
  <si>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</si>
  <si>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</si>
  <si>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</si>
  <si>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</si>
  <si>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</si>
  <si>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</si>
  <si>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</si>
  <si>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ID_TARIFF_NAME</t>
  </si>
  <si>
    <t>TARIFF_NAME</t>
  </si>
  <si>
    <t>VED_NAME</t>
  </si>
  <si>
    <t>4189671</t>
  </si>
  <si>
    <t>4189672</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</si>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</sst>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4">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9151">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wrapText="1"/>
    </xf>
    <xf numFmtId="49" fontId="2" fillId="0" borderId="0" xfId="0" applyNumberFormat="1" applyFont="1" applyAlignment="1">
      <alignment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0" fillId="0" borderId="16" xfId="0" applyNumberFormat="1" applyFont="1" applyBorder="1" applyAlignment="1">
      <alignment horizontal="center" vertical="center"/>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0" fillId="11" borderId="27"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7" fillId="0" borderId="0" xfId="0" applyNumberFormat="1" applyFont="1" applyAlignment="1">
      <alignment horizontal="center" vertical="center" wrapText="1"/>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11" fillId="0" borderId="0" xfId="0" applyNumberFormat="1" applyFont="1" applyAlignment="1">
      <alignment vertical="center" wrapText="1"/>
    </xf>
    <xf numFmtId="0" fontId="2" fillId="0" borderId="27" xfId="0" applyNumberFormat="1" applyFont="1" applyBorder="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3" customWidth="1"/>
    <col min="2" max="2" width="9.140625" style="1623" customWidth="1"/>
    <col min="3" max="3" width="16.42578125" style="1623" customWidth="1"/>
    <col min="4" max="25" width="6.28515625" style="1623" customWidth="1"/>
    <col min="26" max="28" width="11" style="162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8705" t="s">
        <v>1</v>
      </c>
      <c r="C2" s="8705"/>
      <c r="D2" s="8705"/>
      <c r="E2" s="8705"/>
      <c r="F2" s="8705"/>
      <c r="G2" s="8705"/>
      <c r="H2" s="8705"/>
      <c r="I2" s="8705"/>
      <c r="J2" s="8705"/>
      <c r="K2" s="8705"/>
      <c r="L2" s="8705"/>
      <c r="M2" s="8705"/>
      <c r="N2" s="8705"/>
      <c r="O2" s="8705"/>
      <c r="P2" s="8705"/>
      <c r="Q2" s="1624"/>
      <c r="R2" s="1624"/>
      <c r="S2" s="1624"/>
      <c r="T2" s="1624"/>
      <c r="U2" s="1624"/>
      <c r="V2" s="1625"/>
      <c r="W2" s="1624"/>
      <c r="X2" s="1624"/>
      <c r="Y2" s="1621"/>
      <c r="Z2" s="1620"/>
      <c r="AA2" s="1622"/>
      <c r="AB2" s="1620"/>
    </row>
    <row r="3" spans="1:28" ht="15.75" customHeight="1">
      <c r="A3" s="1620"/>
      <c r="B3" s="8706" t="s">
        <v>2</v>
      </c>
      <c r="C3" s="8706"/>
      <c r="D3" s="8706"/>
      <c r="E3" s="8706"/>
      <c r="F3" s="8706"/>
      <c r="G3" s="8706"/>
      <c r="H3" s="8706"/>
      <c r="I3" s="8706"/>
      <c r="J3" s="8706"/>
      <c r="K3" s="8706"/>
      <c r="L3" s="8706"/>
      <c r="M3" s="8706"/>
      <c r="N3" s="8706"/>
      <c r="O3" s="8706"/>
      <c r="P3" s="8706"/>
      <c r="Q3" s="1625"/>
      <c r="R3" s="1625"/>
      <c r="S3" s="1624"/>
      <c r="T3" s="1624"/>
      <c r="U3" s="1624"/>
      <c r="V3" s="1625"/>
      <c r="W3" s="1625"/>
      <c r="X3" s="1625"/>
      <c r="Y3" s="1625"/>
      <c r="Z3" s="1620"/>
      <c r="AA3" s="1622"/>
      <c r="AB3" s="1620"/>
    </row>
    <row r="4" spans="1:28" ht="17.25" customHeight="1">
      <c r="A4" s="1620"/>
      <c r="B4" s="1626"/>
      <c r="C4" s="1620"/>
      <c r="D4" s="1625"/>
      <c r="E4" s="1625"/>
      <c r="F4" s="1625"/>
      <c r="G4" s="1625"/>
      <c r="H4" s="1625"/>
      <c r="I4" s="1625"/>
      <c r="J4" s="1625"/>
      <c r="K4" s="1625"/>
      <c r="L4" s="1625"/>
      <c r="M4" s="1625"/>
      <c r="N4" s="1625"/>
      <c r="O4" s="1625"/>
      <c r="P4" s="1625"/>
      <c r="Q4" s="1625"/>
      <c r="R4" s="1625"/>
      <c r="S4" s="1625"/>
      <c r="T4" s="1625"/>
      <c r="U4" s="1625"/>
      <c r="V4" s="1625"/>
      <c r="W4" s="1625"/>
      <c r="X4" s="1625"/>
      <c r="Y4" s="1625"/>
      <c r="Z4" s="1620"/>
      <c r="AA4" s="1622"/>
      <c r="AB4" s="1620"/>
    </row>
    <row r="5" spans="1:28" ht="22.5" customHeight="1">
      <c r="A5" s="1627"/>
      <c r="B5" s="870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8708"/>
      <c r="D5" s="8708"/>
      <c r="E5" s="8708"/>
      <c r="F5" s="8708"/>
      <c r="G5" s="8708"/>
      <c r="H5" s="8708"/>
      <c r="I5" s="8708"/>
      <c r="J5" s="8708"/>
      <c r="K5" s="8708"/>
      <c r="L5" s="8708"/>
      <c r="M5" s="8708"/>
      <c r="N5" s="8708"/>
      <c r="O5" s="8708"/>
      <c r="P5" s="8708"/>
      <c r="Q5" s="8708"/>
      <c r="R5" s="8708"/>
      <c r="S5" s="8708"/>
      <c r="T5" s="8708"/>
      <c r="U5" s="8708"/>
      <c r="V5" s="8708"/>
      <c r="W5" s="8708"/>
      <c r="X5" s="8708"/>
      <c r="Y5" s="8709"/>
      <c r="Z5" s="1627"/>
      <c r="AA5" s="1622"/>
      <c r="AB5" s="1627"/>
    </row>
    <row r="6" spans="1:28" ht="15" customHeight="1">
      <c r="A6" s="1628"/>
      <c r="B6" s="8710" t="s">
        <v>3</v>
      </c>
      <c r="C6" s="8711"/>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8710"/>
      <c r="C7" s="8711"/>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8710"/>
      <c r="C8" s="8711"/>
      <c r="D8" s="1634"/>
      <c r="E8" s="1635" t="s">
        <v>4</v>
      </c>
      <c r="F8" s="8713" t="s">
        <v>5</v>
      </c>
      <c r="G8" s="8714"/>
      <c r="H8" s="8714"/>
      <c r="I8" s="8714"/>
      <c r="J8" s="8714"/>
      <c r="K8" s="8714"/>
      <c r="L8" s="8714"/>
      <c r="M8" s="8714"/>
      <c r="N8" s="1634"/>
      <c r="O8" s="1636" t="s">
        <v>4</v>
      </c>
      <c r="P8" s="8715" t="s">
        <v>6</v>
      </c>
      <c r="Q8" s="8716"/>
      <c r="R8" s="8716"/>
      <c r="S8" s="8716"/>
      <c r="T8" s="8716"/>
      <c r="U8" s="8716"/>
      <c r="V8" s="8716"/>
      <c r="W8" s="8716"/>
      <c r="X8" s="8716"/>
      <c r="Y8" s="1630"/>
      <c r="Z8" s="1631"/>
      <c r="AA8" s="1632"/>
      <c r="AB8" s="1632"/>
    </row>
    <row r="9" spans="1:28" ht="15" customHeight="1">
      <c r="A9" s="1628"/>
      <c r="B9" s="8710"/>
      <c r="C9" s="8711"/>
      <c r="D9" s="1634"/>
      <c r="E9" s="1637" t="s">
        <v>4</v>
      </c>
      <c r="F9" s="8713" t="s">
        <v>7</v>
      </c>
      <c r="G9" s="8714"/>
      <c r="H9" s="8714"/>
      <c r="I9" s="8714"/>
      <c r="J9" s="8714"/>
      <c r="K9" s="8714"/>
      <c r="L9" s="8714"/>
      <c r="M9" s="8714"/>
      <c r="N9" s="1634"/>
      <c r="O9" s="1638" t="s">
        <v>4</v>
      </c>
      <c r="P9" s="8715" t="s">
        <v>8</v>
      </c>
      <c r="Q9" s="8716"/>
      <c r="R9" s="8716"/>
      <c r="S9" s="8716"/>
      <c r="T9" s="8716"/>
      <c r="U9" s="8716"/>
      <c r="V9" s="8716"/>
      <c r="W9" s="8716"/>
      <c r="X9" s="8716"/>
      <c r="Y9" s="1630"/>
      <c r="Z9" s="1631"/>
      <c r="AA9" s="1632"/>
      <c r="AB9" s="1632"/>
    </row>
    <row r="10" spans="1:28" ht="30" customHeight="1">
      <c r="A10" s="1628"/>
      <c r="B10" s="8710"/>
      <c r="C10" s="8712"/>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8717" t="s">
        <v>9</v>
      </c>
      <c r="C11" s="8718"/>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8710"/>
      <c r="C12" s="8712"/>
      <c r="D12" s="1642"/>
      <c r="E12" s="8714" t="s">
        <v>10</v>
      </c>
      <c r="F12" s="8714"/>
      <c r="G12" s="8714"/>
      <c r="H12" s="8714"/>
      <c r="I12" s="8714"/>
      <c r="J12" s="8714"/>
      <c r="K12" s="8714"/>
      <c r="L12" s="8714"/>
      <c r="M12" s="8714"/>
      <c r="N12" s="8714"/>
      <c r="O12" s="8714"/>
      <c r="P12" s="8714"/>
      <c r="Q12" s="8714"/>
      <c r="R12" s="8714"/>
      <c r="S12" s="8714"/>
      <c r="T12" s="8714"/>
      <c r="U12" s="8714"/>
      <c r="V12" s="8714"/>
      <c r="W12" s="8714"/>
      <c r="X12" s="8714"/>
      <c r="Y12" s="1630"/>
      <c r="Z12" s="1631"/>
      <c r="AA12" s="1632"/>
      <c r="AB12" s="1632"/>
    </row>
    <row r="13" spans="1:28" ht="15" customHeight="1">
      <c r="A13" s="1628"/>
      <c r="B13" s="8717" t="s">
        <v>11</v>
      </c>
      <c r="C13" s="8718"/>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8710"/>
      <c r="C14" s="8711"/>
      <c r="D14" s="1634"/>
      <c r="E14" s="8721" t="s">
        <v>12</v>
      </c>
      <c r="F14" s="8721"/>
      <c r="G14" s="8721"/>
      <c r="H14" s="8721"/>
      <c r="I14" s="8721"/>
      <c r="J14" s="8721"/>
      <c r="K14" s="8721"/>
      <c r="L14" s="8721"/>
      <c r="M14" s="8721"/>
      <c r="N14" s="8721"/>
      <c r="O14" s="8721"/>
      <c r="P14" s="8721"/>
      <c r="Q14" s="8721"/>
      <c r="R14" s="8721"/>
      <c r="S14" s="8721"/>
      <c r="T14" s="8721"/>
      <c r="U14" s="8721"/>
      <c r="V14" s="8721"/>
      <c r="W14" s="8721"/>
      <c r="X14" s="8721"/>
      <c r="Y14" s="1630"/>
      <c r="Z14" s="1631"/>
      <c r="AA14" s="1632"/>
      <c r="AB14" s="1632"/>
    </row>
    <row r="15" spans="1:28" ht="16.5" customHeight="1">
      <c r="A15" s="1628"/>
      <c r="B15" s="8719"/>
      <c r="C15" s="8720"/>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0"/>
      <c r="B16" s="8721"/>
      <c r="C16" s="8722"/>
      <c r="D16" s="8722"/>
      <c r="E16" s="8722"/>
      <c r="F16" s="8722"/>
      <c r="G16" s="8722"/>
      <c r="H16" s="8722"/>
      <c r="I16" s="8722"/>
      <c r="J16" s="8722"/>
      <c r="K16" s="8722"/>
      <c r="L16" s="8722"/>
      <c r="M16" s="8722"/>
      <c r="N16" s="8722"/>
      <c r="O16" s="8722"/>
      <c r="P16" s="8722"/>
      <c r="Q16" s="8722"/>
      <c r="R16" s="8722"/>
      <c r="S16" s="8722"/>
      <c r="T16" s="8722"/>
      <c r="U16" s="8722"/>
      <c r="V16" s="8722"/>
      <c r="W16" s="8722"/>
      <c r="X16" s="8722"/>
      <c r="Y16" s="8722"/>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2" hidden="1" customWidth="1"/>
    <col min="2" max="3" width="9.140625" style="1555" hidden="1" customWidth="1"/>
    <col min="4" max="4" width="3.7109375" style="1760" customWidth="1"/>
    <col min="5" max="5" width="6.28515625" style="1555" customWidth="1"/>
    <col min="6" max="6" width="1.7109375" style="1555" hidden="1" customWidth="1"/>
    <col min="7" max="8" width="30.7109375" style="1555" customWidth="1"/>
    <col min="9" max="9" width="9" style="1555" customWidth="1"/>
    <col min="10" max="10" width="12.140625" style="1555" customWidth="1"/>
    <col min="11" max="11" width="46.7109375" style="1555" customWidth="1"/>
    <col min="12" max="12" width="100.28515625" style="1555" customWidth="1"/>
    <col min="13" max="13" width="7.5703125" style="1739" customWidth="1"/>
    <col min="14" max="22" width="10.5703125" style="1555"/>
  </cols>
  <sheetData>
    <row r="1" spans="1:22" s="1562" customFormat="1" ht="5.25" hidden="1" customHeight="1">
      <c r="C1" s="435"/>
      <c r="D1" s="418"/>
      <c r="F1" s="435"/>
      <c r="G1" s="413" t="s">
        <v>79</v>
      </c>
      <c r="H1" s="413" t="s">
        <v>80</v>
      </c>
      <c r="I1" s="413" t="s">
        <v>81</v>
      </c>
      <c r="P1" s="413" t="s">
        <v>79</v>
      </c>
      <c r="Q1" s="413" t="s">
        <v>80</v>
      </c>
      <c r="R1" s="413" t="s">
        <v>81</v>
      </c>
    </row>
    <row r="2" spans="1:22" s="1562" customFormat="1" ht="5.25" hidden="1" customHeight="1">
      <c r="C2" s="435"/>
      <c r="D2" s="418"/>
      <c r="F2" s="435"/>
    </row>
    <row r="3" spans="1:22" s="1533" customFormat="1" ht="6" customHeight="1">
      <c r="A3" s="403"/>
      <c r="D3" s="410"/>
      <c r="E3" s="405"/>
      <c r="F3" s="405"/>
      <c r="G3" s="405"/>
      <c r="H3" s="405"/>
      <c r="I3" s="406"/>
      <c r="J3" s="407"/>
      <c r="K3" s="407"/>
      <c r="L3" s="407"/>
    </row>
    <row r="4" spans="1:22" ht="22.5" customHeight="1">
      <c r="D4" s="375"/>
      <c r="E4" s="8746" t="s">
        <v>853</v>
      </c>
      <c r="F4" s="8746"/>
      <c r="G4" s="8747"/>
      <c r="H4" s="8747"/>
      <c r="I4" s="8748"/>
      <c r="J4" s="415"/>
      <c r="K4" s="377"/>
      <c r="L4" s="377"/>
    </row>
    <row r="5" spans="1:22" s="1555" customFormat="1" ht="17.25" customHeight="1">
      <c r="A5" s="674"/>
      <c r="D5" s="736"/>
      <c r="E5" s="8848" t="str">
        <f>IF(org=0,"Не определено",org)</f>
        <v>ГУП СК "Ставрополькрайводоканал"</v>
      </c>
      <c r="F5" s="8848"/>
      <c r="G5" s="8849"/>
      <c r="H5" s="8849"/>
      <c r="I5" s="8850"/>
      <c r="J5" s="415"/>
      <c r="K5" s="377"/>
      <c r="L5" s="377"/>
      <c r="M5" s="431"/>
    </row>
    <row r="6" spans="1:22" s="1533" customFormat="1" ht="11.25" customHeight="1">
      <c r="A6" s="403"/>
      <c r="D6" s="410"/>
      <c r="E6" s="405"/>
      <c r="F6" s="405"/>
      <c r="G6" s="408"/>
      <c r="H6" s="408"/>
      <c r="I6" s="409"/>
      <c r="J6" s="409"/>
      <c r="K6" s="667"/>
      <c r="L6" s="409"/>
    </row>
    <row r="7" spans="1:22" ht="14.25" customHeight="1">
      <c r="D7" s="375"/>
      <c r="E7" s="8842" t="s">
        <v>763</v>
      </c>
      <c r="F7" s="8842"/>
      <c r="G7" s="8843"/>
      <c r="H7" s="8843"/>
      <c r="I7" s="8843"/>
      <c r="J7" s="8843"/>
      <c r="K7" s="8843"/>
      <c r="L7" s="8786" t="s">
        <v>764</v>
      </c>
    </row>
    <row r="8" spans="1:22" ht="45" customHeight="1">
      <c r="D8" s="375"/>
      <c r="E8" s="397" t="s">
        <v>84</v>
      </c>
      <c r="F8" s="737"/>
      <c r="G8" s="389" t="s">
        <v>82</v>
      </c>
      <c r="H8" s="389" t="s">
        <v>83</v>
      </c>
      <c r="I8" s="343" t="s">
        <v>81</v>
      </c>
      <c r="J8" s="343" t="s">
        <v>854</v>
      </c>
      <c r="K8" s="343" t="s">
        <v>855</v>
      </c>
      <c r="L8" s="8786"/>
    </row>
    <row r="9" spans="1:22" ht="12" hidden="1" customHeight="1">
      <c r="D9" s="411"/>
      <c r="E9" s="417"/>
      <c r="F9" s="744"/>
      <c r="G9" s="417"/>
      <c r="H9" s="417"/>
      <c r="I9" s="417"/>
      <c r="J9" s="417"/>
      <c r="K9" s="417"/>
      <c r="L9" s="417"/>
      <c r="M9" s="373"/>
    </row>
    <row r="10" spans="1:22" ht="14.25" hidden="1" customHeight="1">
      <c r="A10" s="429"/>
      <c r="B10" s="429"/>
      <c r="D10" s="430"/>
      <c r="E10" s="436">
        <v>0</v>
      </c>
      <c r="F10" s="735"/>
      <c r="G10" s="432"/>
      <c r="H10" s="432"/>
      <c r="I10" s="432"/>
      <c r="J10" s="432"/>
      <c r="K10" s="432"/>
      <c r="L10" s="8854" t="s">
        <v>856</v>
      </c>
      <c r="M10" s="431"/>
      <c r="N10" s="429"/>
      <c r="O10" s="429"/>
      <c r="P10" s="429"/>
      <c r="Q10" s="429"/>
      <c r="R10" s="429"/>
      <c r="S10" s="429"/>
      <c r="T10" s="429"/>
      <c r="U10" s="429"/>
      <c r="V10" s="429"/>
    </row>
    <row r="11" spans="1:22" ht="15" hidden="1" customHeight="1">
      <c r="A11" s="8727"/>
      <c r="B11" s="428"/>
      <c r="C11" s="428"/>
      <c r="D11" s="779"/>
      <c r="E11" s="437"/>
      <c r="F11" s="437"/>
      <c r="G11" s="437"/>
      <c r="H11" s="437"/>
      <c r="I11" s="438"/>
      <c r="J11" s="439"/>
      <c r="K11" s="630"/>
      <c r="L11" s="8868"/>
      <c r="M11" s="435"/>
      <c r="N11" s="435"/>
      <c r="O11" s="435"/>
      <c r="P11" s="440"/>
      <c r="Q11" s="440"/>
      <c r="R11" s="441"/>
      <c r="S11" s="435"/>
      <c r="T11" s="435"/>
      <c r="U11" s="435"/>
      <c r="V11" s="435"/>
    </row>
    <row r="12" spans="1:22" s="1533" customFormat="1" ht="14.25" customHeight="1">
      <c r="A12" s="8727"/>
      <c r="B12" s="428"/>
      <c r="C12" s="428"/>
      <c r="D12" s="780"/>
      <c r="E12" s="737">
        <v>1</v>
      </c>
      <c r="F12" s="778">
        <v>23</v>
      </c>
      <c r="G12" s="777"/>
      <c r="H12" s="707"/>
      <c r="I12" s="705"/>
      <c r="J12" s="444" t="s">
        <v>63</v>
      </c>
      <c r="K12" s="1069" t="s">
        <v>24</v>
      </c>
      <c r="L12" s="8868"/>
      <c r="M12" s="435"/>
      <c r="N12" s="435"/>
      <c r="O12" s="435"/>
      <c r="P12" s="440" t="s">
        <v>857</v>
      </c>
      <c r="Q12" s="440" t="s">
        <v>858</v>
      </c>
      <c r="R12" s="441" t="s">
        <v>859</v>
      </c>
      <c r="S12" s="435" t="s">
        <v>860</v>
      </c>
      <c r="T12" s="435"/>
      <c r="U12" s="435"/>
      <c r="V12" s="435"/>
    </row>
    <row r="13" spans="1:22" ht="15" customHeight="1">
      <c r="A13" s="8727"/>
      <c r="B13" s="429"/>
      <c r="D13" s="430"/>
      <c r="E13" s="334"/>
      <c r="F13" s="453"/>
      <c r="G13" s="345" t="s">
        <v>98</v>
      </c>
      <c r="H13" s="333"/>
      <c r="I13" s="333"/>
      <c r="J13" s="333"/>
      <c r="K13" s="332"/>
      <c r="L13" s="8855"/>
      <c r="M13" s="433"/>
      <c r="N13" s="429"/>
      <c r="O13" s="429"/>
      <c r="P13" s="429"/>
      <c r="Q13" s="429"/>
      <c r="R13" s="429"/>
      <c r="S13" s="429"/>
      <c r="T13" s="429"/>
      <c r="U13" s="429"/>
      <c r="V13" s="429"/>
    </row>
    <row r="14" spans="1:22" ht="11.25" customHeight="1">
      <c r="A14" s="403"/>
      <c r="B14" s="404"/>
      <c r="C14" s="404"/>
      <c r="D14" s="419"/>
      <c r="E14" s="404"/>
      <c r="F14" s="404"/>
      <c r="G14" s="404"/>
      <c r="H14" s="404"/>
      <c r="I14" s="404"/>
      <c r="J14" s="404"/>
      <c r="K14" s="404"/>
      <c r="L14" s="404"/>
      <c r="M14" s="404"/>
      <c r="N14" s="404"/>
      <c r="O14" s="404"/>
      <c r="P14" s="404"/>
      <c r="Q14" s="404"/>
      <c r="R14" s="404"/>
      <c r="S14" s="404"/>
      <c r="T14" s="404"/>
      <c r="U14" s="404"/>
      <c r="V14" s="404"/>
    </row>
    <row r="15" spans="1:22" ht="14.25" customHeight="1">
      <c r="D15" s="390"/>
      <c r="E15" s="258"/>
      <c r="F15" s="258"/>
      <c r="G15" s="58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0"/>
      <c r="I15" s="390"/>
      <c r="J15" s="390"/>
      <c r="K15" s="390"/>
      <c r="L15" s="390"/>
    </row>
    <row r="18" spans="7:7" ht="14.25" customHeight="1">
      <c r="G18" s="429"/>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5.7109375"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8883">
        <v>1</v>
      </c>
      <c r="F2" s="1284"/>
      <c r="G2" s="1284"/>
      <c r="H2" s="1284"/>
      <c r="I2" s="1284"/>
      <c r="J2" s="1284"/>
      <c r="K2" s="1284"/>
      <c r="L2" s="1285"/>
      <c r="M2" s="1286"/>
      <c r="N2" s="1286"/>
      <c r="O2" s="1286"/>
      <c r="P2" s="282"/>
      <c r="Q2" s="281"/>
      <c r="R2" s="276"/>
      <c r="S2" s="1232" t="e">
        <f>INDEX(PT_DIFFERENTIATION_NUM_NTAR,MATCH(A2,PT_DIFFERENTIATION_NTAR_ID,0))</f>
        <v>#N/A</v>
      </c>
      <c r="T2" s="212" t="s">
        <v>211</v>
      </c>
      <c r="U2" s="214"/>
      <c r="V2" s="8869"/>
      <c r="W2" s="8870"/>
      <c r="X2" s="8870"/>
      <c r="Y2" s="8870"/>
      <c r="Z2" s="8870"/>
      <c r="AA2" s="8870"/>
      <c r="AB2" s="8870"/>
      <c r="AC2" s="8871"/>
      <c r="AD2" s="8869" t="e">
        <f>INDEX(PT_DIFFERENTIATION_NTAR,MATCH(A2,PT_DIFFERENTIATION_NTAR_ID,0))</f>
        <v>#N/A</v>
      </c>
      <c r="AE2" s="8870"/>
      <c r="AF2" s="8870"/>
      <c r="AG2" s="8870"/>
      <c r="AH2" s="8870"/>
      <c r="AI2" s="8870"/>
      <c r="AJ2" s="8870"/>
      <c r="AK2" s="8870"/>
      <c r="AL2" s="8871"/>
      <c r="AM2" s="1182" t="s">
        <v>861</v>
      </c>
      <c r="AO2" s="424"/>
      <c r="AP2" s="424" t="str">
        <f t="shared" ref="AP2:AP15" si="0">IF(T2="","",T2)</f>
        <v>Наименование тарифа</v>
      </c>
      <c r="AQ2" s="424"/>
      <c r="AR2" s="424"/>
    </row>
    <row r="3" spans="1:44" ht="21" hidden="1" customHeight="1">
      <c r="A3" s="1284"/>
      <c r="B3" s="1284"/>
      <c r="C3" s="1284"/>
      <c r="D3" s="1284"/>
      <c r="E3" s="8884"/>
      <c r="F3" s="8883">
        <v>1</v>
      </c>
      <c r="G3" s="1284"/>
      <c r="H3" s="1284"/>
      <c r="I3" s="1284"/>
      <c r="J3" s="1284"/>
      <c r="K3" s="1284"/>
      <c r="L3" s="1285"/>
      <c r="M3" s="1286"/>
      <c r="N3" s="1286"/>
      <c r="O3" s="1286"/>
      <c r="P3" s="1228"/>
      <c r="Q3" s="273"/>
      <c r="R3" s="274"/>
      <c r="S3" s="1232" t="e">
        <f>INDEX(PT_DIFFERENTIATION_NUM_TER,MATCH(B3,PT_DIFFERENTIATION_TER_ID,0))</f>
        <v>#N/A</v>
      </c>
      <c r="T3" s="224" t="s">
        <v>862</v>
      </c>
      <c r="U3" s="214"/>
      <c r="V3" s="8869"/>
      <c r="W3" s="8870"/>
      <c r="X3" s="8870"/>
      <c r="Y3" s="8870"/>
      <c r="Z3" s="8870"/>
      <c r="AA3" s="8870"/>
      <c r="AB3" s="8870"/>
      <c r="AC3" s="8871"/>
      <c r="AD3" s="8869" t="e">
        <f>INDEX(PT_DIFFERENTIATION_TER,MATCH(B3,PT_DIFFERENTIATION_TER_ID,0))</f>
        <v>#N/A</v>
      </c>
      <c r="AE3" s="8870"/>
      <c r="AF3" s="8870"/>
      <c r="AG3" s="8870"/>
      <c r="AH3" s="8870"/>
      <c r="AI3" s="8870"/>
      <c r="AJ3" s="8870"/>
      <c r="AK3" s="8870"/>
      <c r="AL3" s="8871"/>
      <c r="AM3" s="1182" t="s">
        <v>863</v>
      </c>
      <c r="AO3" s="424"/>
      <c r="AP3" s="424" t="str">
        <f t="shared" si="0"/>
        <v>Территория действия тарифа</v>
      </c>
      <c r="AQ3" s="424"/>
      <c r="AR3" s="424"/>
    </row>
    <row r="4" spans="1:44" ht="23.25" hidden="1" customHeight="1">
      <c r="A4" s="1284"/>
      <c r="B4" s="1284"/>
      <c r="C4" s="1284"/>
      <c r="D4" s="1284"/>
      <c r="E4" s="8884"/>
      <c r="F4" s="8884"/>
      <c r="G4" s="8883">
        <v>1</v>
      </c>
      <c r="H4" s="1284"/>
      <c r="I4" s="1284"/>
      <c r="J4" s="1284"/>
      <c r="K4" s="1284"/>
      <c r="L4" s="1285"/>
      <c r="M4" s="1286"/>
      <c r="N4" s="1286"/>
      <c r="O4" s="1286"/>
      <c r="P4" s="275"/>
      <c r="Q4" s="273"/>
      <c r="R4" s="274"/>
      <c r="S4" s="1232" t="e">
        <f>INDEX(PT_DIFFERENTIATION_NUM_CS,MATCH(C4,PT_DIFFERENTIATION_CS_ID,0))</f>
        <v>#N/A</v>
      </c>
      <c r="T4" s="225" t="s">
        <v>864</v>
      </c>
      <c r="U4" s="214"/>
      <c r="V4" s="8869"/>
      <c r="W4" s="8870"/>
      <c r="X4" s="8870"/>
      <c r="Y4" s="8870"/>
      <c r="Z4" s="8870"/>
      <c r="AA4" s="8870"/>
      <c r="AB4" s="8870"/>
      <c r="AC4" s="8871"/>
      <c r="AD4" s="8869" t="e">
        <f>INDEX(PT_DIFFERENTIATION_CS,MATCH(C4,PT_DIFFERENTIATION_CS_ID,0))</f>
        <v>#N/A</v>
      </c>
      <c r="AE4" s="8870"/>
      <c r="AF4" s="8870"/>
      <c r="AG4" s="8870"/>
      <c r="AH4" s="8870"/>
      <c r="AI4" s="8870"/>
      <c r="AJ4" s="8870"/>
      <c r="AK4" s="8870"/>
      <c r="AL4" s="8871"/>
      <c r="AM4" s="1182" t="s">
        <v>865</v>
      </c>
      <c r="AO4" s="424"/>
      <c r="AP4" s="424" t="str">
        <f t="shared" si="0"/>
        <v xml:space="preserve">Наименование системы теплоснабжения </v>
      </c>
      <c r="AQ4" s="424"/>
      <c r="AR4" s="424"/>
    </row>
    <row r="5" spans="1:44" ht="21" hidden="1" customHeight="1">
      <c r="A5" s="1284"/>
      <c r="B5" s="1284"/>
      <c r="C5" s="1284"/>
      <c r="D5" s="1284"/>
      <c r="E5" s="8884"/>
      <c r="F5" s="8884"/>
      <c r="G5" s="8884"/>
      <c r="H5" s="8883">
        <v>1</v>
      </c>
      <c r="I5" s="1284"/>
      <c r="J5" s="1284"/>
      <c r="K5" s="1284"/>
      <c r="L5" s="1285"/>
      <c r="M5" s="1286"/>
      <c r="N5" s="1286"/>
      <c r="O5" s="1286"/>
      <c r="P5" s="275"/>
      <c r="Q5" s="273"/>
      <c r="R5" s="274"/>
      <c r="S5" s="1232" t="e">
        <f>INDEX(PT_DIFFERENTIATION_NUM_IST_TE,MATCH(D5,PT_DIFFERENTIATION_IST_TE_ID,0))</f>
        <v>#N/A</v>
      </c>
      <c r="T5" s="226" t="s">
        <v>866</v>
      </c>
      <c r="U5" s="214"/>
      <c r="V5" s="8869"/>
      <c r="W5" s="8870"/>
      <c r="X5" s="8870"/>
      <c r="Y5" s="8870"/>
      <c r="Z5" s="8870"/>
      <c r="AA5" s="8870"/>
      <c r="AB5" s="8870"/>
      <c r="AC5" s="8871"/>
      <c r="AD5" s="8869" t="e">
        <f>INDEX(PT_DIFFERENTIATION_IST_TE,MATCH(D5,PT_DIFFERENTIATION_IST_TE_ID,0))</f>
        <v>#N/A</v>
      </c>
      <c r="AE5" s="8870"/>
      <c r="AF5" s="8870"/>
      <c r="AG5" s="8870"/>
      <c r="AH5" s="8870"/>
      <c r="AI5" s="8870"/>
      <c r="AJ5" s="8870"/>
      <c r="AK5" s="8870"/>
      <c r="AL5" s="8871"/>
      <c r="AM5" s="1182" t="s">
        <v>867</v>
      </c>
      <c r="AO5" s="424"/>
      <c r="AP5" s="424" t="str">
        <f t="shared" si="0"/>
        <v xml:space="preserve">Источник тепловой энергии  </v>
      </c>
      <c r="AQ5" s="424"/>
      <c r="AR5" s="424"/>
    </row>
    <row r="6" spans="1:44" ht="47.25" hidden="1" customHeight="1">
      <c r="A6" s="1284"/>
      <c r="B6" s="1284"/>
      <c r="C6" s="1284"/>
      <c r="D6" s="1284"/>
      <c r="E6" s="8884"/>
      <c r="F6" s="8884"/>
      <c r="G6" s="8884"/>
      <c r="H6" s="8884"/>
      <c r="I6" s="8881" t="e">
        <f>S5&amp;".1"</f>
        <v>#N/A</v>
      </c>
      <c r="J6" s="1284"/>
      <c r="K6" s="1284"/>
      <c r="L6" s="1285" t="s">
        <v>868</v>
      </c>
      <c r="M6" s="460"/>
      <c r="P6" s="8882">
        <v>1</v>
      </c>
      <c r="Q6" s="1229"/>
      <c r="R6" s="277"/>
      <c r="S6" s="1232" t="e">
        <f>$I6</f>
        <v>#N/A</v>
      </c>
      <c r="T6" s="200" t="s">
        <v>869</v>
      </c>
      <c r="U6" s="214"/>
      <c r="V6" s="8872"/>
      <c r="W6" s="8873"/>
      <c r="X6" s="8873"/>
      <c r="Y6" s="8873"/>
      <c r="Z6" s="8873"/>
      <c r="AA6" s="8873"/>
      <c r="AB6" s="8873"/>
      <c r="AC6" s="8874"/>
      <c r="AD6" s="8872"/>
      <c r="AE6" s="8873"/>
      <c r="AF6" s="8873"/>
      <c r="AG6" s="8873"/>
      <c r="AH6" s="8873"/>
      <c r="AI6" s="8873"/>
      <c r="AJ6" s="8873"/>
      <c r="AK6" s="8873"/>
      <c r="AL6" s="8874"/>
      <c r="AM6" s="1182" t="s">
        <v>870</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8884"/>
      <c r="F7" s="8884"/>
      <c r="G7" s="8884"/>
      <c r="H7" s="8884"/>
      <c r="I7" s="8904"/>
      <c r="J7" s="8881" t="e">
        <f>I6&amp;".1"</f>
        <v>#N/A</v>
      </c>
      <c r="K7" s="1284"/>
      <c r="L7" s="1285" t="s">
        <v>871</v>
      </c>
      <c r="M7" s="460"/>
      <c r="N7" s="1287"/>
      <c r="P7" s="8882"/>
      <c r="Q7" s="8882">
        <v>1</v>
      </c>
      <c r="R7" s="278"/>
      <c r="S7" s="1232" t="e">
        <f>$J7</f>
        <v>#N/A</v>
      </c>
      <c r="T7" s="201" t="s">
        <v>872</v>
      </c>
      <c r="U7" s="214"/>
      <c r="V7" s="8872"/>
      <c r="W7" s="8873"/>
      <c r="X7" s="8873"/>
      <c r="Y7" s="8873"/>
      <c r="Z7" s="8873"/>
      <c r="AA7" s="8873"/>
      <c r="AB7" s="8873"/>
      <c r="AC7" s="8874"/>
      <c r="AD7" s="8872"/>
      <c r="AE7" s="8873"/>
      <c r="AF7" s="8873"/>
      <c r="AG7" s="8873"/>
      <c r="AH7" s="8873"/>
      <c r="AI7" s="8873"/>
      <c r="AJ7" s="8873"/>
      <c r="AK7" s="8873"/>
      <c r="AL7" s="8874"/>
      <c r="AM7" s="1182" t="s">
        <v>873</v>
      </c>
      <c r="AO7" s="424"/>
      <c r="AP7" s="424" t="str">
        <f t="shared" si="0"/>
        <v>Группа потребителей</v>
      </c>
      <c r="AQ7" s="424"/>
      <c r="AR7" s="424"/>
    </row>
    <row r="8" spans="1:44" ht="21" hidden="1" customHeight="1">
      <c r="A8" s="1284"/>
      <c r="B8" s="1284"/>
      <c r="C8" s="1284"/>
      <c r="D8" s="1284"/>
      <c r="E8" s="8884"/>
      <c r="F8" s="8884"/>
      <c r="G8" s="8884"/>
      <c r="H8" s="8884"/>
      <c r="I8" s="8904"/>
      <c r="J8" s="8904"/>
      <c r="K8" s="8881" t="e">
        <f>J7&amp;".1"</f>
        <v>#N/A</v>
      </c>
      <c r="L8" s="1285" t="s">
        <v>874</v>
      </c>
      <c r="M8" s="460"/>
      <c r="N8" s="1287"/>
      <c r="O8" s="1287"/>
      <c r="P8" s="8882"/>
      <c r="Q8" s="8882"/>
      <c r="R8" s="278">
        <v>1</v>
      </c>
      <c r="S8" s="1232" t="e">
        <f>$K8</f>
        <v>#N/A</v>
      </c>
      <c r="T8" s="1269"/>
      <c r="U8" s="214"/>
      <c r="V8" s="666"/>
      <c r="W8" s="246"/>
      <c r="X8" s="666"/>
      <c r="Y8" s="1181"/>
      <c r="Z8" s="8886"/>
      <c r="AA8" s="8734" t="s">
        <v>63</v>
      </c>
      <c r="AB8" s="8886"/>
      <c r="AC8" s="8734" t="s">
        <v>63</v>
      </c>
      <c r="AD8" s="666"/>
      <c r="AE8" s="246"/>
      <c r="AF8" s="666"/>
      <c r="AG8" s="1181"/>
      <c r="AH8" s="8886"/>
      <c r="AI8" s="8734" t="s">
        <v>63</v>
      </c>
      <c r="AJ8" s="8886"/>
      <c r="AK8" s="8734" t="s">
        <v>63</v>
      </c>
      <c r="AL8" s="246"/>
      <c r="AM8" s="8878" t="s">
        <v>875</v>
      </c>
      <c r="AN8" s="435" t="e">
        <f ca="1">STRCHECKDATE(V9:AL9)</f>
        <v>#NAME?</v>
      </c>
      <c r="AO8" s="424"/>
      <c r="AP8" s="424" t="str">
        <f t="shared" si="0"/>
        <v/>
      </c>
      <c r="AQ8" s="424"/>
      <c r="AR8" s="424"/>
    </row>
    <row r="9" spans="1:44" ht="0.75" hidden="1" customHeight="1">
      <c r="A9" s="1284"/>
      <c r="B9" s="1284"/>
      <c r="C9" s="1284"/>
      <c r="D9" s="1284"/>
      <c r="E9" s="8884"/>
      <c r="F9" s="8884"/>
      <c r="G9" s="8884"/>
      <c r="H9" s="8884"/>
      <c r="I9" s="8904"/>
      <c r="J9" s="8904"/>
      <c r="K9" s="8881"/>
      <c r="L9" s="1285"/>
      <c r="M9" s="460"/>
      <c r="N9" s="1287"/>
      <c r="O9" s="1287"/>
      <c r="P9" s="8882"/>
      <c r="Q9" s="8882"/>
      <c r="R9" s="278"/>
      <c r="S9" s="1230"/>
      <c r="T9" s="214"/>
      <c r="U9" s="214"/>
      <c r="V9" s="246"/>
      <c r="W9" s="246"/>
      <c r="X9" s="246"/>
      <c r="Y9" s="250" t="str">
        <f>Z8&amp;"-"&amp;AB8</f>
        <v>-</v>
      </c>
      <c r="Z9" s="8887"/>
      <c r="AA9" s="8734"/>
      <c r="AB9" s="8887"/>
      <c r="AC9" s="8734"/>
      <c r="AD9" s="246"/>
      <c r="AE9" s="246"/>
      <c r="AF9" s="246"/>
      <c r="AG9" s="250" t="str">
        <f>AH8&amp;"-"&amp;AJ8</f>
        <v>-</v>
      </c>
      <c r="AH9" s="8887"/>
      <c r="AI9" s="8734"/>
      <c r="AJ9" s="8887"/>
      <c r="AK9" s="8734"/>
      <c r="AL9" s="246"/>
      <c r="AM9" s="8879"/>
      <c r="AO9" s="424"/>
      <c r="AP9" s="424" t="str">
        <f t="shared" si="0"/>
        <v/>
      </c>
      <c r="AQ9" s="424"/>
      <c r="AR9" s="424"/>
    </row>
    <row r="10" spans="1:44" ht="15" hidden="1" customHeight="1">
      <c r="A10" s="1284"/>
      <c r="B10" s="1284"/>
      <c r="C10" s="1284"/>
      <c r="D10" s="1284"/>
      <c r="E10" s="8884"/>
      <c r="F10" s="8884"/>
      <c r="G10" s="8884"/>
      <c r="H10" s="8884"/>
      <c r="I10" s="8904"/>
      <c r="J10" s="8881"/>
      <c r="K10" s="1284"/>
      <c r="L10" s="1285"/>
      <c r="M10" s="460"/>
      <c r="N10" s="1287"/>
      <c r="P10" s="8882"/>
      <c r="Q10" s="8882"/>
      <c r="R10" s="277"/>
      <c r="S10" s="1203"/>
      <c r="T10" s="203" t="s">
        <v>876</v>
      </c>
      <c r="U10" s="291"/>
      <c r="V10" s="291"/>
      <c r="W10" s="291"/>
      <c r="X10" s="291"/>
      <c r="Y10" s="291"/>
      <c r="Z10" s="291"/>
      <c r="AA10" s="291"/>
      <c r="AB10" s="291"/>
      <c r="AC10" s="291"/>
      <c r="AD10" s="291"/>
      <c r="AE10" s="291"/>
      <c r="AF10" s="291"/>
      <c r="AG10" s="291"/>
      <c r="AH10" s="291"/>
      <c r="AI10" s="291"/>
      <c r="AJ10" s="291"/>
      <c r="AK10" s="291"/>
      <c r="AL10" s="245"/>
      <c r="AM10" s="8880"/>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8884"/>
      <c r="F11" s="8884"/>
      <c r="G11" s="8884"/>
      <c r="H11" s="8884"/>
      <c r="I11" s="8881"/>
      <c r="J11" s="1284"/>
      <c r="K11" s="1284"/>
      <c r="L11" s="1285"/>
      <c r="M11" s="460"/>
      <c r="P11" s="8882"/>
      <c r="Q11" s="1229"/>
      <c r="R11" s="277"/>
      <c r="S11" s="1203"/>
      <c r="T11" s="202" t="s">
        <v>877</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8884"/>
      <c r="F12" s="8884"/>
      <c r="G12" s="8884"/>
      <c r="H12" s="8883"/>
      <c r="I12" s="1284"/>
      <c r="J12" s="1284"/>
      <c r="K12" s="1284"/>
      <c r="L12" s="1285"/>
      <c r="M12" s="1286"/>
      <c r="N12" s="1286"/>
      <c r="O12" s="460"/>
      <c r="P12" s="281"/>
      <c r="Q12" s="299"/>
      <c r="R12" s="276"/>
      <c r="S12" s="1203"/>
      <c r="T12" s="288" t="s">
        <v>878</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8884"/>
      <c r="F13" s="8884"/>
      <c r="G13" s="8883"/>
      <c r="H13" s="1237"/>
      <c r="I13" s="1237"/>
      <c r="J13" s="1237"/>
      <c r="K13" s="1237"/>
      <c r="L13" s="1261"/>
      <c r="M13" s="1238"/>
      <c r="N13" s="1238"/>
      <c r="P13" s="1239"/>
      <c r="Q13" s="1240"/>
      <c r="R13" s="1239"/>
      <c r="S13" s="1241"/>
      <c r="T13" s="1242" t="s">
        <v>879</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8884"/>
      <c r="F14" s="8883"/>
      <c r="G14" s="1237"/>
      <c r="H14" s="1237"/>
      <c r="I14" s="1237"/>
      <c r="J14" s="1237"/>
      <c r="K14" s="1237"/>
      <c r="L14" s="1261"/>
      <c r="M14" s="1244"/>
      <c r="N14" s="1244"/>
      <c r="P14" s="1239"/>
      <c r="Q14" s="1240"/>
      <c r="R14" s="1239"/>
      <c r="S14" s="1245"/>
      <c r="T14" s="1246" t="s">
        <v>314</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8883"/>
      <c r="F15" s="1237"/>
      <c r="G15" s="1237"/>
      <c r="H15" s="1237"/>
      <c r="I15" s="1237"/>
      <c r="J15" s="1237"/>
      <c r="K15" s="1237"/>
      <c r="L15" s="1261"/>
      <c r="M15" s="1244"/>
      <c r="N15" s="1244"/>
      <c r="P15" s="1239"/>
      <c r="Q15" s="1240"/>
      <c r="R15" s="1239"/>
      <c r="S15" s="1245"/>
      <c r="T15" s="1248" t="s">
        <v>315</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P17" s="1234"/>
      <c r="AD17" s="1281"/>
      <c r="AE17" s="1281"/>
      <c r="AF17" s="1281"/>
      <c r="AG17" s="1282"/>
      <c r="AH17" s="8888"/>
      <c r="AI17" s="8889" t="s">
        <v>63</v>
      </c>
      <c r="AJ17" s="8888"/>
      <c r="AK17" s="8889" t="s">
        <v>63</v>
      </c>
    </row>
    <row r="18" spans="1:44" ht="14.25" hidden="1" customHeight="1">
      <c r="P18" s="1234"/>
      <c r="AD18" s="1281"/>
      <c r="AE18" s="1281"/>
      <c r="AF18" s="1281"/>
      <c r="AG18" s="250" t="str">
        <f>AH17&amp;"-"&amp;AJ17</f>
        <v>-</v>
      </c>
      <c r="AH18" s="8889"/>
      <c r="AI18" s="8889"/>
      <c r="AJ18" s="8889"/>
      <c r="AK18" s="8889"/>
    </row>
    <row r="19" spans="1:44" ht="14.25" hidden="1" customHeight="1">
      <c r="P19" s="1234"/>
      <c r="AK19" s="249"/>
    </row>
    <row r="20" spans="1:44" s="1287" customFormat="1" ht="22.5" hidden="1" customHeight="1">
      <c r="L20" s="1251"/>
      <c r="M20" s="1283"/>
      <c r="N20" s="1283"/>
      <c r="O20" s="1288" t="s">
        <v>880</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881</v>
      </c>
      <c r="P22" s="1283"/>
      <c r="Q22" s="1292"/>
      <c r="R22" s="1292"/>
      <c r="S22" s="646"/>
      <c r="T22" s="1065" t="s">
        <v>882</v>
      </c>
      <c r="AA22" s="104" t="s">
        <v>883</v>
      </c>
      <c r="AC22" s="104" t="s">
        <v>884</v>
      </c>
      <c r="AD22" s="1065" t="s">
        <v>882</v>
      </c>
      <c r="AI22" s="104" t="s">
        <v>885</v>
      </c>
      <c r="AK22" s="104" t="s">
        <v>884</v>
      </c>
      <c r="AN22" s="435"/>
      <c r="AO22" s="435"/>
      <c r="AP22" s="435"/>
      <c r="AQ22" s="435"/>
      <c r="AR22" s="435"/>
    </row>
    <row r="23" spans="1:44" ht="14.25" hidden="1" customHeight="1">
      <c r="O23" s="1285"/>
      <c r="P23" s="1234"/>
    </row>
    <row r="24" spans="1:44" ht="14.25" hidden="1" customHeight="1">
      <c r="O24" s="1285"/>
      <c r="P24" s="1234"/>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14.25" customHeight="1">
      <c r="Q26" s="300"/>
      <c r="R26" s="300"/>
      <c r="S26" s="88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8867"/>
      <c r="U26" s="8867"/>
      <c r="V26" s="8867"/>
      <c r="W26" s="8867"/>
      <c r="X26" s="8867"/>
      <c r="Y26" s="8867"/>
      <c r="Z26" s="8867"/>
      <c r="AA26" s="8867"/>
      <c r="AB26" s="8867"/>
      <c r="AC26" s="8867"/>
      <c r="AD26" s="8867"/>
      <c r="AE26" s="8867"/>
      <c r="AF26" s="8867"/>
      <c r="AG26" s="8867"/>
      <c r="AH26" s="8867"/>
      <c r="AI26" s="8867"/>
      <c r="AJ26" s="8867"/>
      <c r="AK26" s="1157"/>
    </row>
    <row r="27" spans="1:44" ht="14.25" customHeight="1">
      <c r="Q27" s="300"/>
      <c r="R27" s="300"/>
      <c r="S27" s="8814" t="str">
        <f>IF(org=0,"Не определено",org)</f>
        <v>ГУП СК "Ставрополькрайводоканал"</v>
      </c>
      <c r="T27" s="8814"/>
      <c r="U27" s="8814"/>
      <c r="V27" s="8814"/>
      <c r="W27" s="8814"/>
      <c r="X27" s="8814"/>
      <c r="Y27" s="8814"/>
      <c r="Z27" s="8814"/>
      <c r="AA27" s="8814"/>
      <c r="AB27" s="8814"/>
      <c r="AC27" s="8814"/>
      <c r="AD27" s="8814"/>
      <c r="AE27" s="8814"/>
      <c r="AF27" s="8814"/>
      <c r="AG27" s="8814"/>
      <c r="AH27" s="8814"/>
      <c r="AI27" s="8814"/>
      <c r="AJ27" s="8814"/>
      <c r="AK27" s="1157"/>
    </row>
    <row r="28" spans="1:44" ht="14.25" hidden="1"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hidden="1" customHeight="1">
      <c r="A29" s="1289"/>
      <c r="B29" s="1289"/>
      <c r="C29" s="1289"/>
      <c r="D29" s="1289"/>
      <c r="E29" s="1289"/>
      <c r="F29" s="1289"/>
      <c r="G29" s="1289"/>
      <c r="H29" s="1289"/>
      <c r="I29" s="1289"/>
      <c r="J29" s="1289"/>
      <c r="K29" s="1289"/>
      <c r="L29" s="1290"/>
      <c r="M29" s="1289"/>
      <c r="N29" s="1289"/>
      <c r="O29" s="1289"/>
      <c r="S29" s="8875" t="s">
        <v>38</v>
      </c>
      <c r="T29" s="8875"/>
      <c r="U29" s="1293"/>
      <c r="V29" s="8876" t="str">
        <f>IF(TITLE_NAME_OR_PR_CHANGE="",IF(TITLE_NAME_OR_PR="","",TITLE_NAME_OR_PR),TITLE_NAME_OR_PR_CHANGE)</f>
        <v/>
      </c>
      <c r="W29" s="8876"/>
      <c r="X29" s="8876"/>
      <c r="Y29" s="8876"/>
      <c r="Z29" s="8876"/>
      <c r="AA29" s="8876"/>
      <c r="AB29" s="8876"/>
      <c r="AC29" s="248"/>
      <c r="AD29" s="8876" t="str">
        <f>IF(TITLE_NAME_OR_PR_CHANGE="",IF(TITLE_NAME_OR_PR="","",TITLE_NAME_OR_PR),TITLE_NAME_OR_PR_CHANGE)</f>
        <v/>
      </c>
      <c r="AE29" s="8876"/>
      <c r="AF29" s="8876"/>
      <c r="AG29" s="8876"/>
      <c r="AH29" s="8876"/>
      <c r="AI29" s="8876"/>
      <c r="AJ29" s="8876"/>
      <c r="AK29" s="248"/>
      <c r="AL29" s="248"/>
      <c r="AM29" s="196"/>
      <c r="AN29" s="292"/>
      <c r="AO29" s="292"/>
      <c r="AP29" s="292"/>
      <c r="AQ29" s="292"/>
      <c r="AR29" s="292"/>
    </row>
    <row r="30" spans="1:44" s="1771" customFormat="1" ht="18.75" hidden="1" customHeight="1">
      <c r="A30" s="1289"/>
      <c r="B30" s="1289"/>
      <c r="C30" s="1289"/>
      <c r="D30" s="1289"/>
      <c r="E30" s="1289"/>
      <c r="F30" s="1289"/>
      <c r="G30" s="1289"/>
      <c r="H30" s="1289"/>
      <c r="I30" s="1289"/>
      <c r="J30" s="1289"/>
      <c r="K30" s="1289"/>
      <c r="L30" s="1290"/>
      <c r="M30" s="1289"/>
      <c r="N30" s="1289"/>
      <c r="O30" s="1289"/>
      <c r="S30" s="8875" t="s">
        <v>886</v>
      </c>
      <c r="T30" s="8875"/>
      <c r="U30" s="1293"/>
      <c r="V30" s="8885">
        <f>IF(TITLE_DATE_PR_CHANGE="",IF(TITLE_DATE_PR="","",TITLE_DATE_PR),TITLE_DATE_PR_CHANGE)</f>
        <v>45281.411851851852</v>
      </c>
      <c r="W30" s="8885"/>
      <c r="X30" s="8885"/>
      <c r="Y30" s="8885"/>
      <c r="Z30" s="8885"/>
      <c r="AA30" s="8885"/>
      <c r="AB30" s="8885"/>
      <c r="AC30" s="248"/>
      <c r="AD30" s="8885">
        <f>IF(TITLE_DATE_PR_CHANGE="",IF(TITLE_DATE_PR="","",TITLE_DATE_PR),TITLE_DATE_PR_CHANGE)</f>
        <v>45281.411851851852</v>
      </c>
      <c r="AE30" s="8885"/>
      <c r="AF30" s="8885"/>
      <c r="AG30" s="8885"/>
      <c r="AH30" s="8885"/>
      <c r="AI30" s="8885"/>
      <c r="AJ30" s="8885"/>
      <c r="AK30" s="248"/>
      <c r="AL30" s="248"/>
      <c r="AM30" s="196"/>
      <c r="AN30" s="292"/>
      <c r="AO30" s="292"/>
      <c r="AP30" s="292"/>
      <c r="AQ30" s="292"/>
      <c r="AR30" s="292"/>
    </row>
    <row r="31" spans="1:44" s="1771" customFormat="1" ht="18.75" hidden="1" customHeight="1">
      <c r="A31" s="1289"/>
      <c r="B31" s="1289"/>
      <c r="C31" s="1289"/>
      <c r="D31" s="1289"/>
      <c r="E31" s="1289"/>
      <c r="F31" s="1289"/>
      <c r="G31" s="1289"/>
      <c r="H31" s="1289"/>
      <c r="I31" s="1289"/>
      <c r="J31" s="1289"/>
      <c r="K31" s="1289"/>
      <c r="L31" s="1290"/>
      <c r="M31" s="1289"/>
      <c r="N31" s="1289"/>
      <c r="O31" s="1289"/>
      <c r="S31" s="8875" t="s">
        <v>887</v>
      </c>
      <c r="T31" s="8875"/>
      <c r="U31" s="1293"/>
      <c r="V31" s="8876" t="str">
        <f>IF(TITLE_NUMBER_PR_CHANGE="",IF(TITLE_NUMBER_PR="","",TITLE_NUMBER_PR),TITLE_NUMBER_PR_CHANGE)</f>
        <v>06-11/11398</v>
      </c>
      <c r="W31" s="8876"/>
      <c r="X31" s="8876"/>
      <c r="Y31" s="8876"/>
      <c r="Z31" s="8876"/>
      <c r="AA31" s="8876"/>
      <c r="AB31" s="8876"/>
      <c r="AC31" s="248"/>
      <c r="AD31" s="8876" t="str">
        <f>IF(TITLE_NUMBER_PR_CHANGE="",IF(TITLE_NUMBER_PR="","",TITLE_NUMBER_PR),TITLE_NUMBER_PR_CHANGE)</f>
        <v>06-11/11398</v>
      </c>
      <c r="AE31" s="8876"/>
      <c r="AF31" s="8876"/>
      <c r="AG31" s="8876"/>
      <c r="AH31" s="8876"/>
      <c r="AI31" s="8876"/>
      <c r="AJ31" s="8876"/>
      <c r="AK31" s="248"/>
      <c r="AL31" s="248"/>
      <c r="AM31" s="196"/>
      <c r="AN31" s="292"/>
      <c r="AO31" s="292"/>
      <c r="AP31" s="292"/>
      <c r="AQ31" s="292"/>
      <c r="AR31" s="292"/>
    </row>
    <row r="32" spans="1:44" s="1771" customFormat="1" ht="18.75" hidden="1" customHeight="1">
      <c r="A32" s="1289"/>
      <c r="B32" s="1289"/>
      <c r="C32" s="1289"/>
      <c r="D32" s="1289"/>
      <c r="E32" s="1289"/>
      <c r="F32" s="1289"/>
      <c r="G32" s="1289"/>
      <c r="H32" s="1289"/>
      <c r="I32" s="1289"/>
      <c r="J32" s="1289"/>
      <c r="K32" s="1289"/>
      <c r="L32" s="1290"/>
      <c r="M32" s="1289"/>
      <c r="N32" s="1289"/>
      <c r="O32" s="1289"/>
      <c r="S32" s="8875" t="s">
        <v>39</v>
      </c>
      <c r="T32" s="8875"/>
      <c r="U32" s="1293"/>
      <c r="V32" s="8876" t="str">
        <f>IF(TITLE_IST_PUB_CHANGE="",IF(TITLE_IST_PUB="","",TITLE_IST_PUB),TITLE_IST_PUB_CHANGE)</f>
        <v/>
      </c>
      <c r="W32" s="8876"/>
      <c r="X32" s="8876"/>
      <c r="Y32" s="8876"/>
      <c r="Z32" s="8876"/>
      <c r="AA32" s="8876"/>
      <c r="AB32" s="8876"/>
      <c r="AC32" s="248"/>
      <c r="AD32" s="8876" t="str">
        <f>IF(TITLE_IST_PUB_CHANGE="",IF(TITLE_IST_PUB="","",TITLE_IST_PUB),TITLE_IST_PUB_CHANGE)</f>
        <v/>
      </c>
      <c r="AE32" s="8876"/>
      <c r="AF32" s="8876"/>
      <c r="AG32" s="8876"/>
      <c r="AH32" s="8876"/>
      <c r="AI32" s="8876"/>
      <c r="AJ32" s="8876"/>
      <c r="AK32" s="248"/>
      <c r="AL32" s="248"/>
      <c r="AM32" s="196"/>
      <c r="AN32" s="292"/>
      <c r="AO32" s="292"/>
      <c r="AP32" s="292"/>
      <c r="AQ32" s="292"/>
      <c r="AR32" s="292"/>
    </row>
    <row r="33" spans="1:44" ht="14.25" customHeight="1">
      <c r="P33" s="1250"/>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customHeight="1">
      <c r="A34" s="1289"/>
      <c r="B34" s="1289"/>
      <c r="C34" s="1289"/>
      <c r="D34" s="1289"/>
      <c r="E34" s="1289"/>
      <c r="F34" s="1289"/>
      <c r="G34" s="1289"/>
      <c r="H34" s="1289"/>
      <c r="I34" s="1289"/>
      <c r="J34" s="1289"/>
      <c r="K34" s="1289"/>
      <c r="L34" s="1290"/>
      <c r="M34" s="1289"/>
      <c r="N34" s="1289"/>
      <c r="O34" s="1289"/>
      <c r="S34" s="8875" t="s">
        <v>888</v>
      </c>
      <c r="T34" s="8875"/>
      <c r="U34" s="1293"/>
      <c r="V34" s="8885">
        <f>IF(TITLE_DATE_PR_CHANGE="",IF(TITLE_DATE_PR="","",TITLE_DATE_PR),TITLE_DATE_PR_CHANGE)</f>
        <v>45281.411851851852</v>
      </c>
      <c r="W34" s="8885"/>
      <c r="X34" s="8885"/>
      <c r="Y34" s="8885"/>
      <c r="Z34" s="8885"/>
      <c r="AA34" s="8885"/>
      <c r="AB34" s="8885"/>
      <c r="AC34" s="248"/>
      <c r="AD34" s="8885">
        <f>IF(TITLE_DATE_PR_CHANGE="",IF(TITLE_DATE_PR="","",TITLE_DATE_PR),TITLE_DATE_PR_CHANGE)</f>
        <v>45281.411851851852</v>
      </c>
      <c r="AE34" s="8885"/>
      <c r="AF34" s="8885"/>
      <c r="AG34" s="8885"/>
      <c r="AH34" s="8885"/>
      <c r="AI34" s="8885"/>
      <c r="AJ34" s="8885"/>
      <c r="AK34" s="248"/>
      <c r="AL34" s="248"/>
      <c r="AM34" s="196"/>
      <c r="AN34" s="292"/>
      <c r="AO34" s="292"/>
      <c r="AP34" s="292"/>
      <c r="AQ34" s="292"/>
      <c r="AR34" s="292"/>
    </row>
    <row r="35" spans="1:44" s="1771" customFormat="1" ht="18.75" customHeight="1">
      <c r="A35" s="1289"/>
      <c r="B35" s="1289"/>
      <c r="C35" s="1289"/>
      <c r="D35" s="1289"/>
      <c r="E35" s="1289"/>
      <c r="F35" s="1289"/>
      <c r="G35" s="1289"/>
      <c r="H35" s="1289"/>
      <c r="I35" s="1289"/>
      <c r="J35" s="1289"/>
      <c r="K35" s="1289"/>
      <c r="L35" s="1290"/>
      <c r="M35" s="1289"/>
      <c r="N35" s="1289"/>
      <c r="O35" s="1289"/>
      <c r="S35" s="8875" t="s">
        <v>889</v>
      </c>
      <c r="T35" s="8875"/>
      <c r="U35" s="1293"/>
      <c r="V35" s="8876" t="str">
        <f>IF(TITLE_NUMBER_PR_CHANGE="",IF(TITLE_NUMBER_PR="","",TITLE_NUMBER_PR),TITLE_NUMBER_PR_CHANGE)</f>
        <v>06-11/11398</v>
      </c>
      <c r="W35" s="8876"/>
      <c r="X35" s="8876"/>
      <c r="Y35" s="8876"/>
      <c r="Z35" s="8876"/>
      <c r="AA35" s="8876"/>
      <c r="AB35" s="8876"/>
      <c r="AC35" s="248"/>
      <c r="AD35" s="8876" t="str">
        <f>IF(TITLE_NUMBER_PR_CHANGE="",IF(TITLE_NUMBER_PR="","",TITLE_NUMBER_PR),TITLE_NUMBER_PR_CHANGE)</f>
        <v>06-11/11398</v>
      </c>
      <c r="AE35" s="8876"/>
      <c r="AF35" s="8876"/>
      <c r="AG35" s="8876"/>
      <c r="AH35" s="8876"/>
      <c r="AI35" s="8876"/>
      <c r="AJ35" s="8876"/>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129"/>
      <c r="V36" s="248"/>
      <c r="W36" s="248"/>
      <c r="X36" s="248"/>
      <c r="Y36" s="248"/>
      <c r="Z36" s="248"/>
      <c r="AA36" s="248"/>
      <c r="AB36" s="248"/>
      <c r="AC36" s="194" t="s">
        <v>890</v>
      </c>
      <c r="AD36" s="248"/>
      <c r="AE36" s="248"/>
      <c r="AF36" s="248"/>
      <c r="AG36" s="248"/>
      <c r="AH36" s="248"/>
      <c r="AI36" s="248"/>
      <c r="AJ36" s="248"/>
      <c r="AK36" s="194" t="s">
        <v>890</v>
      </c>
      <c r="AN36" s="292"/>
      <c r="AO36" s="292"/>
      <c r="AP36" s="292"/>
      <c r="AQ36" s="292"/>
      <c r="AR36" s="292"/>
    </row>
    <row r="37" spans="1:44" ht="14.25" customHeight="1">
      <c r="Q37" s="300"/>
      <c r="R37" s="300"/>
      <c r="S37" s="1200"/>
      <c r="T37" s="286"/>
      <c r="U37" s="1158"/>
      <c r="V37" s="8877"/>
      <c r="W37" s="8877"/>
      <c r="X37" s="8877"/>
      <c r="Y37" s="8877"/>
      <c r="Z37" s="8877"/>
      <c r="AA37" s="8877"/>
      <c r="AB37" s="8877"/>
      <c r="AC37" s="8877"/>
      <c r="AD37" s="8877"/>
      <c r="AE37" s="8877"/>
      <c r="AF37" s="8877"/>
      <c r="AG37" s="8877"/>
      <c r="AH37" s="8877"/>
      <c r="AI37" s="8877"/>
      <c r="AJ37" s="8877"/>
      <c r="AK37" s="8877"/>
    </row>
    <row r="38" spans="1:44" ht="14.25" customHeight="1">
      <c r="Q38" s="300"/>
      <c r="R38" s="300"/>
      <c r="S38" s="8753" t="s">
        <v>763</v>
      </c>
      <c r="T38" s="8753"/>
      <c r="U38" s="8753"/>
      <c r="V38" s="8753"/>
      <c r="W38" s="8753"/>
      <c r="X38" s="8753"/>
      <c r="Y38" s="8753"/>
      <c r="Z38" s="8753"/>
      <c r="AA38" s="8753"/>
      <c r="AB38" s="8753"/>
      <c r="AC38" s="8753"/>
      <c r="AD38" s="8753"/>
      <c r="AE38" s="8753"/>
      <c r="AF38" s="8753"/>
      <c r="AG38" s="8753"/>
      <c r="AH38" s="8753"/>
      <c r="AI38" s="8753"/>
      <c r="AJ38" s="8753"/>
      <c r="AK38" s="8753"/>
      <c r="AL38" s="8753"/>
      <c r="AM38" s="8753" t="s">
        <v>764</v>
      </c>
    </row>
    <row r="39" spans="1:44" ht="14.25" customHeight="1">
      <c r="Q39" s="300"/>
      <c r="R39" s="300"/>
      <c r="S39" s="8891" t="s">
        <v>84</v>
      </c>
      <c r="T39" s="8843" t="s">
        <v>891</v>
      </c>
      <c r="U39" s="215"/>
      <c r="V39" s="8892" t="s">
        <v>892</v>
      </c>
      <c r="W39" s="8893"/>
      <c r="X39" s="8893"/>
      <c r="Y39" s="8893"/>
      <c r="Z39" s="8893"/>
      <c r="AA39" s="8893"/>
      <c r="AB39" s="8894"/>
      <c r="AC39" s="8895" t="s">
        <v>893</v>
      </c>
      <c r="AD39" s="8892" t="s">
        <v>892</v>
      </c>
      <c r="AE39" s="8893"/>
      <c r="AF39" s="8893"/>
      <c r="AG39" s="8893"/>
      <c r="AH39" s="8893"/>
      <c r="AI39" s="8893"/>
      <c r="AJ39" s="8894"/>
      <c r="AK39" s="8895" t="s">
        <v>894</v>
      </c>
      <c r="AL39" s="8898" t="s">
        <v>895</v>
      </c>
      <c r="AM39" s="8753"/>
    </row>
    <row r="40" spans="1:44" ht="33.75" customHeight="1">
      <c r="Q40" s="300"/>
      <c r="R40" s="300"/>
      <c r="S40" s="8891"/>
      <c r="T40" s="8843"/>
      <c r="U40" s="942"/>
      <c r="V40" s="8813" t="s">
        <v>896</v>
      </c>
      <c r="W40" s="8901" t="s">
        <v>897</v>
      </c>
      <c r="X40" s="8724" t="s">
        <v>898</v>
      </c>
      <c r="Y40" s="8723"/>
      <c r="Z40" s="8724" t="s">
        <v>899</v>
      </c>
      <c r="AA40" s="8729"/>
      <c r="AB40" s="8723"/>
      <c r="AC40" s="8896"/>
      <c r="AD40" s="8813" t="s">
        <v>896</v>
      </c>
      <c r="AE40" s="8901" t="s">
        <v>897</v>
      </c>
      <c r="AF40" s="8724" t="s">
        <v>898</v>
      </c>
      <c r="AG40" s="8723"/>
      <c r="AH40" s="8724" t="s">
        <v>899</v>
      </c>
      <c r="AI40" s="8729"/>
      <c r="AJ40" s="8723"/>
      <c r="AK40" s="8896"/>
      <c r="AL40" s="8899"/>
      <c r="AM40" s="8753"/>
    </row>
    <row r="41" spans="1:44" ht="33.75" customHeight="1">
      <c r="A41" s="1291"/>
      <c r="B41" s="1291" t="s">
        <v>223</v>
      </c>
      <c r="C41" s="1291" t="s">
        <v>224</v>
      </c>
      <c r="D41" s="1291" t="s">
        <v>225</v>
      </c>
      <c r="E41" s="1285" t="s">
        <v>900</v>
      </c>
      <c r="F41" s="1285" t="s">
        <v>901</v>
      </c>
      <c r="G41" s="1285" t="s">
        <v>902</v>
      </c>
      <c r="H41" s="1285" t="s">
        <v>903</v>
      </c>
      <c r="I41" s="1285" t="s">
        <v>904</v>
      </c>
      <c r="J41" s="1285" t="s">
        <v>905</v>
      </c>
      <c r="K41" s="1285" t="s">
        <v>906</v>
      </c>
      <c r="L41" s="1285" t="s">
        <v>881</v>
      </c>
      <c r="Q41" s="300"/>
      <c r="R41" s="300"/>
      <c r="S41" s="8891"/>
      <c r="T41" s="8843"/>
      <c r="U41" s="216"/>
      <c r="V41" s="8862"/>
      <c r="W41" s="8902"/>
      <c r="X41" s="1133" t="s">
        <v>907</v>
      </c>
      <c r="Y41" s="1133" t="s">
        <v>908</v>
      </c>
      <c r="Z41" s="1132" t="s">
        <v>909</v>
      </c>
      <c r="AA41" s="8851" t="s">
        <v>910</v>
      </c>
      <c r="AB41" s="8853"/>
      <c r="AC41" s="8897"/>
      <c r="AD41" s="8862"/>
      <c r="AE41" s="8902"/>
      <c r="AF41" s="1133" t="s">
        <v>907</v>
      </c>
      <c r="AG41" s="1133" t="s">
        <v>908</v>
      </c>
      <c r="AH41" s="1236" t="s">
        <v>909</v>
      </c>
      <c r="AI41" s="8851" t="s">
        <v>910</v>
      </c>
      <c r="AJ41" s="8853"/>
      <c r="AK41" s="8897"/>
      <c r="AL41" s="8900"/>
      <c r="AM41" s="875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95</v>
      </c>
      <c r="T42" s="1177" t="s">
        <v>99</v>
      </c>
      <c r="U42" s="1159" t="str">
        <f ca="1">OFFSET(U42,0,-1)</f>
        <v>2</v>
      </c>
      <c r="V42" s="1178">
        <f ca="1">OFFSET(V42,0,-1)+1</f>
        <v>3</v>
      </c>
      <c r="W42" s="1178"/>
      <c r="X42" s="1178">
        <f ca="1">OFFSET(X42,0,-1)+1</f>
        <v>1</v>
      </c>
      <c r="Y42" s="1178">
        <f ca="1">OFFSET(Y42,0,-1)+1</f>
        <v>2</v>
      </c>
      <c r="Z42" s="1178">
        <f ca="1">OFFSET(Z42,0,-1)+1</f>
        <v>3</v>
      </c>
      <c r="AA42" s="8890">
        <f ca="1">OFFSET(AA42,0,-1)+1</f>
        <v>4</v>
      </c>
      <c r="AB42" s="8890"/>
      <c r="AC42" s="1178">
        <f ca="1">OFFSET(AC42,0,-2)+1</f>
        <v>5</v>
      </c>
      <c r="AD42" s="1235">
        <f ca="1">OFFSET(AD42,0,-1)+1</f>
        <v>6</v>
      </c>
      <c r="AE42" s="1235"/>
      <c r="AF42" s="1235">
        <f ca="1">OFFSET(AF42,0,-1)+1</f>
        <v>1</v>
      </c>
      <c r="AG42" s="1235">
        <f ca="1">OFFSET(AG42,0,-1)+1</f>
        <v>2</v>
      </c>
      <c r="AH42" s="1235">
        <f ca="1">OFFSET(AH42,0,-1)+1</f>
        <v>3</v>
      </c>
      <c r="AI42" s="8890">
        <f ca="1">OFFSET(AI42,0,-1)+1</f>
        <v>4</v>
      </c>
      <c r="AJ42" s="8890"/>
      <c r="AK42" s="1235">
        <f ca="1">OFFSET(AK42,0,-2)+1</f>
        <v>5</v>
      </c>
      <c r="AL42" s="1159">
        <f ca="1">OFFSET(AL42,0,-1)</f>
        <v>5</v>
      </c>
      <c r="AM42" s="1178">
        <f ca="1">OFFSET(AM42,0,-1)+1</f>
        <v>6</v>
      </c>
      <c r="AN42" s="435"/>
      <c r="AO42" s="435"/>
      <c r="AP42" s="435"/>
      <c r="AQ42" s="435"/>
      <c r="AR42" s="435"/>
    </row>
    <row r="43" spans="1:44" ht="23.25" customHeight="1">
      <c r="A43" s="1284" t="s">
        <v>238</v>
      </c>
      <c r="B43" s="1284"/>
      <c r="C43" s="1284"/>
      <c r="D43" s="1284"/>
      <c r="E43" s="8883">
        <v>1</v>
      </c>
      <c r="F43" s="1284"/>
      <c r="G43" s="1284"/>
      <c r="H43" s="1284"/>
      <c r="I43" s="1284"/>
      <c r="J43" s="1284"/>
      <c r="K43" s="1284"/>
      <c r="L43" s="1285"/>
      <c r="M43" s="1286"/>
      <c r="N43" s="1286"/>
      <c r="O43" s="1286"/>
      <c r="P43" s="282"/>
      <c r="Q43" s="281"/>
      <c r="R43" s="276"/>
      <c r="S43" s="1137">
        <f>INDEX(PT_DIFFERENTIATION_NUM_NTAR,MATCH(A43,PT_DIFFERENTIATION_NTAR_ID,0))</f>
        <v>0</v>
      </c>
      <c r="T43" s="212" t="s">
        <v>211</v>
      </c>
      <c r="U43" s="214"/>
      <c r="V43" s="8869"/>
      <c r="W43" s="8870"/>
      <c r="X43" s="8870"/>
      <c r="Y43" s="8870"/>
      <c r="Z43" s="8870"/>
      <c r="AA43" s="8870"/>
      <c r="AB43" s="8870"/>
      <c r="AC43" s="8871"/>
      <c r="AD43" s="8869" t="str">
        <f>INDEX(PT_DIFFERENTIATION_NTAR,MATCH(A43,PT_DIFFERENTIATION_NTAR_ID,0))</f>
        <v/>
      </c>
      <c r="AE43" s="8870"/>
      <c r="AF43" s="8870"/>
      <c r="AG43" s="8870"/>
      <c r="AH43" s="8870"/>
      <c r="AI43" s="8870"/>
      <c r="AJ43" s="8870"/>
      <c r="AK43" s="8870"/>
      <c r="AL43" s="887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4"/>
      <c r="AP43" s="424" t="str">
        <f t="shared" ref="AP43:AP57" si="1">IF(T43="","",T43)</f>
        <v>Наименование тарифа</v>
      </c>
      <c r="AQ43" s="424"/>
      <c r="AR43" s="424"/>
    </row>
    <row r="44" spans="1:44" ht="23.25" customHeight="1">
      <c r="A44" s="1284" t="s">
        <v>238</v>
      </c>
      <c r="B44" s="1284" t="s">
        <v>239</v>
      </c>
      <c r="C44" s="1284"/>
      <c r="D44" s="1284"/>
      <c r="E44" s="8884"/>
      <c r="F44" s="8883">
        <v>1</v>
      </c>
      <c r="G44" s="1284"/>
      <c r="H44" s="1284"/>
      <c r="I44" s="1284"/>
      <c r="J44" s="1284"/>
      <c r="K44" s="1284"/>
      <c r="L44" s="1285"/>
      <c r="M44" s="1286"/>
      <c r="N44" s="1286"/>
      <c r="O44" s="1286"/>
      <c r="P44" s="446"/>
      <c r="Q44" s="273"/>
      <c r="R44" s="274"/>
      <c r="S44" s="1137" t="str">
        <f>INDEX(PT_DIFFERENTIATION_NUM_TER,MATCH(B44,PT_DIFFERENTIATION_TER_ID,0))</f>
        <v>.</v>
      </c>
      <c r="T44" s="224" t="s">
        <v>862</v>
      </c>
      <c r="U44" s="214"/>
      <c r="V44" s="8869"/>
      <c r="W44" s="8870"/>
      <c r="X44" s="8870"/>
      <c r="Y44" s="8870"/>
      <c r="Z44" s="8870"/>
      <c r="AA44" s="8870"/>
      <c r="AB44" s="8870"/>
      <c r="AC44" s="8871"/>
      <c r="AD44" s="8869" t="str">
        <f>INDEX(PT_DIFFERENTIATION_TER,MATCH(B44,PT_DIFFERENTIATION_TER_ID,0))</f>
        <v/>
      </c>
      <c r="AE44" s="8870"/>
      <c r="AF44" s="8870"/>
      <c r="AG44" s="8870"/>
      <c r="AH44" s="8870"/>
      <c r="AI44" s="8870"/>
      <c r="AJ44" s="8870"/>
      <c r="AK44" s="8870"/>
      <c r="AL44" s="8871"/>
      <c r="AM44" s="1182" t="s">
        <v>863</v>
      </c>
      <c r="AO44" s="424"/>
      <c r="AP44" s="424" t="str">
        <f t="shared" si="1"/>
        <v>Территория действия тарифа</v>
      </c>
      <c r="AQ44" s="424"/>
      <c r="AR44" s="424"/>
    </row>
    <row r="45" spans="1:44" ht="23.25" customHeight="1">
      <c r="A45" s="1284" t="s">
        <v>238</v>
      </c>
      <c r="B45" s="1284" t="s">
        <v>239</v>
      </c>
      <c r="C45" s="1284" t="s">
        <v>240</v>
      </c>
      <c r="D45" s="1284"/>
      <c r="E45" s="8884"/>
      <c r="F45" s="8884"/>
      <c r="G45" s="8883">
        <v>1</v>
      </c>
      <c r="H45" s="1284"/>
      <c r="I45" s="1284"/>
      <c r="J45" s="1284"/>
      <c r="K45" s="1284"/>
      <c r="L45" s="1285"/>
      <c r="M45" s="1286"/>
      <c r="N45" s="1286"/>
      <c r="O45" s="1286"/>
      <c r="P45" s="275"/>
      <c r="Q45" s="273"/>
      <c r="R45" s="274"/>
      <c r="S45" s="1137" t="str">
        <f>INDEX(PT_DIFFERENTIATION_NUM_CS,MATCH(C45,PT_DIFFERENTIATION_CS_ID,0))</f>
        <v>..</v>
      </c>
      <c r="T45" s="225" t="s">
        <v>864</v>
      </c>
      <c r="U45" s="214"/>
      <c r="V45" s="8869"/>
      <c r="W45" s="8870"/>
      <c r="X45" s="8870"/>
      <c r="Y45" s="8870"/>
      <c r="Z45" s="8870"/>
      <c r="AA45" s="8870"/>
      <c r="AB45" s="8870"/>
      <c r="AC45" s="8871"/>
      <c r="AD45" s="8869" t="str">
        <f>INDEX(PT_DIFFERENTIATION_CS,MATCH(C45,PT_DIFFERENTIATION_CS_ID,0))</f>
        <v/>
      </c>
      <c r="AE45" s="8870"/>
      <c r="AF45" s="8870"/>
      <c r="AG45" s="8870"/>
      <c r="AH45" s="8870"/>
      <c r="AI45" s="8870"/>
      <c r="AJ45" s="8870"/>
      <c r="AK45" s="8870"/>
      <c r="AL45" s="8871"/>
      <c r="AM45" s="1182" t="s">
        <v>865</v>
      </c>
      <c r="AO45" s="424"/>
      <c r="AP45" s="424" t="str">
        <f t="shared" si="1"/>
        <v xml:space="preserve">Наименование системы теплоснабжения </v>
      </c>
      <c r="AQ45" s="424"/>
      <c r="AR45" s="424"/>
    </row>
    <row r="46" spans="1:44" ht="23.25" customHeight="1">
      <c r="A46" s="1284" t="s">
        <v>238</v>
      </c>
      <c r="B46" s="1284" t="s">
        <v>239</v>
      </c>
      <c r="C46" s="1284" t="s">
        <v>240</v>
      </c>
      <c r="D46" s="1284" t="s">
        <v>241</v>
      </c>
      <c r="E46" s="8884"/>
      <c r="F46" s="8884"/>
      <c r="G46" s="8884"/>
      <c r="H46" s="8883">
        <v>1</v>
      </c>
      <c r="I46" s="1284"/>
      <c r="J46" s="1284"/>
      <c r="K46" s="1284"/>
      <c r="L46" s="1285"/>
      <c r="M46" s="1286"/>
      <c r="N46" s="1286"/>
      <c r="O46" s="1286"/>
      <c r="P46" s="275"/>
      <c r="Q46" s="273"/>
      <c r="R46" s="274"/>
      <c r="S46" s="1137" t="str">
        <f>INDEX(PT_DIFFERENTIATION_NUM_IST_TE,MATCH(D46,PT_DIFFERENTIATION_IST_TE_ID,0))</f>
        <v>...</v>
      </c>
      <c r="T46" s="226" t="s">
        <v>866</v>
      </c>
      <c r="U46" s="214"/>
      <c r="V46" s="8869"/>
      <c r="W46" s="8870"/>
      <c r="X46" s="8870"/>
      <c r="Y46" s="8870"/>
      <c r="Z46" s="8870"/>
      <c r="AA46" s="8870"/>
      <c r="AB46" s="8870"/>
      <c r="AC46" s="8871"/>
      <c r="AD46" s="8869" t="str">
        <f>INDEX(PT_DIFFERENTIATION_IST_TE,MATCH(D46,PT_DIFFERENTIATION_IST_TE_ID,0))</f>
        <v/>
      </c>
      <c r="AE46" s="8870"/>
      <c r="AF46" s="8870"/>
      <c r="AG46" s="8870"/>
      <c r="AH46" s="8870"/>
      <c r="AI46" s="8870"/>
      <c r="AJ46" s="8870"/>
      <c r="AK46" s="8870"/>
      <c r="AL46" s="8871"/>
      <c r="AM46" s="1182" t="s">
        <v>867</v>
      </c>
      <c r="AO46" s="424"/>
      <c r="AP46" s="424" t="str">
        <f t="shared" si="1"/>
        <v xml:space="preserve">Источник тепловой энергии  </v>
      </c>
      <c r="AQ46" s="424"/>
      <c r="AR46" s="424"/>
    </row>
    <row r="47" spans="1:44" ht="47.25" customHeight="1">
      <c r="A47" s="1284" t="s">
        <v>238</v>
      </c>
      <c r="B47" s="1284" t="s">
        <v>239</v>
      </c>
      <c r="C47" s="1284" t="s">
        <v>240</v>
      </c>
      <c r="D47" s="1284" t="s">
        <v>241</v>
      </c>
      <c r="E47" s="8884"/>
      <c r="F47" s="8884"/>
      <c r="G47" s="8884"/>
      <c r="H47" s="8884"/>
      <c r="I47" s="8881" t="str">
        <f>S46&amp;".1"</f>
        <v>....1</v>
      </c>
      <c r="J47" s="1284"/>
      <c r="K47" s="1284"/>
      <c r="L47" s="1285" t="s">
        <v>868</v>
      </c>
      <c r="P47" s="8882">
        <v>1</v>
      </c>
      <c r="Q47" s="1131"/>
      <c r="R47" s="277"/>
      <c r="S47" s="1137" t="str">
        <f>$I47</f>
        <v>....1</v>
      </c>
      <c r="T47" s="200" t="s">
        <v>869</v>
      </c>
      <c r="U47" s="214"/>
      <c r="V47" s="8872"/>
      <c r="W47" s="8873"/>
      <c r="X47" s="8873"/>
      <c r="Y47" s="8873"/>
      <c r="Z47" s="8873"/>
      <c r="AA47" s="8873"/>
      <c r="AB47" s="8873"/>
      <c r="AC47" s="8874"/>
      <c r="AD47" s="8872"/>
      <c r="AE47" s="8873"/>
      <c r="AF47" s="8873"/>
      <c r="AG47" s="8873"/>
      <c r="AH47" s="8873"/>
      <c r="AI47" s="8873"/>
      <c r="AJ47" s="8873"/>
      <c r="AK47" s="8873"/>
      <c r="AL47" s="8874"/>
      <c r="AM47" s="1182" t="s">
        <v>870</v>
      </c>
      <c r="AO47" s="424"/>
      <c r="AP47" s="424" t="str">
        <f t="shared" si="1"/>
        <v>Схема подключения теплопотребляющей установки к коллектору источника тепловой энергии</v>
      </c>
      <c r="AQ47" s="424"/>
      <c r="AR47" s="424"/>
    </row>
    <row r="48" spans="1:44" ht="23.25" customHeight="1">
      <c r="A48" s="1284" t="s">
        <v>238</v>
      </c>
      <c r="B48" s="1284" t="s">
        <v>239</v>
      </c>
      <c r="C48" s="1284" t="s">
        <v>240</v>
      </c>
      <c r="D48" s="1284" t="s">
        <v>241</v>
      </c>
      <c r="E48" s="8884"/>
      <c r="F48" s="8884"/>
      <c r="G48" s="8884"/>
      <c r="H48" s="8884"/>
      <c r="I48" s="8904"/>
      <c r="J48" s="8881" t="str">
        <f>I47&amp;".1"</f>
        <v>....1.1</v>
      </c>
      <c r="K48" s="1284"/>
      <c r="L48" s="1285" t="s">
        <v>871</v>
      </c>
      <c r="P48" s="8882"/>
      <c r="Q48" s="8882">
        <v>1</v>
      </c>
      <c r="R48" s="278"/>
      <c r="S48" s="1137" t="str">
        <f>$J48</f>
        <v>....1.1</v>
      </c>
      <c r="T48" s="201" t="s">
        <v>872</v>
      </c>
      <c r="U48" s="214"/>
      <c r="V48" s="8872"/>
      <c r="W48" s="8873"/>
      <c r="X48" s="8873"/>
      <c r="Y48" s="8873"/>
      <c r="Z48" s="8873"/>
      <c r="AA48" s="8873"/>
      <c r="AB48" s="8873"/>
      <c r="AC48" s="8874"/>
      <c r="AD48" s="8872"/>
      <c r="AE48" s="8873"/>
      <c r="AF48" s="8873"/>
      <c r="AG48" s="8873"/>
      <c r="AH48" s="8873"/>
      <c r="AI48" s="8873"/>
      <c r="AJ48" s="8873"/>
      <c r="AK48" s="8873"/>
      <c r="AL48" s="8874"/>
      <c r="AM48" s="1182" t="s">
        <v>873</v>
      </c>
      <c r="AO48" s="424"/>
      <c r="AP48" s="424" t="str">
        <f t="shared" si="1"/>
        <v>Группа потребителей</v>
      </c>
      <c r="AQ48" s="424"/>
      <c r="AR48" s="424"/>
    </row>
    <row r="49" spans="1:44" ht="23.25" customHeight="1">
      <c r="A49" s="1284" t="s">
        <v>238</v>
      </c>
      <c r="B49" s="1284" t="s">
        <v>239</v>
      </c>
      <c r="C49" s="1284" t="s">
        <v>240</v>
      </c>
      <c r="D49" s="1284" t="s">
        <v>241</v>
      </c>
      <c r="E49" s="8884"/>
      <c r="F49" s="8884"/>
      <c r="G49" s="8884"/>
      <c r="H49" s="8884"/>
      <c r="I49" s="8904"/>
      <c r="J49" s="8904"/>
      <c r="K49" s="8881" t="str">
        <f>J48&amp;".1"</f>
        <v>....1.1.1</v>
      </c>
      <c r="L49" s="1285" t="s">
        <v>874</v>
      </c>
      <c r="P49" s="8882"/>
      <c r="Q49" s="8882"/>
      <c r="R49" s="278">
        <v>1</v>
      </c>
      <c r="S49" s="1137" t="str">
        <f>$K49</f>
        <v>....1.1.1</v>
      </c>
      <c r="T49" s="1269"/>
      <c r="U49" s="214"/>
      <c r="V49" s="666"/>
      <c r="W49" s="246"/>
      <c r="X49" s="666"/>
      <c r="Y49" s="1181"/>
      <c r="Z49" s="8886"/>
      <c r="AA49" s="8734" t="s">
        <v>63</v>
      </c>
      <c r="AB49" s="8886"/>
      <c r="AC49" s="8734" t="s">
        <v>63</v>
      </c>
      <c r="AD49" s="666"/>
      <c r="AE49" s="246"/>
      <c r="AF49" s="666"/>
      <c r="AG49" s="1181"/>
      <c r="AH49" s="8886"/>
      <c r="AI49" s="8734" t="s">
        <v>63</v>
      </c>
      <c r="AJ49" s="8905"/>
      <c r="AK49" s="8734" t="s">
        <v>63</v>
      </c>
      <c r="AL49" s="1270"/>
      <c r="AM49" s="8878" t="s">
        <v>875</v>
      </c>
      <c r="AN49" s="435" t="e">
        <f ca="1">STRCHECKDATE(V50:AL50)</f>
        <v>#NAME?</v>
      </c>
      <c r="AO49" s="424"/>
      <c r="AP49" s="424" t="str">
        <f t="shared" si="1"/>
        <v/>
      </c>
      <c r="AQ49" s="424"/>
      <c r="AR49" s="424"/>
    </row>
    <row r="50" spans="1:44" ht="0.75" customHeight="1">
      <c r="A50" s="1284" t="s">
        <v>238</v>
      </c>
      <c r="B50" s="1284" t="s">
        <v>239</v>
      </c>
      <c r="C50" s="1284" t="s">
        <v>240</v>
      </c>
      <c r="D50" s="1284" t="s">
        <v>241</v>
      </c>
      <c r="E50" s="8884"/>
      <c r="F50" s="8884"/>
      <c r="G50" s="8884"/>
      <c r="H50" s="8884"/>
      <c r="I50" s="8904"/>
      <c r="J50" s="8904"/>
      <c r="K50" s="8881"/>
      <c r="L50" s="1285"/>
      <c r="P50" s="8882"/>
      <c r="Q50" s="8882"/>
      <c r="R50" s="278"/>
      <c r="S50" s="1135"/>
      <c r="T50" s="214"/>
      <c r="U50" s="214"/>
      <c r="V50" s="246"/>
      <c r="W50" s="246"/>
      <c r="X50" s="246"/>
      <c r="Y50" s="250" t="str">
        <f>Z49&amp;"-"&amp;AB49</f>
        <v>-</v>
      </c>
      <c r="Z50" s="8887"/>
      <c r="AA50" s="8734"/>
      <c r="AB50" s="8887"/>
      <c r="AC50" s="8734"/>
      <c r="AD50" s="246"/>
      <c r="AE50" s="246"/>
      <c r="AF50" s="246"/>
      <c r="AG50" s="250" t="str">
        <f>AH49&amp;"-"&amp;AJ49</f>
        <v>-</v>
      </c>
      <c r="AH50" s="8887"/>
      <c r="AI50" s="8734"/>
      <c r="AJ50" s="8906"/>
      <c r="AK50" s="8734"/>
      <c r="AL50" s="1271"/>
      <c r="AM50" s="8879"/>
      <c r="AO50" s="424"/>
      <c r="AP50" s="424" t="str">
        <f t="shared" si="1"/>
        <v/>
      </c>
      <c r="AQ50" s="424"/>
      <c r="AR50" s="424"/>
    </row>
    <row r="51" spans="1:44" ht="11.25" customHeight="1">
      <c r="A51" s="1284" t="s">
        <v>238</v>
      </c>
      <c r="B51" s="1284" t="s">
        <v>239</v>
      </c>
      <c r="C51" s="1284" t="s">
        <v>240</v>
      </c>
      <c r="D51" s="1284" t="s">
        <v>241</v>
      </c>
      <c r="E51" s="8884"/>
      <c r="F51" s="8884"/>
      <c r="G51" s="8884"/>
      <c r="H51" s="8884"/>
      <c r="I51" s="8904"/>
      <c r="J51" s="8881"/>
      <c r="K51" s="1284"/>
      <c r="L51" s="1285"/>
      <c r="P51" s="8882"/>
      <c r="Q51" s="8882"/>
      <c r="R51" s="277"/>
      <c r="S51" s="1203"/>
      <c r="T51" s="203" t="s">
        <v>876</v>
      </c>
      <c r="U51" s="291"/>
      <c r="V51" s="291"/>
      <c r="W51" s="291"/>
      <c r="X51" s="291"/>
      <c r="Y51" s="291"/>
      <c r="Z51" s="291"/>
      <c r="AA51" s="291"/>
      <c r="AB51" s="291"/>
      <c r="AC51" s="291"/>
      <c r="AD51" s="291"/>
      <c r="AE51" s="291"/>
      <c r="AF51" s="291"/>
      <c r="AG51" s="291"/>
      <c r="AH51" s="291"/>
      <c r="AI51" s="291"/>
      <c r="AJ51" s="291"/>
      <c r="AK51" s="291"/>
      <c r="AL51" s="245"/>
      <c r="AM51" s="8880"/>
      <c r="AO51" s="424"/>
      <c r="AP51" s="424" t="str">
        <f t="shared" si="1"/>
        <v>Добавить вид теплоносителя (параметры теплоносителя)</v>
      </c>
      <c r="AQ51" s="424"/>
      <c r="AR51" s="424"/>
    </row>
    <row r="52" spans="1:44" ht="11.25" customHeight="1">
      <c r="A52" s="1284" t="s">
        <v>238</v>
      </c>
      <c r="B52" s="1284" t="s">
        <v>239</v>
      </c>
      <c r="C52" s="1284" t="s">
        <v>240</v>
      </c>
      <c r="D52" s="1284" t="s">
        <v>241</v>
      </c>
      <c r="E52" s="8884"/>
      <c r="F52" s="8884"/>
      <c r="G52" s="8884"/>
      <c r="H52" s="8884"/>
      <c r="I52" s="8881"/>
      <c r="J52" s="1284"/>
      <c r="K52" s="1284"/>
      <c r="L52" s="1285"/>
      <c r="P52" s="8882"/>
      <c r="Q52" s="1131"/>
      <c r="R52" s="277"/>
      <c r="S52" s="1203"/>
      <c r="T52" s="202" t="s">
        <v>877</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238</v>
      </c>
      <c r="B53" s="1284" t="s">
        <v>239</v>
      </c>
      <c r="C53" s="1284" t="s">
        <v>240</v>
      </c>
      <c r="D53" s="1284" t="s">
        <v>241</v>
      </c>
      <c r="E53" s="8884"/>
      <c r="F53" s="8884"/>
      <c r="G53" s="8884"/>
      <c r="H53" s="8883"/>
      <c r="I53" s="1284"/>
      <c r="J53" s="1284"/>
      <c r="K53" s="1284"/>
      <c r="L53" s="1285"/>
      <c r="M53" s="1286"/>
      <c r="N53" s="1286"/>
      <c r="O53" s="460"/>
      <c r="P53" s="281"/>
      <c r="Q53" s="299"/>
      <c r="R53" s="276"/>
      <c r="S53" s="1203"/>
      <c r="T53" s="288" t="s">
        <v>878</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238</v>
      </c>
      <c r="B54" s="1265" t="s">
        <v>239</v>
      </c>
      <c r="C54" s="1265" t="s">
        <v>240</v>
      </c>
      <c r="D54" s="1237"/>
      <c r="E54" s="8884"/>
      <c r="F54" s="8884"/>
      <c r="G54" s="8883"/>
      <c r="H54" s="1237"/>
      <c r="I54" s="1237"/>
      <c r="J54" s="1237"/>
      <c r="K54" s="1237"/>
      <c r="L54" s="1261"/>
      <c r="M54" s="1238"/>
      <c r="N54" s="1238"/>
      <c r="P54" s="1239"/>
      <c r="Q54" s="1240"/>
      <c r="R54" s="1239"/>
      <c r="S54" s="1245"/>
      <c r="T54" s="1248" t="s">
        <v>879</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238</v>
      </c>
      <c r="B55" s="1265" t="s">
        <v>239</v>
      </c>
      <c r="C55" s="1237"/>
      <c r="D55" s="1237"/>
      <c r="E55" s="8884"/>
      <c r="F55" s="8883"/>
      <c r="G55" s="1237"/>
      <c r="H55" s="1237"/>
      <c r="I55" s="1237"/>
      <c r="J55" s="1237"/>
      <c r="K55" s="1237"/>
      <c r="L55" s="1261"/>
      <c r="M55" s="1244"/>
      <c r="N55" s="1244"/>
      <c r="P55" s="1239"/>
      <c r="Q55" s="1240"/>
      <c r="R55" s="1239"/>
      <c r="S55" s="1245"/>
      <c r="T55" s="1248" t="s">
        <v>314</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238</v>
      </c>
      <c r="B56" s="1265"/>
      <c r="C56" s="1265"/>
      <c r="D56" s="1265"/>
      <c r="E56" s="8883"/>
      <c r="F56" s="1265"/>
      <c r="G56" s="1265"/>
      <c r="H56" s="1265"/>
      <c r="I56" s="1265"/>
      <c r="J56" s="1265"/>
      <c r="K56" s="1265"/>
      <c r="L56" s="1268"/>
      <c r="M56" s="1244"/>
      <c r="N56" s="1244"/>
      <c r="O56" s="442"/>
      <c r="P56" s="308"/>
      <c r="Q56" s="1266"/>
      <c r="R56" s="308"/>
      <c r="S56" s="1245"/>
      <c r="T56" s="1248" t="s">
        <v>315</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706</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8903"/>
      <c r="U59" s="8903"/>
      <c r="V59" s="8903"/>
      <c r="W59" s="8903"/>
      <c r="X59" s="8903"/>
      <c r="Y59" s="8903"/>
      <c r="Z59" s="8903"/>
      <c r="AA59" s="8903"/>
      <c r="AB59" s="8903"/>
      <c r="AC59" s="8903"/>
      <c r="AD59" s="8903"/>
      <c r="AE59" s="8903"/>
      <c r="AF59" s="8903"/>
      <c r="AG59" s="8903"/>
      <c r="AH59" s="8903"/>
      <c r="AI59" s="8903"/>
      <c r="AJ59" s="8903"/>
      <c r="AK59" s="8903"/>
      <c r="AL59" s="8903"/>
      <c r="AM59" s="8903"/>
    </row>
    <row r="60" spans="1:44" ht="64.5" customHeight="1">
      <c r="O60" s="460"/>
      <c r="P60" s="1227"/>
      <c r="T60" s="8903"/>
      <c r="U60" s="8903"/>
      <c r="V60" s="8903"/>
      <c r="W60" s="8903"/>
      <c r="X60" s="8903"/>
      <c r="Y60" s="8903"/>
      <c r="Z60" s="8903"/>
      <c r="AA60" s="8903"/>
      <c r="AB60" s="8903"/>
      <c r="AC60" s="8903"/>
      <c r="AD60" s="8903"/>
      <c r="AE60" s="8903"/>
      <c r="AF60" s="8903"/>
      <c r="AG60" s="8903"/>
      <c r="AH60" s="8903"/>
      <c r="AI60" s="8903"/>
      <c r="AJ60" s="8903"/>
      <c r="AK60" s="8903"/>
      <c r="AL60" s="8903"/>
      <c r="AM60" s="8903"/>
    </row>
    <row r="61" spans="1:44" ht="14.25" customHeight="1">
      <c r="O61" s="460"/>
    </row>
    <row r="62" spans="1:44" ht="18" customHeight="1">
      <c r="O62" s="460"/>
      <c r="P62" s="1250"/>
      <c r="S62" s="1169"/>
      <c r="T62" s="8903"/>
      <c r="U62" s="8903"/>
      <c r="V62" s="8903"/>
      <c r="W62" s="8903"/>
      <c r="X62" s="8903"/>
      <c r="Y62" s="8903"/>
      <c r="Z62" s="8903"/>
      <c r="AA62" s="8903"/>
      <c r="AB62" s="8903"/>
      <c r="AC62" s="8903"/>
      <c r="AD62" s="8903"/>
      <c r="AE62" s="8903"/>
      <c r="AF62" s="8903"/>
      <c r="AG62" s="8903"/>
      <c r="AH62" s="8903"/>
      <c r="AI62" s="8903"/>
      <c r="AJ62" s="8903"/>
      <c r="AK62" s="8903"/>
      <c r="AL62" s="8903"/>
      <c r="AM62" s="8903"/>
    </row>
    <row r="63" spans="1:44" ht="18" customHeight="1">
      <c r="O63" s="460"/>
      <c r="P63" s="1250"/>
      <c r="T63" s="8903"/>
      <c r="U63" s="8903"/>
      <c r="V63" s="8903"/>
      <c r="W63" s="8903"/>
      <c r="X63" s="8903"/>
      <c r="Y63" s="8903"/>
      <c r="Z63" s="8903"/>
      <c r="AA63" s="8903"/>
      <c r="AB63" s="8903"/>
      <c r="AC63" s="8903"/>
      <c r="AD63" s="8903"/>
      <c r="AE63" s="8903"/>
      <c r="AF63" s="8903"/>
      <c r="AG63" s="8903"/>
      <c r="AH63" s="8903"/>
      <c r="AI63" s="8903"/>
      <c r="AJ63" s="8903"/>
      <c r="AK63" s="8903"/>
      <c r="AL63" s="8903"/>
      <c r="AM63" s="8903"/>
    </row>
    <row r="64" spans="1:44" ht="27.75" customHeight="1">
      <c r="O64" s="460"/>
      <c r="P64" s="1250"/>
      <c r="S64" s="1169"/>
      <c r="T64" s="8903"/>
      <c r="U64" s="8903"/>
      <c r="V64" s="8903"/>
      <c r="W64" s="8903"/>
      <c r="X64" s="8903"/>
      <c r="Y64" s="8903"/>
      <c r="Z64" s="8903"/>
      <c r="AA64" s="8903"/>
      <c r="AB64" s="8903"/>
      <c r="AC64" s="8903"/>
      <c r="AD64" s="8903"/>
      <c r="AE64" s="8903"/>
      <c r="AF64" s="8903"/>
      <c r="AG64" s="8903"/>
      <c r="AH64" s="8903"/>
      <c r="AI64" s="8903"/>
      <c r="AJ64" s="8903"/>
      <c r="AK64" s="8903"/>
      <c r="AL64" s="8903"/>
      <c r="AM64" s="8903"/>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8883">
        <v>1</v>
      </c>
      <c r="F2" s="1284"/>
      <c r="G2" s="1284"/>
      <c r="H2" s="1284"/>
      <c r="I2" s="1284"/>
      <c r="J2" s="1284"/>
      <c r="K2" s="1284"/>
      <c r="L2" s="1285"/>
      <c r="M2" s="1286"/>
      <c r="N2" s="1286"/>
      <c r="O2" s="1286"/>
      <c r="P2" s="282"/>
      <c r="Q2" s="281"/>
      <c r="R2" s="276"/>
      <c r="S2" s="1258" t="e">
        <f>INDEX(PT_DIFFERENTIATION_NUM_NTAR,MATCH(A2,PT_DIFFERENTIATION_NTAR_ID,0))</f>
        <v>#N/A</v>
      </c>
      <c r="T2" s="212" t="s">
        <v>211</v>
      </c>
      <c r="U2" s="214"/>
      <c r="V2" s="8869"/>
      <c r="W2" s="8870"/>
      <c r="X2" s="8870"/>
      <c r="Y2" s="8870"/>
      <c r="Z2" s="8870"/>
      <c r="AA2" s="8870"/>
      <c r="AB2" s="8870"/>
      <c r="AC2" s="8871"/>
      <c r="AD2" s="8869" t="e">
        <f>INDEX(PT_DIFFERENTIATION_NTAR,MATCH(A2,PT_DIFFERENTIATION_NTAR_ID,0))</f>
        <v>#N/A</v>
      </c>
      <c r="AE2" s="8870"/>
      <c r="AF2" s="8870"/>
      <c r="AG2" s="8870"/>
      <c r="AH2" s="8870"/>
      <c r="AI2" s="8870"/>
      <c r="AJ2" s="8870"/>
      <c r="AK2" s="8870"/>
      <c r="AL2" s="8871"/>
      <c r="AM2" s="1182" t="s">
        <v>861</v>
      </c>
      <c r="AO2" s="424"/>
      <c r="AP2" s="424" t="str">
        <f t="shared" ref="AP2:AP15" si="0">IF(T2="","",T2)</f>
        <v>Наименование тарифа</v>
      </c>
      <c r="AQ2" s="424"/>
      <c r="AR2" s="424"/>
    </row>
    <row r="3" spans="1:44" ht="21" hidden="1" customHeight="1">
      <c r="A3" s="1284"/>
      <c r="B3" s="1284"/>
      <c r="C3" s="1284"/>
      <c r="D3" s="1284"/>
      <c r="E3" s="8884"/>
      <c r="F3" s="8883">
        <v>1</v>
      </c>
      <c r="G3" s="1284"/>
      <c r="H3" s="1284"/>
      <c r="I3" s="1284"/>
      <c r="J3" s="1284"/>
      <c r="K3" s="1284"/>
      <c r="L3" s="1285"/>
      <c r="M3" s="1286"/>
      <c r="N3" s="1286"/>
      <c r="O3" s="1286"/>
      <c r="P3" s="1254"/>
      <c r="Q3" s="273"/>
      <c r="R3" s="274"/>
      <c r="S3" s="1258" t="e">
        <f>INDEX(PT_DIFFERENTIATION_NUM_TER,MATCH(B3,PT_DIFFERENTIATION_TER_ID,0))</f>
        <v>#N/A</v>
      </c>
      <c r="T3" s="224" t="s">
        <v>862</v>
      </c>
      <c r="U3" s="214"/>
      <c r="V3" s="8869"/>
      <c r="W3" s="8870"/>
      <c r="X3" s="8870"/>
      <c r="Y3" s="8870"/>
      <c r="Z3" s="8870"/>
      <c r="AA3" s="8870"/>
      <c r="AB3" s="8870"/>
      <c r="AC3" s="8871"/>
      <c r="AD3" s="8869" t="e">
        <f>INDEX(PT_DIFFERENTIATION_TER,MATCH(B3,PT_DIFFERENTIATION_TER_ID,0))</f>
        <v>#N/A</v>
      </c>
      <c r="AE3" s="8870"/>
      <c r="AF3" s="8870"/>
      <c r="AG3" s="8870"/>
      <c r="AH3" s="8870"/>
      <c r="AI3" s="8870"/>
      <c r="AJ3" s="8870"/>
      <c r="AK3" s="8870"/>
      <c r="AL3" s="8871"/>
      <c r="AM3" s="1182" t="s">
        <v>863</v>
      </c>
      <c r="AO3" s="424"/>
      <c r="AP3" s="424" t="str">
        <f t="shared" si="0"/>
        <v>Территория действия тарифа</v>
      </c>
      <c r="AQ3" s="424"/>
      <c r="AR3" s="424"/>
    </row>
    <row r="4" spans="1:44" ht="23.25" hidden="1" customHeight="1">
      <c r="A4" s="1284"/>
      <c r="B4" s="1284"/>
      <c r="C4" s="1284"/>
      <c r="D4" s="1284"/>
      <c r="E4" s="8884"/>
      <c r="F4" s="8884"/>
      <c r="G4" s="8883">
        <v>1</v>
      </c>
      <c r="H4" s="1284"/>
      <c r="I4" s="1284"/>
      <c r="J4" s="1284"/>
      <c r="K4" s="1284"/>
      <c r="L4" s="1285"/>
      <c r="M4" s="1286"/>
      <c r="N4" s="1286"/>
      <c r="O4" s="1286"/>
      <c r="P4" s="275"/>
      <c r="Q4" s="273"/>
      <c r="R4" s="274"/>
      <c r="S4" s="1258" t="e">
        <f>INDEX(PT_DIFFERENTIATION_NUM_CS,MATCH(C4,PT_DIFFERENTIATION_CS_ID,0))</f>
        <v>#N/A</v>
      </c>
      <c r="T4" s="225" t="s">
        <v>864</v>
      </c>
      <c r="U4" s="214"/>
      <c r="V4" s="8869"/>
      <c r="W4" s="8870"/>
      <c r="X4" s="8870"/>
      <c r="Y4" s="8870"/>
      <c r="Z4" s="8870"/>
      <c r="AA4" s="8870"/>
      <c r="AB4" s="8870"/>
      <c r="AC4" s="8871"/>
      <c r="AD4" s="8869" t="e">
        <f>INDEX(PT_DIFFERENTIATION_CS,MATCH(C4,PT_DIFFERENTIATION_CS_ID,0))</f>
        <v>#N/A</v>
      </c>
      <c r="AE4" s="8870"/>
      <c r="AF4" s="8870"/>
      <c r="AG4" s="8870"/>
      <c r="AH4" s="8870"/>
      <c r="AI4" s="8870"/>
      <c r="AJ4" s="8870"/>
      <c r="AK4" s="8870"/>
      <c r="AL4" s="8871"/>
      <c r="AM4" s="1182" t="s">
        <v>865</v>
      </c>
      <c r="AO4" s="424"/>
      <c r="AP4" s="424" t="str">
        <f t="shared" si="0"/>
        <v xml:space="preserve">Наименование системы теплоснабжения </v>
      </c>
      <c r="AQ4" s="424"/>
      <c r="AR4" s="424"/>
    </row>
    <row r="5" spans="1:44" ht="21" hidden="1" customHeight="1">
      <c r="A5" s="1284"/>
      <c r="B5" s="1284"/>
      <c r="C5" s="1284"/>
      <c r="D5" s="1284"/>
      <c r="E5" s="8884"/>
      <c r="F5" s="8884"/>
      <c r="G5" s="8884"/>
      <c r="H5" s="8883">
        <v>1</v>
      </c>
      <c r="I5" s="1284"/>
      <c r="J5" s="1284"/>
      <c r="K5" s="1284"/>
      <c r="L5" s="1285"/>
      <c r="M5" s="1286"/>
      <c r="N5" s="1286"/>
      <c r="O5" s="1286"/>
      <c r="P5" s="275"/>
      <c r="Q5" s="273"/>
      <c r="R5" s="274"/>
      <c r="S5" s="1258" t="e">
        <f>INDEX(PT_DIFFERENTIATION_NUM_IST_TE,MATCH(D5,PT_DIFFERENTIATION_IST_TE_ID,0))</f>
        <v>#N/A</v>
      </c>
      <c r="T5" s="226" t="s">
        <v>866</v>
      </c>
      <c r="U5" s="214"/>
      <c r="V5" s="8869"/>
      <c r="W5" s="8870"/>
      <c r="X5" s="8870"/>
      <c r="Y5" s="8870"/>
      <c r="Z5" s="8870"/>
      <c r="AA5" s="8870"/>
      <c r="AB5" s="8870"/>
      <c r="AC5" s="8871"/>
      <c r="AD5" s="8869" t="e">
        <f>INDEX(PT_DIFFERENTIATION_IST_TE,MATCH(D5,PT_DIFFERENTIATION_IST_TE_ID,0))</f>
        <v>#N/A</v>
      </c>
      <c r="AE5" s="8870"/>
      <c r="AF5" s="8870"/>
      <c r="AG5" s="8870"/>
      <c r="AH5" s="8870"/>
      <c r="AI5" s="8870"/>
      <c r="AJ5" s="8870"/>
      <c r="AK5" s="8870"/>
      <c r="AL5" s="8871"/>
      <c r="AM5" s="1182" t="s">
        <v>867</v>
      </c>
      <c r="AO5" s="424"/>
      <c r="AP5" s="424" t="str">
        <f t="shared" si="0"/>
        <v xml:space="preserve">Источник тепловой энергии  </v>
      </c>
      <c r="AQ5" s="424"/>
      <c r="AR5" s="424"/>
    </row>
    <row r="6" spans="1:44" ht="47.25" hidden="1" customHeight="1">
      <c r="A6" s="1284"/>
      <c r="B6" s="1284"/>
      <c r="C6" s="1284"/>
      <c r="D6" s="1284"/>
      <c r="E6" s="8884"/>
      <c r="F6" s="8884"/>
      <c r="G6" s="8884"/>
      <c r="H6" s="8884"/>
      <c r="I6" s="8881" t="e">
        <f>S5&amp;".1"</f>
        <v>#N/A</v>
      </c>
      <c r="J6" s="1284"/>
      <c r="K6" s="1284"/>
      <c r="L6" s="1285" t="s">
        <v>868</v>
      </c>
      <c r="M6" s="460"/>
      <c r="P6" s="8882">
        <v>1</v>
      </c>
      <c r="Q6" s="1253"/>
      <c r="R6" s="277"/>
      <c r="S6" s="1258" t="e">
        <f>$I6</f>
        <v>#N/A</v>
      </c>
      <c r="T6" s="200" t="s">
        <v>869</v>
      </c>
      <c r="U6" s="214"/>
      <c r="V6" s="8872"/>
      <c r="W6" s="8873"/>
      <c r="X6" s="8873"/>
      <c r="Y6" s="8873"/>
      <c r="Z6" s="8873"/>
      <c r="AA6" s="8873"/>
      <c r="AB6" s="8873"/>
      <c r="AC6" s="8874"/>
      <c r="AD6" s="8872"/>
      <c r="AE6" s="8873"/>
      <c r="AF6" s="8873"/>
      <c r="AG6" s="8873"/>
      <c r="AH6" s="8873"/>
      <c r="AI6" s="8873"/>
      <c r="AJ6" s="8873"/>
      <c r="AK6" s="8873"/>
      <c r="AL6" s="8874"/>
      <c r="AM6" s="1182" t="s">
        <v>870</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8884"/>
      <c r="F7" s="8884"/>
      <c r="G7" s="8884"/>
      <c r="H7" s="8884"/>
      <c r="I7" s="8904"/>
      <c r="J7" s="8881" t="e">
        <f>I6&amp;".1"</f>
        <v>#N/A</v>
      </c>
      <c r="K7" s="1284"/>
      <c r="L7" s="1285" t="s">
        <v>871</v>
      </c>
      <c r="M7" s="460"/>
      <c r="N7" s="1287"/>
      <c r="P7" s="8882"/>
      <c r="Q7" s="8882">
        <v>1</v>
      </c>
      <c r="R7" s="278"/>
      <c r="S7" s="1258" t="e">
        <f>$J7</f>
        <v>#N/A</v>
      </c>
      <c r="T7" s="201" t="s">
        <v>872</v>
      </c>
      <c r="U7" s="214"/>
      <c r="V7" s="8872"/>
      <c r="W7" s="8873"/>
      <c r="X7" s="8873"/>
      <c r="Y7" s="8873"/>
      <c r="Z7" s="8873"/>
      <c r="AA7" s="8873"/>
      <c r="AB7" s="8873"/>
      <c r="AC7" s="8874"/>
      <c r="AD7" s="8872"/>
      <c r="AE7" s="8873"/>
      <c r="AF7" s="8873"/>
      <c r="AG7" s="8873"/>
      <c r="AH7" s="8873"/>
      <c r="AI7" s="8873"/>
      <c r="AJ7" s="8873"/>
      <c r="AK7" s="8873"/>
      <c r="AL7" s="8874"/>
      <c r="AM7" s="1182" t="s">
        <v>873</v>
      </c>
      <c r="AO7" s="424"/>
      <c r="AP7" s="424" t="str">
        <f t="shared" si="0"/>
        <v>Группа потребителей</v>
      </c>
      <c r="AQ7" s="424"/>
      <c r="AR7" s="424"/>
    </row>
    <row r="8" spans="1:44" ht="21" hidden="1" customHeight="1">
      <c r="A8" s="1284"/>
      <c r="B8" s="1284"/>
      <c r="C8" s="1284"/>
      <c r="D8" s="1284"/>
      <c r="E8" s="8884"/>
      <c r="F8" s="8884"/>
      <c r="G8" s="8884"/>
      <c r="H8" s="8884"/>
      <c r="I8" s="8904"/>
      <c r="J8" s="8904"/>
      <c r="K8" s="8881" t="e">
        <f>J7&amp;".1"</f>
        <v>#N/A</v>
      </c>
      <c r="L8" s="1285" t="s">
        <v>874</v>
      </c>
      <c r="M8" s="460"/>
      <c r="N8" s="1287"/>
      <c r="O8" s="1287"/>
      <c r="P8" s="8882"/>
      <c r="Q8" s="8882"/>
      <c r="R8" s="278">
        <v>1</v>
      </c>
      <c r="S8" s="1258" t="e">
        <f>$K8</f>
        <v>#N/A</v>
      </c>
      <c r="T8" s="1269"/>
      <c r="U8" s="214"/>
      <c r="V8" s="666"/>
      <c r="W8" s="246"/>
      <c r="X8" s="666"/>
      <c r="Y8" s="1181"/>
      <c r="Z8" s="8886"/>
      <c r="AA8" s="8734" t="s">
        <v>63</v>
      </c>
      <c r="AB8" s="8886"/>
      <c r="AC8" s="8734" t="s">
        <v>63</v>
      </c>
      <c r="AD8" s="666"/>
      <c r="AE8" s="246"/>
      <c r="AF8" s="666"/>
      <c r="AG8" s="1181"/>
      <c r="AH8" s="8886"/>
      <c r="AI8" s="8734" t="s">
        <v>63</v>
      </c>
      <c r="AJ8" s="8886"/>
      <c r="AK8" s="8734" t="s">
        <v>63</v>
      </c>
      <c r="AL8" s="246"/>
      <c r="AM8" s="8878" t="s">
        <v>875</v>
      </c>
      <c r="AN8" s="435" t="e">
        <f ca="1">STRCHECKDATE(V9:AL9)</f>
        <v>#NAME?</v>
      </c>
      <c r="AO8" s="424"/>
      <c r="AP8" s="424" t="str">
        <f t="shared" si="0"/>
        <v/>
      </c>
      <c r="AQ8" s="424"/>
      <c r="AR8" s="424"/>
    </row>
    <row r="9" spans="1:44" ht="0.75" hidden="1" customHeight="1">
      <c r="A9" s="1284"/>
      <c r="B9" s="1284"/>
      <c r="C9" s="1284"/>
      <c r="D9" s="1284"/>
      <c r="E9" s="8884"/>
      <c r="F9" s="8884"/>
      <c r="G9" s="8884"/>
      <c r="H9" s="8884"/>
      <c r="I9" s="8904"/>
      <c r="J9" s="8904"/>
      <c r="K9" s="8881"/>
      <c r="L9" s="1285"/>
      <c r="M9" s="460"/>
      <c r="N9" s="1287"/>
      <c r="O9" s="1287"/>
      <c r="P9" s="8882"/>
      <c r="Q9" s="8882"/>
      <c r="R9" s="278"/>
      <c r="S9" s="1264"/>
      <c r="T9" s="214"/>
      <c r="U9" s="214"/>
      <c r="V9" s="246"/>
      <c r="W9" s="246"/>
      <c r="X9" s="246"/>
      <c r="Y9" s="250" t="str">
        <f>Z8&amp;"-"&amp;AB8</f>
        <v>-</v>
      </c>
      <c r="Z9" s="8887"/>
      <c r="AA9" s="8734"/>
      <c r="AB9" s="8887"/>
      <c r="AC9" s="8734"/>
      <c r="AD9" s="246"/>
      <c r="AE9" s="246"/>
      <c r="AF9" s="246"/>
      <c r="AG9" s="250" t="str">
        <f>AH8&amp;"-"&amp;AJ8</f>
        <v>-</v>
      </c>
      <c r="AH9" s="8887"/>
      <c r="AI9" s="8734"/>
      <c r="AJ9" s="8887"/>
      <c r="AK9" s="8734"/>
      <c r="AL9" s="246"/>
      <c r="AM9" s="8879"/>
      <c r="AO9" s="424"/>
      <c r="AP9" s="424" t="str">
        <f t="shared" si="0"/>
        <v/>
      </c>
      <c r="AQ9" s="424"/>
      <c r="AR9" s="424"/>
    </row>
    <row r="10" spans="1:44" ht="15" hidden="1" customHeight="1">
      <c r="A10" s="1284"/>
      <c r="B10" s="1284"/>
      <c r="C10" s="1284"/>
      <c r="D10" s="1284"/>
      <c r="E10" s="8884"/>
      <c r="F10" s="8884"/>
      <c r="G10" s="8884"/>
      <c r="H10" s="8884"/>
      <c r="I10" s="8904"/>
      <c r="J10" s="8881"/>
      <c r="K10" s="1284"/>
      <c r="L10" s="1285"/>
      <c r="M10" s="460"/>
      <c r="N10" s="1287"/>
      <c r="P10" s="8882"/>
      <c r="Q10" s="8882"/>
      <c r="R10" s="277"/>
      <c r="S10" s="1203"/>
      <c r="T10" s="203" t="s">
        <v>876</v>
      </c>
      <c r="U10" s="291"/>
      <c r="V10" s="291"/>
      <c r="W10" s="291"/>
      <c r="X10" s="291"/>
      <c r="Y10" s="291"/>
      <c r="Z10" s="291"/>
      <c r="AA10" s="291"/>
      <c r="AB10" s="291"/>
      <c r="AC10" s="291"/>
      <c r="AD10" s="291"/>
      <c r="AE10" s="291"/>
      <c r="AF10" s="291"/>
      <c r="AG10" s="291"/>
      <c r="AH10" s="291"/>
      <c r="AI10" s="291"/>
      <c r="AJ10" s="291"/>
      <c r="AK10" s="291"/>
      <c r="AL10" s="245"/>
      <c r="AM10" s="8880"/>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8884"/>
      <c r="F11" s="8884"/>
      <c r="G11" s="8884"/>
      <c r="H11" s="8884"/>
      <c r="I11" s="8881"/>
      <c r="J11" s="1284"/>
      <c r="K11" s="1284"/>
      <c r="L11" s="1285"/>
      <c r="M11" s="460"/>
      <c r="P11" s="8882"/>
      <c r="Q11" s="1253"/>
      <c r="R11" s="277"/>
      <c r="S11" s="1203"/>
      <c r="T11" s="202" t="s">
        <v>877</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8884"/>
      <c r="F12" s="8884"/>
      <c r="G12" s="8884"/>
      <c r="H12" s="8883"/>
      <c r="I12" s="1284"/>
      <c r="J12" s="1284"/>
      <c r="K12" s="1284"/>
      <c r="L12" s="1285"/>
      <c r="M12" s="1286"/>
      <c r="N12" s="1286"/>
      <c r="O12" s="460"/>
      <c r="P12" s="281"/>
      <c r="Q12" s="299"/>
      <c r="R12" s="276"/>
      <c r="S12" s="1203"/>
      <c r="T12" s="288" t="s">
        <v>878</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8884"/>
      <c r="F13" s="8884"/>
      <c r="G13" s="8883"/>
      <c r="H13" s="1237"/>
      <c r="I13" s="1237"/>
      <c r="J13" s="1237"/>
      <c r="K13" s="1237"/>
      <c r="L13" s="1261"/>
      <c r="M13" s="1238"/>
      <c r="N13" s="1238"/>
      <c r="P13" s="1239"/>
      <c r="Q13" s="1240"/>
      <c r="R13" s="1239"/>
      <c r="S13" s="1241"/>
      <c r="T13" s="1242" t="s">
        <v>879</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8884"/>
      <c r="F14" s="8883"/>
      <c r="G14" s="1237"/>
      <c r="H14" s="1237"/>
      <c r="I14" s="1237"/>
      <c r="J14" s="1237"/>
      <c r="K14" s="1237"/>
      <c r="L14" s="1261"/>
      <c r="M14" s="1244"/>
      <c r="N14" s="1244"/>
      <c r="P14" s="1239"/>
      <c r="Q14" s="1240"/>
      <c r="R14" s="1239"/>
      <c r="S14" s="1245"/>
      <c r="T14" s="1246" t="s">
        <v>314</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8883"/>
      <c r="F15" s="1237"/>
      <c r="G15" s="1237"/>
      <c r="H15" s="1237"/>
      <c r="I15" s="1237"/>
      <c r="J15" s="1237"/>
      <c r="K15" s="1237"/>
      <c r="L15" s="1261"/>
      <c r="M15" s="1244"/>
      <c r="N15" s="1244"/>
      <c r="P15" s="1239"/>
      <c r="Q15" s="1240"/>
      <c r="R15" s="1239"/>
      <c r="S15" s="1245"/>
      <c r="T15" s="1248" t="s">
        <v>315</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8888"/>
      <c r="AI17" s="8889" t="s">
        <v>63</v>
      </c>
      <c r="AJ17" s="8888"/>
      <c r="AK17" s="8889" t="s">
        <v>63</v>
      </c>
    </row>
    <row r="18" spans="1:44" ht="14.25" hidden="1" customHeight="1">
      <c r="AD18" s="1281"/>
      <c r="AE18" s="1281"/>
      <c r="AF18" s="1281"/>
      <c r="AG18" s="250" t="str">
        <f>AH17&amp;"-"&amp;AJ17</f>
        <v>-</v>
      </c>
      <c r="AH18" s="8889"/>
      <c r="AI18" s="8889"/>
      <c r="AJ18" s="8889"/>
      <c r="AK18" s="8889"/>
    </row>
    <row r="19" spans="1:44" ht="14.25" hidden="1" customHeight="1">
      <c r="AK19" s="249"/>
    </row>
    <row r="20" spans="1:44" s="1287" customFormat="1" ht="22.5" hidden="1" customHeight="1">
      <c r="L20" s="1251"/>
      <c r="M20" s="1283"/>
      <c r="N20" s="1283"/>
      <c r="O20" s="1288" t="s">
        <v>880</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881</v>
      </c>
      <c r="P22" s="1283"/>
      <c r="Q22" s="1292"/>
      <c r="R22" s="1292"/>
      <c r="S22" s="646"/>
      <c r="T22" s="1065" t="s">
        <v>882</v>
      </c>
      <c r="AA22" s="104" t="s">
        <v>883</v>
      </c>
      <c r="AC22" s="104" t="s">
        <v>884</v>
      </c>
      <c r="AD22" s="1065" t="s">
        <v>882</v>
      </c>
      <c r="AI22" s="104" t="s">
        <v>885</v>
      </c>
      <c r="AK22" s="104" t="s">
        <v>884</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14.25" customHeight="1">
      <c r="Q26" s="300"/>
      <c r="R26" s="300"/>
      <c r="S26" s="88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8867"/>
      <c r="U26" s="8867"/>
      <c r="V26" s="8867"/>
      <c r="W26" s="8867"/>
      <c r="X26" s="8867"/>
      <c r="Y26" s="8867"/>
      <c r="Z26" s="8867"/>
      <c r="AA26" s="8867"/>
      <c r="AB26" s="8867"/>
      <c r="AC26" s="8867"/>
      <c r="AD26" s="8867"/>
      <c r="AE26" s="8867"/>
      <c r="AF26" s="8867"/>
      <c r="AG26" s="8867"/>
      <c r="AH26" s="8867"/>
      <c r="AI26" s="8867"/>
      <c r="AJ26" s="8867"/>
      <c r="AK26" s="1157"/>
    </row>
    <row r="27" spans="1:44" ht="14.25" customHeight="1">
      <c r="Q27" s="300"/>
      <c r="R27" s="300"/>
      <c r="S27" s="8814" t="str">
        <f>IF(org=0,"Не определено",org)</f>
        <v>ГУП СК "Ставрополькрайводоканал"</v>
      </c>
      <c r="T27" s="8814"/>
      <c r="U27" s="8814"/>
      <c r="V27" s="8814"/>
      <c r="W27" s="8814"/>
      <c r="X27" s="8814"/>
      <c r="Y27" s="8814"/>
      <c r="Z27" s="8814"/>
      <c r="AA27" s="8814"/>
      <c r="AB27" s="8814"/>
      <c r="AC27" s="8814"/>
      <c r="AD27" s="8814"/>
      <c r="AE27" s="8814"/>
      <c r="AF27" s="8814"/>
      <c r="AG27" s="8814"/>
      <c r="AH27" s="8814"/>
      <c r="AI27" s="8814"/>
      <c r="AJ27" s="8814"/>
      <c r="AK27" s="1157"/>
    </row>
    <row r="28" spans="1:44" ht="14.25" hidden="1"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hidden="1" customHeight="1">
      <c r="A29" s="1289"/>
      <c r="B29" s="1289"/>
      <c r="C29" s="1289"/>
      <c r="D29" s="1289"/>
      <c r="E29" s="1289"/>
      <c r="F29" s="1289"/>
      <c r="G29" s="1289"/>
      <c r="H29" s="1289"/>
      <c r="I29" s="1289"/>
      <c r="J29" s="1289"/>
      <c r="K29" s="1289"/>
      <c r="L29" s="1290"/>
      <c r="M29" s="1289"/>
      <c r="N29" s="1289"/>
      <c r="O29" s="1289"/>
      <c r="S29" s="8875" t="s">
        <v>38</v>
      </c>
      <c r="T29" s="8875"/>
      <c r="U29" s="1293"/>
      <c r="V29" s="8876" t="str">
        <f>IF(TITLE_NAME_OR_PR_CHANGE="",IF(TITLE_NAME_OR_PR="","",TITLE_NAME_OR_PR),TITLE_NAME_OR_PR_CHANGE)</f>
        <v/>
      </c>
      <c r="W29" s="8876"/>
      <c r="X29" s="8876"/>
      <c r="Y29" s="8876"/>
      <c r="Z29" s="8876"/>
      <c r="AA29" s="8876"/>
      <c r="AB29" s="8876"/>
      <c r="AC29" s="248"/>
      <c r="AD29" s="8876" t="str">
        <f>IF(TITLE_NAME_OR_PR_CHANGE="",IF(TITLE_NAME_OR_PR="","",TITLE_NAME_OR_PR),TITLE_NAME_OR_PR_CHANGE)</f>
        <v/>
      </c>
      <c r="AE29" s="8876"/>
      <c r="AF29" s="8876"/>
      <c r="AG29" s="8876"/>
      <c r="AH29" s="8876"/>
      <c r="AI29" s="8876"/>
      <c r="AJ29" s="8876"/>
      <c r="AK29" s="248"/>
      <c r="AL29" s="248"/>
      <c r="AM29" s="196"/>
      <c r="AN29" s="292"/>
      <c r="AO29" s="292"/>
      <c r="AP29" s="292"/>
      <c r="AQ29" s="292"/>
      <c r="AR29" s="292"/>
    </row>
    <row r="30" spans="1:44" s="1771" customFormat="1" ht="18.75" hidden="1" customHeight="1">
      <c r="A30" s="1289"/>
      <c r="B30" s="1289"/>
      <c r="C30" s="1289"/>
      <c r="D30" s="1289"/>
      <c r="E30" s="1289"/>
      <c r="F30" s="1289"/>
      <c r="G30" s="1289"/>
      <c r="H30" s="1289"/>
      <c r="I30" s="1289"/>
      <c r="J30" s="1289"/>
      <c r="K30" s="1289"/>
      <c r="L30" s="1290"/>
      <c r="M30" s="1289"/>
      <c r="N30" s="1289"/>
      <c r="O30" s="1289"/>
      <c r="S30" s="8875" t="s">
        <v>886</v>
      </c>
      <c r="T30" s="8875"/>
      <c r="U30" s="1293"/>
      <c r="V30" s="8885">
        <f>IF(TITLE_DATE_PR_CHANGE="",IF(TITLE_DATE_PR="","",TITLE_DATE_PR),TITLE_DATE_PR_CHANGE)</f>
        <v>45281.411851851852</v>
      </c>
      <c r="W30" s="8885"/>
      <c r="X30" s="8885"/>
      <c r="Y30" s="8885"/>
      <c r="Z30" s="8885"/>
      <c r="AA30" s="8885"/>
      <c r="AB30" s="8885"/>
      <c r="AC30" s="248"/>
      <c r="AD30" s="8885">
        <f>IF(TITLE_DATE_PR_CHANGE="",IF(TITLE_DATE_PR="","",TITLE_DATE_PR),TITLE_DATE_PR_CHANGE)</f>
        <v>45281.411851851852</v>
      </c>
      <c r="AE30" s="8885"/>
      <c r="AF30" s="8885"/>
      <c r="AG30" s="8885"/>
      <c r="AH30" s="8885"/>
      <c r="AI30" s="8885"/>
      <c r="AJ30" s="8885"/>
      <c r="AK30" s="248"/>
      <c r="AL30" s="248"/>
      <c r="AM30" s="196"/>
      <c r="AN30" s="292"/>
      <c r="AO30" s="292"/>
      <c r="AP30" s="292"/>
      <c r="AQ30" s="292"/>
      <c r="AR30" s="292"/>
    </row>
    <row r="31" spans="1:44" s="1771" customFormat="1" ht="18.75" hidden="1" customHeight="1">
      <c r="A31" s="1289"/>
      <c r="B31" s="1289"/>
      <c r="C31" s="1289"/>
      <c r="D31" s="1289"/>
      <c r="E31" s="1289"/>
      <c r="F31" s="1289"/>
      <c r="G31" s="1289"/>
      <c r="H31" s="1289"/>
      <c r="I31" s="1289"/>
      <c r="J31" s="1289"/>
      <c r="K31" s="1289"/>
      <c r="L31" s="1290"/>
      <c r="M31" s="1289"/>
      <c r="N31" s="1289"/>
      <c r="O31" s="1289"/>
      <c r="S31" s="8875" t="s">
        <v>887</v>
      </c>
      <c r="T31" s="8875"/>
      <c r="U31" s="1293"/>
      <c r="V31" s="8876" t="str">
        <f>IF(TITLE_NUMBER_PR_CHANGE="",IF(TITLE_NUMBER_PR="","",TITLE_NUMBER_PR),TITLE_NUMBER_PR_CHANGE)</f>
        <v>06-11/11398</v>
      </c>
      <c r="W31" s="8876"/>
      <c r="X31" s="8876"/>
      <c r="Y31" s="8876"/>
      <c r="Z31" s="8876"/>
      <c r="AA31" s="8876"/>
      <c r="AB31" s="8876"/>
      <c r="AC31" s="248"/>
      <c r="AD31" s="8876" t="str">
        <f>IF(TITLE_NUMBER_PR_CHANGE="",IF(TITLE_NUMBER_PR="","",TITLE_NUMBER_PR),TITLE_NUMBER_PR_CHANGE)</f>
        <v>06-11/11398</v>
      </c>
      <c r="AE31" s="8876"/>
      <c r="AF31" s="8876"/>
      <c r="AG31" s="8876"/>
      <c r="AH31" s="8876"/>
      <c r="AI31" s="8876"/>
      <c r="AJ31" s="8876"/>
      <c r="AK31" s="248"/>
      <c r="AL31" s="248"/>
      <c r="AM31" s="196"/>
      <c r="AN31" s="292"/>
      <c r="AO31" s="292"/>
      <c r="AP31" s="292"/>
      <c r="AQ31" s="292"/>
      <c r="AR31" s="292"/>
    </row>
    <row r="32" spans="1:44" s="1771" customFormat="1" ht="18.75" hidden="1" customHeight="1">
      <c r="A32" s="1289"/>
      <c r="B32" s="1289"/>
      <c r="C32" s="1289"/>
      <c r="D32" s="1289"/>
      <c r="E32" s="1289"/>
      <c r="F32" s="1289"/>
      <c r="G32" s="1289"/>
      <c r="H32" s="1289"/>
      <c r="I32" s="1289"/>
      <c r="J32" s="1289"/>
      <c r="K32" s="1289"/>
      <c r="L32" s="1290"/>
      <c r="M32" s="1289"/>
      <c r="N32" s="1289"/>
      <c r="O32" s="1289"/>
      <c r="S32" s="8875" t="s">
        <v>39</v>
      </c>
      <c r="T32" s="8875"/>
      <c r="U32" s="1293"/>
      <c r="V32" s="8876" t="str">
        <f>IF(TITLE_IST_PUB_CHANGE="",IF(TITLE_IST_PUB="","",TITLE_IST_PUB),TITLE_IST_PUB_CHANGE)</f>
        <v/>
      </c>
      <c r="W32" s="8876"/>
      <c r="X32" s="8876"/>
      <c r="Y32" s="8876"/>
      <c r="Z32" s="8876"/>
      <c r="AA32" s="8876"/>
      <c r="AB32" s="8876"/>
      <c r="AC32" s="248"/>
      <c r="AD32" s="8876" t="str">
        <f>IF(TITLE_IST_PUB_CHANGE="",IF(TITLE_IST_PUB="","",TITLE_IST_PUB),TITLE_IST_PUB_CHANGE)</f>
        <v/>
      </c>
      <c r="AE32" s="8876"/>
      <c r="AF32" s="8876"/>
      <c r="AG32" s="8876"/>
      <c r="AH32" s="8876"/>
      <c r="AI32" s="8876"/>
      <c r="AJ32" s="8876"/>
      <c r="AK32" s="248"/>
      <c r="AL32" s="248"/>
      <c r="AM32" s="196"/>
      <c r="AN32" s="292"/>
      <c r="AO32" s="292"/>
      <c r="AP32" s="292"/>
      <c r="AQ32" s="292"/>
      <c r="AR32" s="292"/>
    </row>
    <row r="33" spans="1:44" ht="14.25"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customHeight="1">
      <c r="A34" s="1289"/>
      <c r="B34" s="1289"/>
      <c r="C34" s="1289"/>
      <c r="D34" s="1289"/>
      <c r="E34" s="1289"/>
      <c r="F34" s="1289"/>
      <c r="G34" s="1289"/>
      <c r="H34" s="1289"/>
      <c r="I34" s="1289"/>
      <c r="J34" s="1289"/>
      <c r="K34" s="1289"/>
      <c r="L34" s="1290"/>
      <c r="M34" s="1289"/>
      <c r="N34" s="1289"/>
      <c r="O34" s="1289"/>
      <c r="S34" s="8875" t="s">
        <v>888</v>
      </c>
      <c r="T34" s="8875"/>
      <c r="U34" s="1293"/>
      <c r="V34" s="8885">
        <f>IF(TITLE_DATE_PR_CHANGE="",IF(TITLE_DATE_PR="","",TITLE_DATE_PR),TITLE_DATE_PR_CHANGE)</f>
        <v>45281.411851851852</v>
      </c>
      <c r="W34" s="8885"/>
      <c r="X34" s="8885"/>
      <c r="Y34" s="8885"/>
      <c r="Z34" s="8885"/>
      <c r="AA34" s="8885"/>
      <c r="AB34" s="8885"/>
      <c r="AC34" s="248"/>
      <c r="AD34" s="8885">
        <f>IF(TITLE_DATE_PR_CHANGE="",IF(TITLE_DATE_PR="","",TITLE_DATE_PR),TITLE_DATE_PR_CHANGE)</f>
        <v>45281.411851851852</v>
      </c>
      <c r="AE34" s="8885"/>
      <c r="AF34" s="8885"/>
      <c r="AG34" s="8885"/>
      <c r="AH34" s="8885"/>
      <c r="AI34" s="8885"/>
      <c r="AJ34" s="8885"/>
      <c r="AK34" s="248"/>
      <c r="AL34" s="248"/>
      <c r="AM34" s="196"/>
      <c r="AN34" s="292"/>
      <c r="AO34" s="292"/>
      <c r="AP34" s="292"/>
      <c r="AQ34" s="292"/>
      <c r="AR34" s="292"/>
    </row>
    <row r="35" spans="1:44" s="1771" customFormat="1" ht="18.75" customHeight="1">
      <c r="A35" s="1289"/>
      <c r="B35" s="1289"/>
      <c r="C35" s="1289"/>
      <c r="D35" s="1289"/>
      <c r="E35" s="1289"/>
      <c r="F35" s="1289"/>
      <c r="G35" s="1289"/>
      <c r="H35" s="1289"/>
      <c r="I35" s="1289"/>
      <c r="J35" s="1289"/>
      <c r="K35" s="1289"/>
      <c r="L35" s="1290"/>
      <c r="M35" s="1289"/>
      <c r="N35" s="1289"/>
      <c r="O35" s="1289"/>
      <c r="S35" s="8875" t="s">
        <v>889</v>
      </c>
      <c r="T35" s="8875"/>
      <c r="U35" s="1293"/>
      <c r="V35" s="8876" t="str">
        <f>IF(TITLE_NUMBER_PR_CHANGE="",IF(TITLE_NUMBER_PR="","",TITLE_NUMBER_PR),TITLE_NUMBER_PR_CHANGE)</f>
        <v>06-11/11398</v>
      </c>
      <c r="W35" s="8876"/>
      <c r="X35" s="8876"/>
      <c r="Y35" s="8876"/>
      <c r="Z35" s="8876"/>
      <c r="AA35" s="8876"/>
      <c r="AB35" s="8876"/>
      <c r="AC35" s="248"/>
      <c r="AD35" s="8876" t="str">
        <f>IF(TITLE_NUMBER_PR_CHANGE="",IF(TITLE_NUMBER_PR="","",TITLE_NUMBER_PR),TITLE_NUMBER_PR_CHANGE)</f>
        <v>06-11/11398</v>
      </c>
      <c r="AE35" s="8876"/>
      <c r="AF35" s="8876"/>
      <c r="AG35" s="8876"/>
      <c r="AH35" s="8876"/>
      <c r="AI35" s="8876"/>
      <c r="AJ35" s="8876"/>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890</v>
      </c>
      <c r="AD36" s="248"/>
      <c r="AE36" s="248"/>
      <c r="AF36" s="248"/>
      <c r="AG36" s="248"/>
      <c r="AH36" s="248"/>
      <c r="AI36" s="248"/>
      <c r="AJ36" s="248"/>
      <c r="AK36" s="194" t="s">
        <v>890</v>
      </c>
      <c r="AN36" s="292"/>
      <c r="AO36" s="292"/>
      <c r="AP36" s="292"/>
      <c r="AQ36" s="292"/>
      <c r="AR36" s="292"/>
    </row>
    <row r="37" spans="1:44" ht="14.25" customHeight="1">
      <c r="Q37" s="300"/>
      <c r="R37" s="300"/>
      <c r="S37" s="1200"/>
      <c r="T37" s="286"/>
      <c r="U37" s="1158"/>
      <c r="V37" s="8877"/>
      <c r="W37" s="8877"/>
      <c r="X37" s="8877"/>
      <c r="Y37" s="8877"/>
      <c r="Z37" s="8877"/>
      <c r="AA37" s="8877"/>
      <c r="AB37" s="8877"/>
      <c r="AC37" s="8877"/>
      <c r="AD37" s="8877"/>
      <c r="AE37" s="8877"/>
      <c r="AF37" s="8877"/>
      <c r="AG37" s="8877"/>
      <c r="AH37" s="8877"/>
      <c r="AI37" s="8877"/>
      <c r="AJ37" s="8877"/>
      <c r="AK37" s="8877"/>
    </row>
    <row r="38" spans="1:44" ht="14.25" customHeight="1">
      <c r="Q38" s="300"/>
      <c r="R38" s="300"/>
      <c r="S38" s="8753" t="s">
        <v>763</v>
      </c>
      <c r="T38" s="8753"/>
      <c r="U38" s="8753"/>
      <c r="V38" s="8753"/>
      <c r="W38" s="8753"/>
      <c r="X38" s="8753"/>
      <c r="Y38" s="8753"/>
      <c r="Z38" s="8753"/>
      <c r="AA38" s="8753"/>
      <c r="AB38" s="8753"/>
      <c r="AC38" s="8753"/>
      <c r="AD38" s="8753"/>
      <c r="AE38" s="8753"/>
      <c r="AF38" s="8753"/>
      <c r="AG38" s="8753"/>
      <c r="AH38" s="8753"/>
      <c r="AI38" s="8753"/>
      <c r="AJ38" s="8753"/>
      <c r="AK38" s="8753"/>
      <c r="AL38" s="8753"/>
      <c r="AM38" s="8753" t="s">
        <v>764</v>
      </c>
    </row>
    <row r="39" spans="1:44" ht="14.25" customHeight="1">
      <c r="Q39" s="300"/>
      <c r="R39" s="300"/>
      <c r="S39" s="8891" t="s">
        <v>84</v>
      </c>
      <c r="T39" s="8843" t="s">
        <v>891</v>
      </c>
      <c r="U39" s="215"/>
      <c r="V39" s="8892" t="s">
        <v>892</v>
      </c>
      <c r="W39" s="8893"/>
      <c r="X39" s="8893"/>
      <c r="Y39" s="8893"/>
      <c r="Z39" s="8893"/>
      <c r="AA39" s="8893"/>
      <c r="AB39" s="8894"/>
      <c r="AC39" s="8895" t="s">
        <v>893</v>
      </c>
      <c r="AD39" s="8892" t="s">
        <v>892</v>
      </c>
      <c r="AE39" s="8893"/>
      <c r="AF39" s="8893"/>
      <c r="AG39" s="8893"/>
      <c r="AH39" s="8893"/>
      <c r="AI39" s="8893"/>
      <c r="AJ39" s="8894"/>
      <c r="AK39" s="8895" t="s">
        <v>894</v>
      </c>
      <c r="AL39" s="8898" t="s">
        <v>895</v>
      </c>
      <c r="AM39" s="8753"/>
    </row>
    <row r="40" spans="1:44" ht="33.75" customHeight="1">
      <c r="Q40" s="300"/>
      <c r="R40" s="300"/>
      <c r="S40" s="8891"/>
      <c r="T40" s="8843"/>
      <c r="U40" s="942"/>
      <c r="V40" s="8813" t="s">
        <v>896</v>
      </c>
      <c r="W40" s="8901" t="s">
        <v>897</v>
      </c>
      <c r="X40" s="8724" t="s">
        <v>898</v>
      </c>
      <c r="Y40" s="8723"/>
      <c r="Z40" s="8724" t="s">
        <v>911</v>
      </c>
      <c r="AA40" s="8729"/>
      <c r="AB40" s="8723"/>
      <c r="AC40" s="8896"/>
      <c r="AD40" s="8813" t="s">
        <v>896</v>
      </c>
      <c r="AE40" s="8901" t="s">
        <v>897</v>
      </c>
      <c r="AF40" s="8724" t="s">
        <v>898</v>
      </c>
      <c r="AG40" s="8723"/>
      <c r="AH40" s="8724" t="s">
        <v>899</v>
      </c>
      <c r="AI40" s="8729"/>
      <c r="AJ40" s="8723"/>
      <c r="AK40" s="8896"/>
      <c r="AL40" s="8899"/>
      <c r="AM40" s="8753"/>
    </row>
    <row r="41" spans="1:44" ht="33.75" customHeight="1">
      <c r="A41" s="1291"/>
      <c r="B41" s="1291" t="s">
        <v>223</v>
      </c>
      <c r="C41" s="1291" t="s">
        <v>224</v>
      </c>
      <c r="D41" s="1291" t="s">
        <v>225</v>
      </c>
      <c r="E41" s="1285" t="s">
        <v>900</v>
      </c>
      <c r="F41" s="1285" t="s">
        <v>901</v>
      </c>
      <c r="G41" s="1285" t="s">
        <v>902</v>
      </c>
      <c r="H41" s="1285" t="s">
        <v>903</v>
      </c>
      <c r="I41" s="1285" t="s">
        <v>904</v>
      </c>
      <c r="J41" s="1285" t="s">
        <v>905</v>
      </c>
      <c r="K41" s="1285" t="s">
        <v>906</v>
      </c>
      <c r="L41" s="1285" t="s">
        <v>881</v>
      </c>
      <c r="Q41" s="300"/>
      <c r="R41" s="300"/>
      <c r="S41" s="8891"/>
      <c r="T41" s="8843"/>
      <c r="U41" s="216"/>
      <c r="V41" s="8862"/>
      <c r="W41" s="8902"/>
      <c r="X41" s="1133" t="s">
        <v>907</v>
      </c>
      <c r="Y41" s="1133" t="s">
        <v>908</v>
      </c>
      <c r="Z41" s="1260" t="s">
        <v>909</v>
      </c>
      <c r="AA41" s="8851" t="s">
        <v>910</v>
      </c>
      <c r="AB41" s="8853"/>
      <c r="AC41" s="8897"/>
      <c r="AD41" s="8862"/>
      <c r="AE41" s="8902"/>
      <c r="AF41" s="1133" t="s">
        <v>907</v>
      </c>
      <c r="AG41" s="1133" t="s">
        <v>908</v>
      </c>
      <c r="AH41" s="1260" t="s">
        <v>909</v>
      </c>
      <c r="AI41" s="8851" t="s">
        <v>910</v>
      </c>
      <c r="AJ41" s="8853"/>
      <c r="AK41" s="8897"/>
      <c r="AL41" s="8900"/>
      <c r="AM41" s="875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95</v>
      </c>
      <c r="T42" s="1177" t="s">
        <v>99</v>
      </c>
      <c r="U42" s="1159" t="str">
        <f ca="1">OFFSET(U42,0,-1)</f>
        <v>2</v>
      </c>
      <c r="V42" s="1257">
        <f ca="1">OFFSET(V42,0,-1)+1</f>
        <v>3</v>
      </c>
      <c r="W42" s="1257"/>
      <c r="X42" s="1257">
        <f ca="1">OFFSET(X42,0,-1)+1</f>
        <v>1</v>
      </c>
      <c r="Y42" s="1257">
        <f ca="1">OFFSET(Y42,0,-1)+1</f>
        <v>2</v>
      </c>
      <c r="Z42" s="1257">
        <f ca="1">OFFSET(Z42,0,-1)+1</f>
        <v>3</v>
      </c>
      <c r="AA42" s="8890">
        <f ca="1">OFFSET(AA42,0,-1)+1</f>
        <v>4</v>
      </c>
      <c r="AB42" s="8890"/>
      <c r="AC42" s="1257">
        <f ca="1">OFFSET(AC42,0,-2)+1</f>
        <v>5</v>
      </c>
      <c r="AD42" s="1257">
        <f ca="1">OFFSET(AD42,0,-1)+1</f>
        <v>6</v>
      </c>
      <c r="AE42" s="1257"/>
      <c r="AF42" s="1257">
        <f ca="1">OFFSET(AF42,0,-1)+1</f>
        <v>1</v>
      </c>
      <c r="AG42" s="1257">
        <f ca="1">OFFSET(AG42,0,-1)+1</f>
        <v>2</v>
      </c>
      <c r="AH42" s="1257">
        <f ca="1">OFFSET(AH42,0,-1)+1</f>
        <v>3</v>
      </c>
      <c r="AI42" s="8890">
        <f ca="1">OFFSET(AI42,0,-1)+1</f>
        <v>4</v>
      </c>
      <c r="AJ42" s="8890"/>
      <c r="AK42" s="1257">
        <f ca="1">OFFSET(AK42,0,-2)+1</f>
        <v>5</v>
      </c>
      <c r="AL42" s="1159">
        <f ca="1">OFFSET(AL42,0,-1)</f>
        <v>5</v>
      </c>
      <c r="AM42" s="1257">
        <f ca="1">OFFSET(AM42,0,-1)+1</f>
        <v>6</v>
      </c>
      <c r="AN42" s="435"/>
      <c r="AO42" s="435"/>
      <c r="AP42" s="435"/>
      <c r="AQ42" s="435"/>
      <c r="AR42" s="435"/>
    </row>
    <row r="43" spans="1:44" ht="21" customHeight="1">
      <c r="A43" s="1284" t="s">
        <v>244</v>
      </c>
      <c r="B43" s="1284"/>
      <c r="C43" s="1284"/>
      <c r="D43" s="1284"/>
      <c r="E43" s="8883">
        <v>1</v>
      </c>
      <c r="F43" s="1284"/>
      <c r="G43" s="1284"/>
      <c r="H43" s="1284"/>
      <c r="I43" s="1284"/>
      <c r="J43" s="1284"/>
      <c r="K43" s="1284"/>
      <c r="L43" s="1285"/>
      <c r="M43" s="1286"/>
      <c r="N43" s="1286"/>
      <c r="O43" s="1286"/>
      <c r="P43" s="282"/>
      <c r="Q43" s="281"/>
      <c r="R43" s="276"/>
      <c r="S43" s="1258">
        <f>INDEX(PT_DIFFERENTIATION_NUM_NTAR,MATCH(A43,PT_DIFFERENTIATION_NTAR_ID,0))</f>
        <v>0</v>
      </c>
      <c r="T43" s="212" t="s">
        <v>211</v>
      </c>
      <c r="U43" s="214"/>
      <c r="V43" s="8869"/>
      <c r="W43" s="8870"/>
      <c r="X43" s="8870"/>
      <c r="Y43" s="8870"/>
      <c r="Z43" s="8870"/>
      <c r="AA43" s="8870"/>
      <c r="AB43" s="8870"/>
      <c r="AC43" s="8871"/>
      <c r="AD43" s="8869" t="str">
        <f>INDEX(PT_DIFFERENTIATION_NTAR,MATCH(A43,PT_DIFFERENTIATION_NTAR_ID,0))</f>
        <v/>
      </c>
      <c r="AE43" s="8870"/>
      <c r="AF43" s="8870"/>
      <c r="AG43" s="8870"/>
      <c r="AH43" s="8870"/>
      <c r="AI43" s="8870"/>
      <c r="AJ43" s="8870"/>
      <c r="AK43" s="8870"/>
      <c r="AL43" s="887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4"/>
      <c r="AP43" s="424" t="str">
        <f t="shared" ref="AP43:AP57" si="1">IF(T43="","",T43)</f>
        <v>Наименование тарифа</v>
      </c>
      <c r="AQ43" s="424"/>
      <c r="AR43" s="424"/>
    </row>
    <row r="44" spans="1:44" ht="21" customHeight="1">
      <c r="A44" s="1284" t="s">
        <v>244</v>
      </c>
      <c r="B44" s="1284" t="s">
        <v>245</v>
      </c>
      <c r="C44" s="1284"/>
      <c r="D44" s="1284"/>
      <c r="E44" s="8884"/>
      <c r="F44" s="8883">
        <v>1</v>
      </c>
      <c r="G44" s="1284"/>
      <c r="H44" s="1284"/>
      <c r="I44" s="1284"/>
      <c r="J44" s="1284"/>
      <c r="K44" s="1284"/>
      <c r="L44" s="1285"/>
      <c r="M44" s="1286"/>
      <c r="N44" s="1286"/>
      <c r="O44" s="1286"/>
      <c r="P44" s="1254"/>
      <c r="Q44" s="273"/>
      <c r="R44" s="274"/>
      <c r="S44" s="1258" t="str">
        <f>INDEX(PT_DIFFERENTIATION_NUM_TER,MATCH(B44,PT_DIFFERENTIATION_TER_ID,0))</f>
        <v>.</v>
      </c>
      <c r="T44" s="224" t="s">
        <v>862</v>
      </c>
      <c r="U44" s="214"/>
      <c r="V44" s="8869"/>
      <c r="W44" s="8870"/>
      <c r="X44" s="8870"/>
      <c r="Y44" s="8870"/>
      <c r="Z44" s="8870"/>
      <c r="AA44" s="8870"/>
      <c r="AB44" s="8870"/>
      <c r="AC44" s="8871"/>
      <c r="AD44" s="8869" t="str">
        <f>INDEX(PT_DIFFERENTIATION_TER,MATCH(B44,PT_DIFFERENTIATION_TER_ID,0))</f>
        <v/>
      </c>
      <c r="AE44" s="8870"/>
      <c r="AF44" s="8870"/>
      <c r="AG44" s="8870"/>
      <c r="AH44" s="8870"/>
      <c r="AI44" s="8870"/>
      <c r="AJ44" s="8870"/>
      <c r="AK44" s="8870"/>
      <c r="AL44" s="8871"/>
      <c r="AM44" s="1182" t="s">
        <v>863</v>
      </c>
      <c r="AO44" s="424"/>
      <c r="AP44" s="424" t="str">
        <f t="shared" si="1"/>
        <v>Территория действия тарифа</v>
      </c>
      <c r="AQ44" s="424"/>
      <c r="AR44" s="424"/>
    </row>
    <row r="45" spans="1:44" ht="23.25" customHeight="1">
      <c r="A45" s="1284" t="s">
        <v>244</v>
      </c>
      <c r="B45" s="1284" t="s">
        <v>245</v>
      </c>
      <c r="C45" s="1284" t="s">
        <v>246</v>
      </c>
      <c r="D45" s="1284"/>
      <c r="E45" s="8884"/>
      <c r="F45" s="8884"/>
      <c r="G45" s="8883">
        <v>1</v>
      </c>
      <c r="H45" s="1284"/>
      <c r="I45" s="1284"/>
      <c r="J45" s="1284"/>
      <c r="K45" s="1284"/>
      <c r="L45" s="1285"/>
      <c r="M45" s="1286"/>
      <c r="N45" s="1286"/>
      <c r="O45" s="1286"/>
      <c r="P45" s="275"/>
      <c r="Q45" s="273"/>
      <c r="R45" s="274"/>
      <c r="S45" s="1258" t="str">
        <f>INDEX(PT_DIFFERENTIATION_NUM_CS,MATCH(C45,PT_DIFFERENTIATION_CS_ID,0))</f>
        <v>..</v>
      </c>
      <c r="T45" s="225" t="s">
        <v>864</v>
      </c>
      <c r="U45" s="214"/>
      <c r="V45" s="8869"/>
      <c r="W45" s="8870"/>
      <c r="X45" s="8870"/>
      <c r="Y45" s="8870"/>
      <c r="Z45" s="8870"/>
      <c r="AA45" s="8870"/>
      <c r="AB45" s="8870"/>
      <c r="AC45" s="8871"/>
      <c r="AD45" s="8869" t="str">
        <f>INDEX(PT_DIFFERENTIATION_CS,MATCH(C45,PT_DIFFERENTIATION_CS_ID,0))</f>
        <v/>
      </c>
      <c r="AE45" s="8870"/>
      <c r="AF45" s="8870"/>
      <c r="AG45" s="8870"/>
      <c r="AH45" s="8870"/>
      <c r="AI45" s="8870"/>
      <c r="AJ45" s="8870"/>
      <c r="AK45" s="8870"/>
      <c r="AL45" s="8871"/>
      <c r="AM45" s="1182" t="s">
        <v>865</v>
      </c>
      <c r="AO45" s="424"/>
      <c r="AP45" s="424" t="str">
        <f t="shared" si="1"/>
        <v xml:space="preserve">Наименование системы теплоснабжения </v>
      </c>
      <c r="AQ45" s="424"/>
      <c r="AR45" s="424"/>
    </row>
    <row r="46" spans="1:44" ht="21" customHeight="1">
      <c r="A46" s="1284" t="s">
        <v>244</v>
      </c>
      <c r="B46" s="1284" t="s">
        <v>245</v>
      </c>
      <c r="C46" s="1284" t="s">
        <v>246</v>
      </c>
      <c r="D46" s="1284" t="s">
        <v>247</v>
      </c>
      <c r="E46" s="8884"/>
      <c r="F46" s="8884"/>
      <c r="G46" s="8884"/>
      <c r="H46" s="8883">
        <v>1</v>
      </c>
      <c r="I46" s="1284"/>
      <c r="J46" s="1284"/>
      <c r="K46" s="1284"/>
      <c r="L46" s="1285"/>
      <c r="M46" s="1286"/>
      <c r="N46" s="1286"/>
      <c r="O46" s="1286"/>
      <c r="P46" s="275"/>
      <c r="Q46" s="273"/>
      <c r="R46" s="274"/>
      <c r="S46" s="1258" t="str">
        <f>INDEX(PT_DIFFERENTIATION_NUM_IST_TE,MATCH(D46,PT_DIFFERENTIATION_IST_TE_ID,0))</f>
        <v>...</v>
      </c>
      <c r="T46" s="226" t="s">
        <v>866</v>
      </c>
      <c r="U46" s="214"/>
      <c r="V46" s="8869"/>
      <c r="W46" s="8870"/>
      <c r="X46" s="8870"/>
      <c r="Y46" s="8870"/>
      <c r="Z46" s="8870"/>
      <c r="AA46" s="8870"/>
      <c r="AB46" s="8870"/>
      <c r="AC46" s="8871"/>
      <c r="AD46" s="8869" t="str">
        <f>INDEX(PT_DIFFERENTIATION_IST_TE,MATCH(D46,PT_DIFFERENTIATION_IST_TE_ID,0))</f>
        <v/>
      </c>
      <c r="AE46" s="8870"/>
      <c r="AF46" s="8870"/>
      <c r="AG46" s="8870"/>
      <c r="AH46" s="8870"/>
      <c r="AI46" s="8870"/>
      <c r="AJ46" s="8870"/>
      <c r="AK46" s="8870"/>
      <c r="AL46" s="8871"/>
      <c r="AM46" s="1182" t="s">
        <v>867</v>
      </c>
      <c r="AO46" s="424"/>
      <c r="AP46" s="424" t="str">
        <f t="shared" si="1"/>
        <v xml:space="preserve">Источник тепловой энергии  </v>
      </c>
      <c r="AQ46" s="424"/>
      <c r="AR46" s="424"/>
    </row>
    <row r="47" spans="1:44" ht="47.25" customHeight="1">
      <c r="A47" s="1284" t="s">
        <v>244</v>
      </c>
      <c r="B47" s="1284" t="s">
        <v>245</v>
      </c>
      <c r="C47" s="1284" t="s">
        <v>246</v>
      </c>
      <c r="D47" s="1284" t="s">
        <v>247</v>
      </c>
      <c r="E47" s="8884"/>
      <c r="F47" s="8884"/>
      <c r="G47" s="8884"/>
      <c r="H47" s="8884"/>
      <c r="I47" s="8881" t="str">
        <f>S46&amp;".1"</f>
        <v>....1</v>
      </c>
      <c r="J47" s="1284"/>
      <c r="K47" s="1284"/>
      <c r="L47" s="1285" t="s">
        <v>868</v>
      </c>
      <c r="P47" s="8882">
        <v>1</v>
      </c>
      <c r="Q47" s="1253"/>
      <c r="R47" s="277"/>
      <c r="S47" s="1258" t="str">
        <f>$I47</f>
        <v>....1</v>
      </c>
      <c r="T47" s="200" t="s">
        <v>869</v>
      </c>
      <c r="U47" s="214"/>
      <c r="V47" s="8872"/>
      <c r="W47" s="8873"/>
      <c r="X47" s="8873"/>
      <c r="Y47" s="8873"/>
      <c r="Z47" s="8873"/>
      <c r="AA47" s="8873"/>
      <c r="AB47" s="8873"/>
      <c r="AC47" s="8874"/>
      <c r="AD47" s="8872"/>
      <c r="AE47" s="8873"/>
      <c r="AF47" s="8873"/>
      <c r="AG47" s="8873"/>
      <c r="AH47" s="8873"/>
      <c r="AI47" s="8873"/>
      <c r="AJ47" s="8873"/>
      <c r="AK47" s="8873"/>
      <c r="AL47" s="8874"/>
      <c r="AM47" s="1182" t="s">
        <v>870</v>
      </c>
      <c r="AO47" s="424"/>
      <c r="AP47" s="424" t="str">
        <f t="shared" si="1"/>
        <v>Схема подключения теплопотребляющей установки к коллектору источника тепловой энергии</v>
      </c>
      <c r="AQ47" s="424"/>
      <c r="AR47" s="424"/>
    </row>
    <row r="48" spans="1:44" ht="21" customHeight="1">
      <c r="A48" s="1284" t="s">
        <v>244</v>
      </c>
      <c r="B48" s="1284" t="s">
        <v>245</v>
      </c>
      <c r="C48" s="1284" t="s">
        <v>246</v>
      </c>
      <c r="D48" s="1284" t="s">
        <v>247</v>
      </c>
      <c r="E48" s="8884"/>
      <c r="F48" s="8884"/>
      <c r="G48" s="8884"/>
      <c r="H48" s="8884"/>
      <c r="I48" s="8904"/>
      <c r="J48" s="8881" t="str">
        <f>I47&amp;".1"</f>
        <v>....1.1</v>
      </c>
      <c r="K48" s="1284"/>
      <c r="L48" s="1285" t="s">
        <v>871</v>
      </c>
      <c r="P48" s="8882"/>
      <c r="Q48" s="8882">
        <v>1</v>
      </c>
      <c r="R48" s="278"/>
      <c r="S48" s="1258" t="str">
        <f>$J48</f>
        <v>....1.1</v>
      </c>
      <c r="T48" s="201" t="s">
        <v>872</v>
      </c>
      <c r="U48" s="214"/>
      <c r="V48" s="8872"/>
      <c r="W48" s="8873"/>
      <c r="X48" s="8873"/>
      <c r="Y48" s="8873"/>
      <c r="Z48" s="8873"/>
      <c r="AA48" s="8873"/>
      <c r="AB48" s="8873"/>
      <c r="AC48" s="8874"/>
      <c r="AD48" s="8872"/>
      <c r="AE48" s="8873"/>
      <c r="AF48" s="8873"/>
      <c r="AG48" s="8873"/>
      <c r="AH48" s="8873"/>
      <c r="AI48" s="8873"/>
      <c r="AJ48" s="8873"/>
      <c r="AK48" s="8873"/>
      <c r="AL48" s="8874"/>
      <c r="AM48" s="1182" t="s">
        <v>873</v>
      </c>
      <c r="AO48" s="424"/>
      <c r="AP48" s="424" t="str">
        <f t="shared" si="1"/>
        <v>Группа потребителей</v>
      </c>
      <c r="AQ48" s="424"/>
      <c r="AR48" s="424"/>
    </row>
    <row r="49" spans="1:44" ht="21" customHeight="1">
      <c r="A49" s="1284" t="s">
        <v>244</v>
      </c>
      <c r="B49" s="1284" t="s">
        <v>245</v>
      </c>
      <c r="C49" s="1284" t="s">
        <v>246</v>
      </c>
      <c r="D49" s="1284" t="s">
        <v>247</v>
      </c>
      <c r="E49" s="8884"/>
      <c r="F49" s="8884"/>
      <c r="G49" s="8884"/>
      <c r="H49" s="8884"/>
      <c r="I49" s="8904"/>
      <c r="J49" s="8904"/>
      <c r="K49" s="8881" t="str">
        <f>J48&amp;".1"</f>
        <v>....1.1.1</v>
      </c>
      <c r="L49" s="1285" t="s">
        <v>874</v>
      </c>
      <c r="P49" s="8882"/>
      <c r="Q49" s="8882"/>
      <c r="R49" s="278">
        <v>1</v>
      </c>
      <c r="S49" s="1258" t="str">
        <f>$K49</f>
        <v>....1.1.1</v>
      </c>
      <c r="T49" s="1269"/>
      <c r="U49" s="214"/>
      <c r="V49" s="666"/>
      <c r="W49" s="246"/>
      <c r="X49" s="666"/>
      <c r="Y49" s="1181"/>
      <c r="Z49" s="8886"/>
      <c r="AA49" s="8734" t="s">
        <v>63</v>
      </c>
      <c r="AB49" s="8886"/>
      <c r="AC49" s="8734" t="s">
        <v>63</v>
      </c>
      <c r="AD49" s="666"/>
      <c r="AE49" s="246"/>
      <c r="AF49" s="666"/>
      <c r="AG49" s="1181"/>
      <c r="AH49" s="8886"/>
      <c r="AI49" s="8734" t="s">
        <v>63</v>
      </c>
      <c r="AJ49" s="8905"/>
      <c r="AK49" s="8734" t="s">
        <v>63</v>
      </c>
      <c r="AL49" s="1270"/>
      <c r="AM49" s="8878" t="s">
        <v>875</v>
      </c>
      <c r="AN49" s="435" t="e">
        <f ca="1">STRCHECKDATE(V50:AL50)</f>
        <v>#NAME?</v>
      </c>
      <c r="AO49" s="424"/>
      <c r="AP49" s="424" t="str">
        <f t="shared" si="1"/>
        <v/>
      </c>
      <c r="AQ49" s="424"/>
      <c r="AR49" s="424"/>
    </row>
    <row r="50" spans="1:44" ht="0.75" customHeight="1">
      <c r="A50" s="1284" t="s">
        <v>244</v>
      </c>
      <c r="B50" s="1284" t="s">
        <v>245</v>
      </c>
      <c r="C50" s="1284" t="s">
        <v>246</v>
      </c>
      <c r="D50" s="1284" t="s">
        <v>247</v>
      </c>
      <c r="E50" s="8884"/>
      <c r="F50" s="8884"/>
      <c r="G50" s="8884"/>
      <c r="H50" s="8884"/>
      <c r="I50" s="8904"/>
      <c r="J50" s="8904"/>
      <c r="K50" s="8881"/>
      <c r="L50" s="1285"/>
      <c r="P50" s="8882"/>
      <c r="Q50" s="8882"/>
      <c r="R50" s="278"/>
      <c r="S50" s="1264"/>
      <c r="T50" s="214"/>
      <c r="U50" s="214"/>
      <c r="V50" s="246"/>
      <c r="W50" s="246"/>
      <c r="X50" s="246"/>
      <c r="Y50" s="250" t="str">
        <f>Z49&amp;"-"&amp;AB49</f>
        <v>-</v>
      </c>
      <c r="Z50" s="8887"/>
      <c r="AA50" s="8734"/>
      <c r="AB50" s="8887"/>
      <c r="AC50" s="8734"/>
      <c r="AD50" s="246"/>
      <c r="AE50" s="246"/>
      <c r="AF50" s="246"/>
      <c r="AG50" s="250" t="str">
        <f>AH49&amp;"-"&amp;AJ49</f>
        <v>-</v>
      </c>
      <c r="AH50" s="8887"/>
      <c r="AI50" s="8734"/>
      <c r="AJ50" s="8906"/>
      <c r="AK50" s="8734"/>
      <c r="AL50" s="1271"/>
      <c r="AM50" s="8879"/>
      <c r="AO50" s="424"/>
      <c r="AP50" s="424" t="str">
        <f t="shared" si="1"/>
        <v/>
      </c>
      <c r="AQ50" s="424"/>
      <c r="AR50" s="424"/>
    </row>
    <row r="51" spans="1:44" ht="11.25" customHeight="1">
      <c r="A51" s="1284" t="s">
        <v>244</v>
      </c>
      <c r="B51" s="1284" t="s">
        <v>245</v>
      </c>
      <c r="C51" s="1284" t="s">
        <v>246</v>
      </c>
      <c r="D51" s="1284" t="s">
        <v>247</v>
      </c>
      <c r="E51" s="8884"/>
      <c r="F51" s="8884"/>
      <c r="G51" s="8884"/>
      <c r="H51" s="8884"/>
      <c r="I51" s="8904"/>
      <c r="J51" s="8881"/>
      <c r="K51" s="1284"/>
      <c r="L51" s="1285"/>
      <c r="P51" s="8882"/>
      <c r="Q51" s="8882"/>
      <c r="R51" s="277"/>
      <c r="S51" s="1203"/>
      <c r="T51" s="203" t="s">
        <v>876</v>
      </c>
      <c r="U51" s="291"/>
      <c r="V51" s="291"/>
      <c r="W51" s="291"/>
      <c r="X51" s="291"/>
      <c r="Y51" s="291"/>
      <c r="Z51" s="291"/>
      <c r="AA51" s="291"/>
      <c r="AB51" s="291"/>
      <c r="AC51" s="291"/>
      <c r="AD51" s="291"/>
      <c r="AE51" s="291"/>
      <c r="AF51" s="291"/>
      <c r="AG51" s="291"/>
      <c r="AH51" s="291"/>
      <c r="AI51" s="291"/>
      <c r="AJ51" s="291"/>
      <c r="AK51" s="291"/>
      <c r="AL51" s="245"/>
      <c r="AM51" s="8880"/>
      <c r="AO51" s="424"/>
      <c r="AP51" s="424" t="str">
        <f t="shared" si="1"/>
        <v>Добавить вид теплоносителя (параметры теплоносителя)</v>
      </c>
      <c r="AQ51" s="424"/>
      <c r="AR51" s="424"/>
    </row>
    <row r="52" spans="1:44" ht="11.25" customHeight="1">
      <c r="A52" s="1284" t="s">
        <v>244</v>
      </c>
      <c r="B52" s="1284" t="s">
        <v>245</v>
      </c>
      <c r="C52" s="1284" t="s">
        <v>246</v>
      </c>
      <c r="D52" s="1284" t="s">
        <v>247</v>
      </c>
      <c r="E52" s="8884"/>
      <c r="F52" s="8884"/>
      <c r="G52" s="8884"/>
      <c r="H52" s="8884"/>
      <c r="I52" s="8881"/>
      <c r="J52" s="1284"/>
      <c r="K52" s="1284"/>
      <c r="L52" s="1285"/>
      <c r="P52" s="8882"/>
      <c r="Q52" s="1253"/>
      <c r="R52" s="277"/>
      <c r="S52" s="1203"/>
      <c r="T52" s="202" t="s">
        <v>877</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244</v>
      </c>
      <c r="B53" s="1284" t="s">
        <v>245</v>
      </c>
      <c r="C53" s="1284" t="s">
        <v>246</v>
      </c>
      <c r="D53" s="1284" t="s">
        <v>247</v>
      </c>
      <c r="E53" s="8884"/>
      <c r="F53" s="8884"/>
      <c r="G53" s="8884"/>
      <c r="H53" s="8883"/>
      <c r="I53" s="1284"/>
      <c r="J53" s="1284"/>
      <c r="K53" s="1284"/>
      <c r="L53" s="1285"/>
      <c r="M53" s="1286"/>
      <c r="N53" s="1286"/>
      <c r="O53" s="460"/>
      <c r="P53" s="281"/>
      <c r="Q53" s="299"/>
      <c r="R53" s="276"/>
      <c r="S53" s="1203"/>
      <c r="T53" s="288" t="s">
        <v>878</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244</v>
      </c>
      <c r="B54" s="1265" t="s">
        <v>245</v>
      </c>
      <c r="C54" s="1265" t="s">
        <v>246</v>
      </c>
      <c r="D54" s="1237"/>
      <c r="E54" s="8884"/>
      <c r="F54" s="8884"/>
      <c r="G54" s="8883"/>
      <c r="H54" s="1237"/>
      <c r="I54" s="1237"/>
      <c r="J54" s="1237"/>
      <c r="K54" s="1237"/>
      <c r="L54" s="1261"/>
      <c r="M54" s="1238"/>
      <c r="N54" s="1238"/>
      <c r="P54" s="1239"/>
      <c r="Q54" s="1240"/>
      <c r="R54" s="1239"/>
      <c r="S54" s="1245"/>
      <c r="T54" s="1248" t="s">
        <v>879</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244</v>
      </c>
      <c r="B55" s="1265" t="s">
        <v>245</v>
      </c>
      <c r="C55" s="1237"/>
      <c r="D55" s="1237"/>
      <c r="E55" s="8884"/>
      <c r="F55" s="8883"/>
      <c r="G55" s="1237"/>
      <c r="H55" s="1237"/>
      <c r="I55" s="1237"/>
      <c r="J55" s="1237"/>
      <c r="K55" s="1237"/>
      <c r="L55" s="1261"/>
      <c r="M55" s="1244"/>
      <c r="N55" s="1244"/>
      <c r="P55" s="1239"/>
      <c r="Q55" s="1240"/>
      <c r="R55" s="1239"/>
      <c r="S55" s="1245"/>
      <c r="T55" s="1248" t="s">
        <v>314</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244</v>
      </c>
      <c r="B56" s="1265"/>
      <c r="C56" s="1265"/>
      <c r="D56" s="1265"/>
      <c r="E56" s="8883"/>
      <c r="F56" s="1265"/>
      <c r="G56" s="1265"/>
      <c r="H56" s="1265"/>
      <c r="I56" s="1265"/>
      <c r="J56" s="1265"/>
      <c r="K56" s="1265"/>
      <c r="L56" s="1268"/>
      <c r="M56" s="1244"/>
      <c r="N56" s="1244"/>
      <c r="O56" s="442"/>
      <c r="P56" s="308"/>
      <c r="Q56" s="1266"/>
      <c r="R56" s="308"/>
      <c r="S56" s="1245"/>
      <c r="T56" s="1248" t="s">
        <v>315</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706</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8903"/>
      <c r="U59" s="8903"/>
      <c r="V59" s="8903"/>
      <c r="W59" s="8903"/>
      <c r="X59" s="8903"/>
      <c r="Y59" s="8903"/>
      <c r="Z59" s="8903"/>
      <c r="AA59" s="8903"/>
      <c r="AB59" s="8903"/>
      <c r="AC59" s="8903"/>
      <c r="AD59" s="8903"/>
      <c r="AE59" s="8903"/>
      <c r="AF59" s="8903"/>
      <c r="AG59" s="8903"/>
      <c r="AH59" s="8903"/>
      <c r="AI59" s="8903"/>
      <c r="AJ59" s="8903"/>
      <c r="AK59" s="8903"/>
      <c r="AL59" s="8903"/>
      <c r="AM59" s="8903"/>
    </row>
    <row r="60" spans="1:44" ht="62.25" customHeight="1">
      <c r="O60" s="460"/>
      <c r="T60" s="8903"/>
      <c r="U60" s="8903"/>
      <c r="V60" s="8903"/>
      <c r="W60" s="8903"/>
      <c r="X60" s="8903"/>
      <c r="Y60" s="8903"/>
      <c r="Z60" s="8903"/>
      <c r="AA60" s="8903"/>
      <c r="AB60" s="8903"/>
      <c r="AC60" s="8903"/>
      <c r="AD60" s="8903"/>
      <c r="AE60" s="8903"/>
      <c r="AF60" s="8903"/>
      <c r="AG60" s="8903"/>
      <c r="AH60" s="8903"/>
      <c r="AI60" s="8903"/>
      <c r="AJ60" s="8903"/>
      <c r="AK60" s="8903"/>
      <c r="AL60" s="8903"/>
      <c r="AM60" s="8903"/>
    </row>
    <row r="61" spans="1:44" ht="14.25" customHeight="1">
      <c r="O61" s="460"/>
    </row>
    <row r="62" spans="1:44" ht="18" customHeight="1">
      <c r="O62" s="460"/>
      <c r="S62" s="1169"/>
      <c r="T62" s="8903"/>
      <c r="U62" s="8903"/>
      <c r="V62" s="8903"/>
      <c r="W62" s="8903"/>
      <c r="X62" s="8903"/>
      <c r="Y62" s="8903"/>
      <c r="Z62" s="8903"/>
      <c r="AA62" s="8903"/>
      <c r="AB62" s="8903"/>
      <c r="AC62" s="8903"/>
      <c r="AD62" s="8903"/>
      <c r="AE62" s="8903"/>
      <c r="AF62" s="8903"/>
      <c r="AG62" s="8903"/>
      <c r="AH62" s="8903"/>
      <c r="AI62" s="8903"/>
      <c r="AJ62" s="8903"/>
      <c r="AK62" s="8903"/>
      <c r="AL62" s="8903"/>
      <c r="AM62" s="8903"/>
    </row>
    <row r="63" spans="1:44" ht="18" customHeight="1">
      <c r="O63" s="460"/>
      <c r="T63" s="8903"/>
      <c r="U63" s="8903"/>
      <c r="V63" s="8903"/>
      <c r="W63" s="8903"/>
      <c r="X63" s="8903"/>
      <c r="Y63" s="8903"/>
      <c r="Z63" s="8903"/>
      <c r="AA63" s="8903"/>
      <c r="AB63" s="8903"/>
      <c r="AC63" s="8903"/>
      <c r="AD63" s="8903"/>
      <c r="AE63" s="8903"/>
      <c r="AF63" s="8903"/>
      <c r="AG63" s="8903"/>
      <c r="AH63" s="8903"/>
      <c r="AI63" s="8903"/>
      <c r="AJ63" s="8903"/>
      <c r="AK63" s="8903"/>
      <c r="AL63" s="8903"/>
      <c r="AM63" s="8903"/>
    </row>
    <row r="64" spans="1:44" ht="27.75" customHeight="1">
      <c r="O64" s="460"/>
      <c r="S64" s="1169"/>
      <c r="T64" s="8903"/>
      <c r="U64" s="8903"/>
      <c r="V64" s="8903"/>
      <c r="W64" s="8903"/>
      <c r="X64" s="8903"/>
      <c r="Y64" s="8903"/>
      <c r="Z64" s="8903"/>
      <c r="AA64" s="8903"/>
      <c r="AB64" s="8903"/>
      <c r="AC64" s="8903"/>
      <c r="AD64" s="8903"/>
      <c r="AE64" s="8903"/>
      <c r="AF64" s="8903"/>
      <c r="AG64" s="8903"/>
      <c r="AH64" s="8903"/>
      <c r="AI64" s="8903"/>
      <c r="AJ64" s="8903"/>
      <c r="AK64" s="8903"/>
      <c r="AL64" s="8903"/>
      <c r="AM64" s="8903"/>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2" style="1555" customWidth="1"/>
    <col min="21" max="21" width="0.7109375" style="1555" hidden="1" customWidth="1"/>
    <col min="22" max="22" width="1.7109375" style="1555" hidden="1" customWidth="1"/>
    <col min="23" max="23" width="24.7109375" style="1555" hidden="1" customWidth="1"/>
    <col min="24" max="25" width="0.14062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0.140625" style="1555" customWidth="1"/>
    <col min="31" max="31" width="24.7109375" style="1555" customWidth="1"/>
    <col min="32" max="33" width="0.14062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8883">
        <v>1</v>
      </c>
      <c r="F2" s="1284"/>
      <c r="G2" s="1284"/>
      <c r="H2" s="1284"/>
      <c r="I2" s="1284"/>
      <c r="J2" s="1284"/>
      <c r="K2" s="1284"/>
      <c r="L2" s="1285"/>
      <c r="M2" s="1286"/>
      <c r="N2" s="1286"/>
      <c r="O2" s="1286"/>
      <c r="P2" s="282"/>
      <c r="Q2" s="281"/>
      <c r="R2" s="276"/>
      <c r="S2" s="1258" t="e">
        <f>INDEX(PT_DIFFERENTIATION_NUM_NTAR,MATCH(A2,PT_DIFFERENTIATION_NTAR_ID,0))</f>
        <v>#N/A</v>
      </c>
      <c r="T2" s="212" t="s">
        <v>211</v>
      </c>
      <c r="U2" s="214"/>
      <c r="V2" s="8869"/>
      <c r="W2" s="8870"/>
      <c r="X2" s="8870"/>
      <c r="Y2" s="8870"/>
      <c r="Z2" s="8870"/>
      <c r="AA2" s="8870"/>
      <c r="AB2" s="8870"/>
      <c r="AC2" s="8871"/>
      <c r="AD2" s="8869" t="e">
        <f>INDEX(PT_DIFFERENTIATION_NTAR,MATCH(A2,PT_DIFFERENTIATION_NTAR_ID,0))</f>
        <v>#N/A</v>
      </c>
      <c r="AE2" s="8870"/>
      <c r="AF2" s="8870"/>
      <c r="AG2" s="8870"/>
      <c r="AH2" s="8870"/>
      <c r="AI2" s="8870"/>
      <c r="AJ2" s="8870"/>
      <c r="AK2" s="8870"/>
      <c r="AL2" s="8871"/>
      <c r="AM2" s="1182" t="s">
        <v>861</v>
      </c>
      <c r="AO2" s="424"/>
      <c r="AP2" s="424" t="str">
        <f t="shared" ref="AP2:AP15" si="0">IF(T2="","",T2)</f>
        <v>Наименование тарифа</v>
      </c>
      <c r="AQ2" s="424"/>
      <c r="AR2" s="424"/>
    </row>
    <row r="3" spans="1:44" ht="21" hidden="1" customHeight="1">
      <c r="A3" s="1284"/>
      <c r="B3" s="1284"/>
      <c r="C3" s="1284"/>
      <c r="D3" s="1284"/>
      <c r="E3" s="8884"/>
      <c r="F3" s="8883">
        <v>1</v>
      </c>
      <c r="G3" s="1284"/>
      <c r="H3" s="1284"/>
      <c r="I3" s="1284"/>
      <c r="J3" s="1284"/>
      <c r="K3" s="1284"/>
      <c r="L3" s="1285"/>
      <c r="M3" s="1286"/>
      <c r="N3" s="1286"/>
      <c r="O3" s="1286"/>
      <c r="P3" s="1254"/>
      <c r="Q3" s="273"/>
      <c r="R3" s="274"/>
      <c r="S3" s="1258" t="e">
        <f>INDEX(PT_DIFFERENTIATION_NUM_TER,MATCH(B3,PT_DIFFERENTIATION_TER_ID,0))</f>
        <v>#N/A</v>
      </c>
      <c r="T3" s="224" t="s">
        <v>862</v>
      </c>
      <c r="U3" s="214"/>
      <c r="V3" s="8869"/>
      <c r="W3" s="8870"/>
      <c r="X3" s="8870"/>
      <c r="Y3" s="8870"/>
      <c r="Z3" s="8870"/>
      <c r="AA3" s="8870"/>
      <c r="AB3" s="8870"/>
      <c r="AC3" s="8871"/>
      <c r="AD3" s="8869" t="e">
        <f>INDEX(PT_DIFFERENTIATION_TER,MATCH(B3,PT_DIFFERENTIATION_TER_ID,0))</f>
        <v>#N/A</v>
      </c>
      <c r="AE3" s="8870"/>
      <c r="AF3" s="8870"/>
      <c r="AG3" s="8870"/>
      <c r="AH3" s="8870"/>
      <c r="AI3" s="8870"/>
      <c r="AJ3" s="8870"/>
      <c r="AK3" s="8870"/>
      <c r="AL3" s="8871"/>
      <c r="AM3" s="1182" t="s">
        <v>863</v>
      </c>
      <c r="AO3" s="424"/>
      <c r="AP3" s="424" t="str">
        <f t="shared" si="0"/>
        <v>Территория действия тарифа</v>
      </c>
      <c r="AQ3" s="424"/>
      <c r="AR3" s="424"/>
    </row>
    <row r="4" spans="1:44" ht="23.25" hidden="1" customHeight="1">
      <c r="A4" s="1284"/>
      <c r="B4" s="1284"/>
      <c r="C4" s="1284"/>
      <c r="D4" s="1284"/>
      <c r="E4" s="8884"/>
      <c r="F4" s="8884"/>
      <c r="G4" s="8883">
        <v>1</v>
      </c>
      <c r="H4" s="1284"/>
      <c r="I4" s="1284"/>
      <c r="J4" s="1284"/>
      <c r="K4" s="1284"/>
      <c r="L4" s="1285"/>
      <c r="M4" s="1286"/>
      <c r="N4" s="1286"/>
      <c r="O4" s="1286"/>
      <c r="P4" s="275"/>
      <c r="Q4" s="273"/>
      <c r="R4" s="274"/>
      <c r="S4" s="1258" t="e">
        <f>INDEX(PT_DIFFERENTIATION_NUM_CS,MATCH(C4,PT_DIFFERENTIATION_CS_ID,0))</f>
        <v>#N/A</v>
      </c>
      <c r="T4" s="225" t="s">
        <v>864</v>
      </c>
      <c r="U4" s="214"/>
      <c r="V4" s="8869"/>
      <c r="W4" s="8870"/>
      <c r="X4" s="8870"/>
      <c r="Y4" s="8870"/>
      <c r="Z4" s="8870"/>
      <c r="AA4" s="8870"/>
      <c r="AB4" s="8870"/>
      <c r="AC4" s="8871"/>
      <c r="AD4" s="8869" t="e">
        <f>INDEX(PT_DIFFERENTIATION_CS,MATCH(C4,PT_DIFFERENTIATION_CS_ID,0))</f>
        <v>#N/A</v>
      </c>
      <c r="AE4" s="8870"/>
      <c r="AF4" s="8870"/>
      <c r="AG4" s="8870"/>
      <c r="AH4" s="8870"/>
      <c r="AI4" s="8870"/>
      <c r="AJ4" s="8870"/>
      <c r="AK4" s="8870"/>
      <c r="AL4" s="8871"/>
      <c r="AM4" s="1182" t="s">
        <v>865</v>
      </c>
      <c r="AO4" s="424"/>
      <c r="AP4" s="424" t="str">
        <f t="shared" si="0"/>
        <v xml:space="preserve">Наименование системы теплоснабжения </v>
      </c>
      <c r="AQ4" s="424"/>
      <c r="AR4" s="424"/>
    </row>
    <row r="5" spans="1:44" ht="21" hidden="1" customHeight="1">
      <c r="A5" s="1284"/>
      <c r="B5" s="1284"/>
      <c r="C5" s="1284"/>
      <c r="D5" s="1284"/>
      <c r="E5" s="8884"/>
      <c r="F5" s="8884"/>
      <c r="G5" s="8884"/>
      <c r="H5" s="8883">
        <v>1</v>
      </c>
      <c r="I5" s="1284"/>
      <c r="J5" s="1284"/>
      <c r="K5" s="1284"/>
      <c r="L5" s="1285"/>
      <c r="M5" s="1286"/>
      <c r="N5" s="1286"/>
      <c r="O5" s="1286"/>
      <c r="P5" s="275"/>
      <c r="Q5" s="273"/>
      <c r="R5" s="274"/>
      <c r="S5" s="1258" t="e">
        <f>INDEX(PT_DIFFERENTIATION_NUM_IST_TE,MATCH(D5,PT_DIFFERENTIATION_IST_TE_ID,0))</f>
        <v>#N/A</v>
      </c>
      <c r="T5" s="226" t="s">
        <v>866</v>
      </c>
      <c r="U5" s="214"/>
      <c r="V5" s="8869"/>
      <c r="W5" s="8870"/>
      <c r="X5" s="8870"/>
      <c r="Y5" s="8870"/>
      <c r="Z5" s="8870"/>
      <c r="AA5" s="8870"/>
      <c r="AB5" s="8870"/>
      <c r="AC5" s="8871"/>
      <c r="AD5" s="8869" t="e">
        <f>INDEX(PT_DIFFERENTIATION_IST_TE,MATCH(D5,PT_DIFFERENTIATION_IST_TE_ID,0))</f>
        <v>#N/A</v>
      </c>
      <c r="AE5" s="8870"/>
      <c r="AF5" s="8870"/>
      <c r="AG5" s="8870"/>
      <c r="AH5" s="8870"/>
      <c r="AI5" s="8870"/>
      <c r="AJ5" s="8870"/>
      <c r="AK5" s="8870"/>
      <c r="AL5" s="8871"/>
      <c r="AM5" s="1182" t="s">
        <v>867</v>
      </c>
      <c r="AO5" s="424"/>
      <c r="AP5" s="424" t="str">
        <f t="shared" si="0"/>
        <v xml:space="preserve">Источник тепловой энергии  </v>
      </c>
      <c r="AQ5" s="424"/>
      <c r="AR5" s="424"/>
    </row>
    <row r="6" spans="1:44" ht="47.25" hidden="1" customHeight="1">
      <c r="A6" s="1284"/>
      <c r="B6" s="1284"/>
      <c r="C6" s="1284"/>
      <c r="D6" s="1284"/>
      <c r="E6" s="8884"/>
      <c r="F6" s="8884"/>
      <c r="G6" s="8884"/>
      <c r="H6" s="8884"/>
      <c r="I6" s="8881" t="e">
        <f>S5&amp;".1"</f>
        <v>#N/A</v>
      </c>
      <c r="J6" s="1284"/>
      <c r="K6" s="1284"/>
      <c r="L6" s="1285" t="s">
        <v>868</v>
      </c>
      <c r="M6" s="460"/>
      <c r="P6" s="8882">
        <v>1</v>
      </c>
      <c r="Q6" s="1253"/>
      <c r="R6" s="277"/>
      <c r="S6" s="1258" t="e">
        <f>$I6</f>
        <v>#N/A</v>
      </c>
      <c r="T6" s="200" t="s">
        <v>869</v>
      </c>
      <c r="U6" s="214"/>
      <c r="V6" s="8872"/>
      <c r="W6" s="8873"/>
      <c r="X6" s="8873"/>
      <c r="Y6" s="8873"/>
      <c r="Z6" s="8873"/>
      <c r="AA6" s="8873"/>
      <c r="AB6" s="8873"/>
      <c r="AC6" s="8874"/>
      <c r="AD6" s="8872"/>
      <c r="AE6" s="8873"/>
      <c r="AF6" s="8873"/>
      <c r="AG6" s="8873"/>
      <c r="AH6" s="8873"/>
      <c r="AI6" s="8873"/>
      <c r="AJ6" s="8873"/>
      <c r="AK6" s="8873"/>
      <c r="AL6" s="8874"/>
      <c r="AM6" s="1182" t="s">
        <v>870</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8884"/>
      <c r="F7" s="8884"/>
      <c r="G7" s="8884"/>
      <c r="H7" s="8884"/>
      <c r="I7" s="8904"/>
      <c r="J7" s="8881" t="e">
        <f>I6&amp;".1"</f>
        <v>#N/A</v>
      </c>
      <c r="K7" s="1284"/>
      <c r="L7" s="1285" t="s">
        <v>871</v>
      </c>
      <c r="M7" s="460"/>
      <c r="N7" s="1287"/>
      <c r="P7" s="8882"/>
      <c r="Q7" s="8882">
        <v>1</v>
      </c>
      <c r="R7" s="278"/>
      <c r="S7" s="1258" t="e">
        <f>$J7</f>
        <v>#N/A</v>
      </c>
      <c r="T7" s="201" t="s">
        <v>872</v>
      </c>
      <c r="U7" s="214"/>
      <c r="V7" s="8872"/>
      <c r="W7" s="8873"/>
      <c r="X7" s="8873"/>
      <c r="Y7" s="8873"/>
      <c r="Z7" s="8873"/>
      <c r="AA7" s="8873"/>
      <c r="AB7" s="8873"/>
      <c r="AC7" s="8874"/>
      <c r="AD7" s="8872"/>
      <c r="AE7" s="8873"/>
      <c r="AF7" s="8873"/>
      <c r="AG7" s="8873"/>
      <c r="AH7" s="8873"/>
      <c r="AI7" s="8873"/>
      <c r="AJ7" s="8873"/>
      <c r="AK7" s="8873"/>
      <c r="AL7" s="8874"/>
      <c r="AM7" s="1182" t="s">
        <v>873</v>
      </c>
      <c r="AO7" s="424"/>
      <c r="AP7" s="424" t="str">
        <f t="shared" si="0"/>
        <v>Группа потребителей</v>
      </c>
      <c r="AQ7" s="424"/>
      <c r="AR7" s="424"/>
    </row>
    <row r="8" spans="1:44" ht="21" hidden="1" customHeight="1">
      <c r="A8" s="1284"/>
      <c r="B8" s="1284"/>
      <c r="C8" s="1284"/>
      <c r="D8" s="1284"/>
      <c r="E8" s="8884"/>
      <c r="F8" s="8884"/>
      <c r="G8" s="8884"/>
      <c r="H8" s="8884"/>
      <c r="I8" s="8904"/>
      <c r="J8" s="8904"/>
      <c r="K8" s="8881" t="e">
        <f>J7&amp;".1"</f>
        <v>#N/A</v>
      </c>
      <c r="L8" s="1285" t="s">
        <v>874</v>
      </c>
      <c r="M8" s="460"/>
      <c r="N8" s="1287"/>
      <c r="O8" s="1287"/>
      <c r="P8" s="8882"/>
      <c r="Q8" s="8882"/>
      <c r="R8" s="278">
        <v>1</v>
      </c>
      <c r="S8" s="1258" t="e">
        <f>$K8</f>
        <v>#N/A</v>
      </c>
      <c r="T8" s="1269"/>
      <c r="U8" s="214"/>
      <c r="V8" s="246"/>
      <c r="W8" s="666"/>
      <c r="X8" s="246"/>
      <c r="Y8" s="313"/>
      <c r="Z8" s="8886"/>
      <c r="AA8" s="8734" t="s">
        <v>63</v>
      </c>
      <c r="AB8" s="8886"/>
      <c r="AC8" s="8734" t="s">
        <v>63</v>
      </c>
      <c r="AD8" s="246"/>
      <c r="AE8" s="666"/>
      <c r="AF8" s="246"/>
      <c r="AG8" s="313"/>
      <c r="AH8" s="8886"/>
      <c r="AI8" s="8734" t="s">
        <v>63</v>
      </c>
      <c r="AJ8" s="8886"/>
      <c r="AK8" s="8734" t="s">
        <v>63</v>
      </c>
      <c r="AL8" s="246"/>
      <c r="AM8" s="8878" t="s">
        <v>875</v>
      </c>
      <c r="AN8" s="435" t="e">
        <f ca="1">STRCHECKDATE(V9:AL9)</f>
        <v>#NAME?</v>
      </c>
      <c r="AO8" s="424"/>
      <c r="AP8" s="424" t="str">
        <f t="shared" si="0"/>
        <v/>
      </c>
      <c r="AQ8" s="424"/>
      <c r="AR8" s="424"/>
    </row>
    <row r="9" spans="1:44" ht="0.75" hidden="1" customHeight="1">
      <c r="A9" s="1284"/>
      <c r="B9" s="1284"/>
      <c r="C9" s="1284"/>
      <c r="D9" s="1284"/>
      <c r="E9" s="8884"/>
      <c r="F9" s="8884"/>
      <c r="G9" s="8884"/>
      <c r="H9" s="8884"/>
      <c r="I9" s="8904"/>
      <c r="J9" s="8904"/>
      <c r="K9" s="8881"/>
      <c r="L9" s="1285"/>
      <c r="M9" s="460"/>
      <c r="N9" s="1287"/>
      <c r="O9" s="1287"/>
      <c r="P9" s="8882"/>
      <c r="Q9" s="8882"/>
      <c r="R9" s="278"/>
      <c r="S9" s="1264"/>
      <c r="T9" s="214"/>
      <c r="U9" s="214"/>
      <c r="V9" s="246"/>
      <c r="W9" s="246"/>
      <c r="X9" s="246"/>
      <c r="Y9" s="250" t="str">
        <f>Z8&amp;"-"&amp;AB8</f>
        <v>-</v>
      </c>
      <c r="Z9" s="8887"/>
      <c r="AA9" s="8734"/>
      <c r="AB9" s="8887"/>
      <c r="AC9" s="8734"/>
      <c r="AD9" s="246"/>
      <c r="AE9" s="246"/>
      <c r="AF9" s="246"/>
      <c r="AG9" s="250" t="str">
        <f>AH8&amp;"-"&amp;AJ8</f>
        <v>-</v>
      </c>
      <c r="AH9" s="8887"/>
      <c r="AI9" s="8734"/>
      <c r="AJ9" s="8887"/>
      <c r="AK9" s="8734"/>
      <c r="AL9" s="246"/>
      <c r="AM9" s="8879"/>
      <c r="AO9" s="424"/>
      <c r="AP9" s="424" t="str">
        <f t="shared" si="0"/>
        <v/>
      </c>
      <c r="AQ9" s="424"/>
      <c r="AR9" s="424"/>
    </row>
    <row r="10" spans="1:44" ht="15" hidden="1" customHeight="1">
      <c r="A10" s="1284"/>
      <c r="B10" s="1284"/>
      <c r="C10" s="1284"/>
      <c r="D10" s="1284"/>
      <c r="E10" s="8884"/>
      <c r="F10" s="8884"/>
      <c r="G10" s="8884"/>
      <c r="H10" s="8884"/>
      <c r="I10" s="8904"/>
      <c r="J10" s="8881"/>
      <c r="K10" s="1284"/>
      <c r="L10" s="1285"/>
      <c r="M10" s="460"/>
      <c r="N10" s="1287"/>
      <c r="P10" s="8882"/>
      <c r="Q10" s="8882"/>
      <c r="R10" s="277"/>
      <c r="S10" s="1203"/>
      <c r="T10" s="203" t="s">
        <v>876</v>
      </c>
      <c r="U10" s="291"/>
      <c r="V10" s="291"/>
      <c r="W10" s="291"/>
      <c r="X10" s="291"/>
      <c r="Y10" s="291"/>
      <c r="Z10" s="291"/>
      <c r="AA10" s="291"/>
      <c r="AB10" s="291"/>
      <c r="AC10" s="291"/>
      <c r="AD10" s="291"/>
      <c r="AE10" s="291"/>
      <c r="AF10" s="291"/>
      <c r="AG10" s="291"/>
      <c r="AH10" s="291"/>
      <c r="AI10" s="291"/>
      <c r="AJ10" s="291"/>
      <c r="AK10" s="291"/>
      <c r="AL10" s="245"/>
      <c r="AM10" s="8880"/>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8884"/>
      <c r="F11" s="8884"/>
      <c r="G11" s="8884"/>
      <c r="H11" s="8884"/>
      <c r="I11" s="8881"/>
      <c r="J11" s="1284"/>
      <c r="K11" s="1284"/>
      <c r="L11" s="1285"/>
      <c r="M11" s="460"/>
      <c r="P11" s="8882"/>
      <c r="Q11" s="1253"/>
      <c r="R11" s="277"/>
      <c r="S11" s="1203"/>
      <c r="T11" s="202" t="s">
        <v>877</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8884"/>
      <c r="F12" s="8884"/>
      <c r="G12" s="8884"/>
      <c r="H12" s="8883"/>
      <c r="I12" s="1284"/>
      <c r="J12" s="1284"/>
      <c r="K12" s="1284"/>
      <c r="L12" s="1285"/>
      <c r="M12" s="1286"/>
      <c r="N12" s="1286"/>
      <c r="O12" s="460"/>
      <c r="P12" s="281"/>
      <c r="Q12" s="299"/>
      <c r="R12" s="276"/>
      <c r="S12" s="1203"/>
      <c r="T12" s="288" t="s">
        <v>878</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8884"/>
      <c r="F13" s="8884"/>
      <c r="G13" s="8883"/>
      <c r="H13" s="1237"/>
      <c r="I13" s="1237"/>
      <c r="J13" s="1237"/>
      <c r="K13" s="1237"/>
      <c r="L13" s="1261"/>
      <c r="M13" s="1238"/>
      <c r="N13" s="1238"/>
      <c r="P13" s="1239"/>
      <c r="Q13" s="1240"/>
      <c r="R13" s="1239"/>
      <c r="S13" s="1241"/>
      <c r="T13" s="1242" t="s">
        <v>879</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8884"/>
      <c r="F14" s="8883"/>
      <c r="G14" s="1237"/>
      <c r="H14" s="1237"/>
      <c r="I14" s="1237"/>
      <c r="J14" s="1237"/>
      <c r="K14" s="1237"/>
      <c r="L14" s="1261"/>
      <c r="M14" s="1244"/>
      <c r="N14" s="1244"/>
      <c r="P14" s="1239"/>
      <c r="Q14" s="1240"/>
      <c r="R14" s="1239"/>
      <c r="S14" s="1245"/>
      <c r="T14" s="1246" t="s">
        <v>314</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8883"/>
      <c r="F15" s="1237"/>
      <c r="G15" s="1237"/>
      <c r="H15" s="1237"/>
      <c r="I15" s="1237"/>
      <c r="J15" s="1237"/>
      <c r="K15" s="1237"/>
      <c r="L15" s="1261"/>
      <c r="M15" s="1244"/>
      <c r="N15" s="1244"/>
      <c r="P15" s="1239"/>
      <c r="Q15" s="1240"/>
      <c r="R15" s="1239"/>
      <c r="S15" s="1245"/>
      <c r="T15" s="1248" t="s">
        <v>315</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8888"/>
      <c r="AI17" s="8889" t="s">
        <v>63</v>
      </c>
      <c r="AJ17" s="8888"/>
      <c r="AK17" s="8889" t="s">
        <v>63</v>
      </c>
    </row>
    <row r="18" spans="1:44" ht="14.25" hidden="1" customHeight="1">
      <c r="AD18" s="1281"/>
      <c r="AE18" s="1281"/>
      <c r="AF18" s="1281"/>
      <c r="AG18" s="250" t="str">
        <f>AH17&amp;"-"&amp;AJ17</f>
        <v>-</v>
      </c>
      <c r="AH18" s="8889"/>
      <c r="AI18" s="8889"/>
      <c r="AJ18" s="8889"/>
      <c r="AK18" s="8889"/>
    </row>
    <row r="19" spans="1:44" ht="14.25" hidden="1" customHeight="1">
      <c r="AK19" s="249"/>
    </row>
    <row r="20" spans="1:44" s="1287" customFormat="1" ht="22.5" hidden="1" customHeight="1">
      <c r="L20" s="1251"/>
      <c r="M20" s="1283"/>
      <c r="N20" s="1283"/>
      <c r="O20" s="1288" t="s">
        <v>880</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33.75" hidden="1" customHeight="1">
      <c r="L22" s="1251"/>
      <c r="M22" s="1283"/>
      <c r="N22" s="1283"/>
      <c r="O22" s="1285" t="s">
        <v>881</v>
      </c>
      <c r="P22" s="1283"/>
      <c r="Q22" s="1292"/>
      <c r="R22" s="1292"/>
      <c r="S22" s="646"/>
      <c r="T22" s="1065" t="s">
        <v>882</v>
      </c>
      <c r="AA22" s="104" t="s">
        <v>883</v>
      </c>
      <c r="AC22" s="104" t="s">
        <v>884</v>
      </c>
      <c r="AD22" s="1065" t="s">
        <v>882</v>
      </c>
      <c r="AI22" s="104" t="s">
        <v>885</v>
      </c>
      <c r="AK22" s="104" t="s">
        <v>884</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27.75" customHeight="1">
      <c r="Q26" s="300"/>
      <c r="R26" s="300"/>
      <c r="S26" s="88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8867"/>
      <c r="U26" s="8867"/>
      <c r="V26" s="8867"/>
      <c r="W26" s="8867"/>
      <c r="X26" s="8867"/>
      <c r="Y26" s="8867"/>
      <c r="Z26" s="8867"/>
      <c r="AA26" s="8867"/>
      <c r="AB26" s="8867"/>
      <c r="AC26" s="8867"/>
      <c r="AD26" s="8867"/>
      <c r="AE26" s="8867"/>
      <c r="AF26" s="8867"/>
      <c r="AG26" s="8867"/>
      <c r="AH26" s="8867"/>
      <c r="AI26" s="8867"/>
      <c r="AJ26" s="8867"/>
      <c r="AK26" s="1157"/>
    </row>
    <row r="27" spans="1:44" ht="14.25" customHeight="1">
      <c r="Q27" s="300"/>
      <c r="R27" s="300"/>
      <c r="S27" s="8814" t="str">
        <f>IF(org=0,"Не определено",org)</f>
        <v>ГУП СК "Ставрополькрайводоканал"</v>
      </c>
      <c r="T27" s="8814"/>
      <c r="U27" s="8814"/>
      <c r="V27" s="8814"/>
      <c r="W27" s="8814"/>
      <c r="X27" s="8814"/>
      <c r="Y27" s="8814"/>
      <c r="Z27" s="8814"/>
      <c r="AA27" s="8814"/>
      <c r="AB27" s="8814"/>
      <c r="AC27" s="8814"/>
      <c r="AD27" s="8814"/>
      <c r="AE27" s="8814"/>
      <c r="AF27" s="8814"/>
      <c r="AG27" s="8814"/>
      <c r="AH27" s="8814"/>
      <c r="AI27" s="8814"/>
      <c r="AJ27" s="8814"/>
      <c r="AK27" s="1157"/>
    </row>
    <row r="28" spans="1:44" ht="14.25" hidden="1"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hidden="1" customHeight="1">
      <c r="A29" s="1289"/>
      <c r="B29" s="1289"/>
      <c r="C29" s="1289"/>
      <c r="D29" s="1289"/>
      <c r="E29" s="1289"/>
      <c r="F29" s="1289"/>
      <c r="G29" s="1289"/>
      <c r="H29" s="1289"/>
      <c r="I29" s="1289"/>
      <c r="J29" s="1289"/>
      <c r="K29" s="1289"/>
      <c r="L29" s="1290"/>
      <c r="M29" s="1289"/>
      <c r="N29" s="1289"/>
      <c r="O29" s="1289"/>
      <c r="S29" s="8875" t="s">
        <v>38</v>
      </c>
      <c r="T29" s="8875"/>
      <c r="U29" s="1293"/>
      <c r="V29" s="8876" t="str">
        <f>IF(TITLE_NAME_OR_PR_CHANGE="",IF(TITLE_NAME_OR_PR="","",TITLE_NAME_OR_PR),TITLE_NAME_OR_PR_CHANGE)</f>
        <v/>
      </c>
      <c r="W29" s="8876"/>
      <c r="X29" s="8876"/>
      <c r="Y29" s="8876"/>
      <c r="Z29" s="8876"/>
      <c r="AA29" s="8876"/>
      <c r="AB29" s="8876"/>
      <c r="AC29" s="248"/>
      <c r="AD29" s="8876" t="str">
        <f>IF(TITLE_NAME_OR_PR_CHANGE="",IF(TITLE_NAME_OR_PR="","",TITLE_NAME_OR_PR),TITLE_NAME_OR_PR_CHANGE)</f>
        <v/>
      </c>
      <c r="AE29" s="8876"/>
      <c r="AF29" s="8876"/>
      <c r="AG29" s="8876"/>
      <c r="AH29" s="8876"/>
      <c r="AI29" s="8876"/>
      <c r="AJ29" s="8876"/>
      <c r="AK29" s="248"/>
      <c r="AL29" s="248"/>
      <c r="AM29" s="196"/>
      <c r="AN29" s="292"/>
      <c r="AO29" s="292"/>
      <c r="AP29" s="292"/>
      <c r="AQ29" s="292"/>
      <c r="AR29" s="292"/>
    </row>
    <row r="30" spans="1:44" s="1771" customFormat="1" ht="18.75" hidden="1" customHeight="1">
      <c r="A30" s="1289"/>
      <c r="B30" s="1289"/>
      <c r="C30" s="1289"/>
      <c r="D30" s="1289"/>
      <c r="E30" s="1289"/>
      <c r="F30" s="1289"/>
      <c r="G30" s="1289"/>
      <c r="H30" s="1289"/>
      <c r="I30" s="1289"/>
      <c r="J30" s="1289"/>
      <c r="K30" s="1289"/>
      <c r="L30" s="1290"/>
      <c r="M30" s="1289"/>
      <c r="N30" s="1289"/>
      <c r="O30" s="1289"/>
      <c r="S30" s="8875" t="s">
        <v>886</v>
      </c>
      <c r="T30" s="8875"/>
      <c r="U30" s="1293"/>
      <c r="V30" s="8885">
        <f>IF(TITLE_DATE_PR_CHANGE="",IF(TITLE_DATE_PR="","",TITLE_DATE_PR),TITLE_DATE_PR_CHANGE)</f>
        <v>45281.411851851852</v>
      </c>
      <c r="W30" s="8885"/>
      <c r="X30" s="8885"/>
      <c r="Y30" s="8885"/>
      <c r="Z30" s="8885"/>
      <c r="AA30" s="8885"/>
      <c r="AB30" s="8885"/>
      <c r="AC30" s="248"/>
      <c r="AD30" s="8885">
        <f>IF(TITLE_DATE_PR_CHANGE="",IF(TITLE_DATE_PR="","",TITLE_DATE_PR),TITLE_DATE_PR_CHANGE)</f>
        <v>45281.411851851852</v>
      </c>
      <c r="AE30" s="8885"/>
      <c r="AF30" s="8885"/>
      <c r="AG30" s="8885"/>
      <c r="AH30" s="8885"/>
      <c r="AI30" s="8885"/>
      <c r="AJ30" s="8885"/>
      <c r="AK30" s="248"/>
      <c r="AL30" s="248"/>
      <c r="AM30" s="196"/>
      <c r="AN30" s="292"/>
      <c r="AO30" s="292"/>
      <c r="AP30" s="292"/>
      <c r="AQ30" s="292"/>
      <c r="AR30" s="292"/>
    </row>
    <row r="31" spans="1:44" s="1771" customFormat="1" ht="18.75" hidden="1" customHeight="1">
      <c r="A31" s="1289"/>
      <c r="B31" s="1289"/>
      <c r="C31" s="1289"/>
      <c r="D31" s="1289"/>
      <c r="E31" s="1289"/>
      <c r="F31" s="1289"/>
      <c r="G31" s="1289"/>
      <c r="H31" s="1289"/>
      <c r="I31" s="1289"/>
      <c r="J31" s="1289"/>
      <c r="K31" s="1289"/>
      <c r="L31" s="1290"/>
      <c r="M31" s="1289"/>
      <c r="N31" s="1289"/>
      <c r="O31" s="1289"/>
      <c r="S31" s="8875" t="s">
        <v>887</v>
      </c>
      <c r="T31" s="8875"/>
      <c r="U31" s="1293"/>
      <c r="V31" s="8876" t="str">
        <f>IF(TITLE_NUMBER_PR_CHANGE="",IF(TITLE_NUMBER_PR="","",TITLE_NUMBER_PR),TITLE_NUMBER_PR_CHANGE)</f>
        <v>06-11/11398</v>
      </c>
      <c r="W31" s="8876"/>
      <c r="X31" s="8876"/>
      <c r="Y31" s="8876"/>
      <c r="Z31" s="8876"/>
      <c r="AA31" s="8876"/>
      <c r="AB31" s="8876"/>
      <c r="AC31" s="248"/>
      <c r="AD31" s="8876" t="str">
        <f>IF(TITLE_NUMBER_PR_CHANGE="",IF(TITLE_NUMBER_PR="","",TITLE_NUMBER_PR),TITLE_NUMBER_PR_CHANGE)</f>
        <v>06-11/11398</v>
      </c>
      <c r="AE31" s="8876"/>
      <c r="AF31" s="8876"/>
      <c r="AG31" s="8876"/>
      <c r="AH31" s="8876"/>
      <c r="AI31" s="8876"/>
      <c r="AJ31" s="8876"/>
      <c r="AK31" s="248"/>
      <c r="AL31" s="248"/>
      <c r="AM31" s="196"/>
      <c r="AN31" s="292"/>
      <c r="AO31" s="292"/>
      <c r="AP31" s="292"/>
      <c r="AQ31" s="292"/>
      <c r="AR31" s="292"/>
    </row>
    <row r="32" spans="1:44" s="1771" customFormat="1" ht="18.75" hidden="1" customHeight="1">
      <c r="A32" s="1289"/>
      <c r="B32" s="1289"/>
      <c r="C32" s="1289"/>
      <c r="D32" s="1289"/>
      <c r="E32" s="1289"/>
      <c r="F32" s="1289"/>
      <c r="G32" s="1289"/>
      <c r="H32" s="1289"/>
      <c r="I32" s="1289"/>
      <c r="J32" s="1289"/>
      <c r="K32" s="1289"/>
      <c r="L32" s="1290"/>
      <c r="M32" s="1289"/>
      <c r="N32" s="1289"/>
      <c r="O32" s="1289"/>
      <c r="S32" s="8875" t="s">
        <v>39</v>
      </c>
      <c r="T32" s="8875"/>
      <c r="U32" s="1293"/>
      <c r="V32" s="8876" t="str">
        <f>IF(TITLE_IST_PUB_CHANGE="",IF(TITLE_IST_PUB="","",TITLE_IST_PUB),TITLE_IST_PUB_CHANGE)</f>
        <v/>
      </c>
      <c r="W32" s="8876"/>
      <c r="X32" s="8876"/>
      <c r="Y32" s="8876"/>
      <c r="Z32" s="8876"/>
      <c r="AA32" s="8876"/>
      <c r="AB32" s="8876"/>
      <c r="AC32" s="248"/>
      <c r="AD32" s="8876" t="str">
        <f>IF(TITLE_IST_PUB_CHANGE="",IF(TITLE_IST_PUB="","",TITLE_IST_PUB),TITLE_IST_PUB_CHANGE)</f>
        <v/>
      </c>
      <c r="AE32" s="8876"/>
      <c r="AF32" s="8876"/>
      <c r="AG32" s="8876"/>
      <c r="AH32" s="8876"/>
      <c r="AI32" s="8876"/>
      <c r="AJ32" s="8876"/>
      <c r="AK32" s="248"/>
      <c r="AL32" s="248"/>
      <c r="AM32" s="196"/>
      <c r="AN32" s="292"/>
      <c r="AO32" s="292"/>
      <c r="AP32" s="292"/>
      <c r="AQ32" s="292"/>
      <c r="AR32" s="292"/>
    </row>
    <row r="33" spans="1:44" ht="14.25"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customHeight="1">
      <c r="A34" s="1289"/>
      <c r="B34" s="1289"/>
      <c r="C34" s="1289"/>
      <c r="D34" s="1289"/>
      <c r="E34" s="1289"/>
      <c r="F34" s="1289"/>
      <c r="G34" s="1289"/>
      <c r="H34" s="1289"/>
      <c r="I34" s="1289"/>
      <c r="J34" s="1289"/>
      <c r="K34" s="1289"/>
      <c r="L34" s="1290"/>
      <c r="M34" s="1289"/>
      <c r="N34" s="1289"/>
      <c r="O34" s="1289"/>
      <c r="S34" s="8875" t="s">
        <v>888</v>
      </c>
      <c r="T34" s="8875"/>
      <c r="U34" s="1293"/>
      <c r="V34" s="8885">
        <f>IF(TITLE_DATE_PR_CHANGE="",IF(TITLE_DATE_PR="","",TITLE_DATE_PR),TITLE_DATE_PR_CHANGE)</f>
        <v>45281.411851851852</v>
      </c>
      <c r="W34" s="8885"/>
      <c r="X34" s="8885"/>
      <c r="Y34" s="8885"/>
      <c r="Z34" s="8885"/>
      <c r="AA34" s="8885"/>
      <c r="AB34" s="8885"/>
      <c r="AC34" s="248"/>
      <c r="AD34" s="8885">
        <f>IF(TITLE_DATE_PR_CHANGE="",IF(TITLE_DATE_PR="","",TITLE_DATE_PR),TITLE_DATE_PR_CHANGE)</f>
        <v>45281.411851851852</v>
      </c>
      <c r="AE34" s="8885"/>
      <c r="AF34" s="8885"/>
      <c r="AG34" s="8885"/>
      <c r="AH34" s="8885"/>
      <c r="AI34" s="8885"/>
      <c r="AJ34" s="8885"/>
      <c r="AK34" s="248"/>
      <c r="AL34" s="248"/>
      <c r="AM34" s="196"/>
      <c r="AN34" s="292"/>
      <c r="AO34" s="292"/>
      <c r="AP34" s="292"/>
      <c r="AQ34" s="292"/>
      <c r="AR34" s="292"/>
    </row>
    <row r="35" spans="1:44" s="1771" customFormat="1" ht="18.75" customHeight="1">
      <c r="A35" s="1289"/>
      <c r="B35" s="1289"/>
      <c r="C35" s="1289"/>
      <c r="D35" s="1289"/>
      <c r="E35" s="1289"/>
      <c r="F35" s="1289"/>
      <c r="G35" s="1289"/>
      <c r="H35" s="1289"/>
      <c r="I35" s="1289"/>
      <c r="J35" s="1289"/>
      <c r="K35" s="1289"/>
      <c r="L35" s="1290"/>
      <c r="M35" s="1289"/>
      <c r="N35" s="1289"/>
      <c r="O35" s="1289"/>
      <c r="S35" s="8875" t="s">
        <v>889</v>
      </c>
      <c r="T35" s="8875"/>
      <c r="U35" s="1293"/>
      <c r="V35" s="8876" t="str">
        <f>IF(TITLE_NUMBER_PR_CHANGE="",IF(TITLE_NUMBER_PR="","",TITLE_NUMBER_PR),TITLE_NUMBER_PR_CHANGE)</f>
        <v>06-11/11398</v>
      </c>
      <c r="W35" s="8876"/>
      <c r="X35" s="8876"/>
      <c r="Y35" s="8876"/>
      <c r="Z35" s="8876"/>
      <c r="AA35" s="8876"/>
      <c r="AB35" s="8876"/>
      <c r="AC35" s="248"/>
      <c r="AD35" s="8876" t="str">
        <f>IF(TITLE_NUMBER_PR_CHANGE="",IF(TITLE_NUMBER_PR="","",TITLE_NUMBER_PR),TITLE_NUMBER_PR_CHANGE)</f>
        <v>06-11/11398</v>
      </c>
      <c r="AE35" s="8876"/>
      <c r="AF35" s="8876"/>
      <c r="AG35" s="8876"/>
      <c r="AH35" s="8876"/>
      <c r="AI35" s="8876"/>
      <c r="AJ35" s="8876"/>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890</v>
      </c>
      <c r="AD36" s="248"/>
      <c r="AE36" s="248"/>
      <c r="AF36" s="248"/>
      <c r="AG36" s="248"/>
      <c r="AH36" s="248"/>
      <c r="AI36" s="248"/>
      <c r="AJ36" s="248"/>
      <c r="AK36" s="194" t="s">
        <v>890</v>
      </c>
      <c r="AN36" s="292"/>
      <c r="AO36" s="292"/>
      <c r="AP36" s="292"/>
      <c r="AQ36" s="292"/>
      <c r="AR36" s="292"/>
    </row>
    <row r="37" spans="1:44" ht="14.25" customHeight="1">
      <c r="Q37" s="300"/>
      <c r="R37" s="300"/>
      <c r="S37" s="1200"/>
      <c r="T37" s="286"/>
      <c r="U37" s="1158"/>
      <c r="V37" s="8877"/>
      <c r="W37" s="8877"/>
      <c r="X37" s="8877"/>
      <c r="Y37" s="8877"/>
      <c r="Z37" s="8877"/>
      <c r="AA37" s="8877"/>
      <c r="AB37" s="8877"/>
      <c r="AC37" s="8877"/>
      <c r="AD37" s="8877"/>
      <c r="AE37" s="8877"/>
      <c r="AF37" s="8877"/>
      <c r="AG37" s="8877"/>
      <c r="AH37" s="8877"/>
      <c r="AI37" s="8877"/>
      <c r="AJ37" s="8877"/>
      <c r="AK37" s="8877"/>
    </row>
    <row r="38" spans="1:44" ht="14.25" customHeight="1">
      <c r="Q38" s="300"/>
      <c r="R38" s="300"/>
      <c r="S38" s="8753" t="s">
        <v>763</v>
      </c>
      <c r="T38" s="8753"/>
      <c r="U38" s="8753"/>
      <c r="V38" s="8753"/>
      <c r="W38" s="8753"/>
      <c r="X38" s="8753"/>
      <c r="Y38" s="8753"/>
      <c r="Z38" s="8753"/>
      <c r="AA38" s="8753"/>
      <c r="AB38" s="8753"/>
      <c r="AC38" s="8753"/>
      <c r="AD38" s="8753"/>
      <c r="AE38" s="8753"/>
      <c r="AF38" s="8753"/>
      <c r="AG38" s="8753"/>
      <c r="AH38" s="8753"/>
      <c r="AI38" s="8753"/>
      <c r="AJ38" s="8753"/>
      <c r="AK38" s="8753"/>
      <c r="AL38" s="8753"/>
      <c r="AM38" s="8753" t="s">
        <v>764</v>
      </c>
    </row>
    <row r="39" spans="1:44" ht="14.25" customHeight="1">
      <c r="Q39" s="300"/>
      <c r="R39" s="300"/>
      <c r="S39" s="8891" t="s">
        <v>84</v>
      </c>
      <c r="T39" s="8843" t="s">
        <v>891</v>
      </c>
      <c r="U39" s="215"/>
      <c r="V39" s="8892" t="s">
        <v>892</v>
      </c>
      <c r="W39" s="8893"/>
      <c r="X39" s="8907"/>
      <c r="Y39" s="8907"/>
      <c r="Z39" s="8893"/>
      <c r="AA39" s="8893"/>
      <c r="AB39" s="8894"/>
      <c r="AC39" s="8895" t="s">
        <v>893</v>
      </c>
      <c r="AD39" s="8892" t="s">
        <v>892</v>
      </c>
      <c r="AE39" s="8893"/>
      <c r="AF39" s="8907"/>
      <c r="AG39" s="8907"/>
      <c r="AH39" s="8893"/>
      <c r="AI39" s="8893"/>
      <c r="AJ39" s="8894"/>
      <c r="AK39" s="8895" t="s">
        <v>894</v>
      </c>
      <c r="AL39" s="8898" t="s">
        <v>895</v>
      </c>
      <c r="AM39" s="8753"/>
    </row>
    <row r="40" spans="1:44" ht="23.25" customHeight="1">
      <c r="Q40" s="300"/>
      <c r="R40" s="300"/>
      <c r="S40" s="8891"/>
      <c r="T40" s="8843"/>
      <c r="U40" s="942"/>
      <c r="V40" s="8908" t="s">
        <v>896</v>
      </c>
      <c r="W40" s="8828" t="s">
        <v>897</v>
      </c>
      <c r="X40" s="1297" t="s">
        <v>898</v>
      </c>
      <c r="Y40" s="1297"/>
      <c r="Z40" s="8729" t="s">
        <v>899</v>
      </c>
      <c r="AA40" s="8729"/>
      <c r="AB40" s="8723"/>
      <c r="AC40" s="8896"/>
      <c r="AD40" s="8908" t="s">
        <v>896</v>
      </c>
      <c r="AE40" s="8828" t="s">
        <v>897</v>
      </c>
      <c r="AF40" s="1297" t="s">
        <v>898</v>
      </c>
      <c r="AG40" s="1297"/>
      <c r="AH40" s="8729" t="s">
        <v>899</v>
      </c>
      <c r="AI40" s="8729"/>
      <c r="AJ40" s="8723"/>
      <c r="AK40" s="8896"/>
      <c r="AL40" s="8899"/>
      <c r="AM40" s="8753"/>
    </row>
    <row r="41" spans="1:44" s="1190" customFormat="1" ht="23.25" customHeight="1">
      <c r="A41" s="1291"/>
      <c r="B41" s="1291" t="s">
        <v>223</v>
      </c>
      <c r="C41" s="1291" t="s">
        <v>224</v>
      </c>
      <c r="D41" s="1291" t="s">
        <v>225</v>
      </c>
      <c r="E41" s="1285" t="s">
        <v>900</v>
      </c>
      <c r="F41" s="1285" t="s">
        <v>901</v>
      </c>
      <c r="G41" s="1285" t="s">
        <v>902</v>
      </c>
      <c r="H41" s="1285" t="s">
        <v>903</v>
      </c>
      <c r="I41" s="1285" t="s">
        <v>904</v>
      </c>
      <c r="J41" s="1285" t="s">
        <v>905</v>
      </c>
      <c r="K41" s="1285" t="s">
        <v>906</v>
      </c>
      <c r="L41" s="1285" t="s">
        <v>881</v>
      </c>
      <c r="M41" s="1283"/>
      <c r="N41" s="1283"/>
      <c r="O41" s="1283"/>
      <c r="P41" s="1250"/>
      <c r="Q41" s="300"/>
      <c r="R41" s="300"/>
      <c r="S41" s="8891"/>
      <c r="T41" s="8843"/>
      <c r="U41" s="216"/>
      <c r="V41" s="8909"/>
      <c r="W41" s="8833"/>
      <c r="X41" s="1294" t="s">
        <v>907</v>
      </c>
      <c r="Y41" s="1294" t="s">
        <v>908</v>
      </c>
      <c r="Z41" s="1256" t="s">
        <v>909</v>
      </c>
      <c r="AA41" s="8851" t="s">
        <v>910</v>
      </c>
      <c r="AB41" s="8853"/>
      <c r="AC41" s="8897"/>
      <c r="AD41" s="8909"/>
      <c r="AE41" s="8833"/>
      <c r="AF41" s="1294" t="s">
        <v>907</v>
      </c>
      <c r="AG41" s="1294" t="s">
        <v>908</v>
      </c>
      <c r="AH41" s="1256" t="s">
        <v>909</v>
      </c>
      <c r="AI41" s="8851" t="s">
        <v>910</v>
      </c>
      <c r="AJ41" s="8853"/>
      <c r="AK41" s="8897"/>
      <c r="AL41" s="8900"/>
      <c r="AM41" s="8753"/>
      <c r="AN41" s="435"/>
      <c r="AO41" s="424"/>
      <c r="AP41" s="424"/>
      <c r="AQ41" s="424"/>
      <c r="AR41" s="424"/>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95</v>
      </c>
      <c r="T42" s="1177" t="s">
        <v>99</v>
      </c>
      <c r="U42" s="1159" t="str">
        <f ca="1">OFFSET(U42,0,-1)</f>
        <v>2</v>
      </c>
      <c r="V42" s="1257">
        <f ca="1">OFFSET(V42,0,-1)+1</f>
        <v>3</v>
      </c>
      <c r="W42" s="1257"/>
      <c r="X42" s="1263">
        <f ca="1">OFFSET(X42,0,-1)+1</f>
        <v>1</v>
      </c>
      <c r="Y42" s="1263">
        <f ca="1">OFFSET(Y42,0,-1)+1</f>
        <v>2</v>
      </c>
      <c r="Z42" s="1257">
        <f ca="1">OFFSET(Z42,0,-1)+1</f>
        <v>3</v>
      </c>
      <c r="AA42" s="8890">
        <f ca="1">OFFSET(AA42,0,-1)+1</f>
        <v>4</v>
      </c>
      <c r="AB42" s="8890"/>
      <c r="AC42" s="1257">
        <f ca="1">OFFSET(AC42,0,-2)+1</f>
        <v>5</v>
      </c>
      <c r="AD42" s="1257">
        <f ca="1">OFFSET(AD42,0,-1)+1</f>
        <v>6</v>
      </c>
      <c r="AE42" s="1257"/>
      <c r="AF42" s="1263">
        <f ca="1">OFFSET(AF42,0,-1)+1</f>
        <v>1</v>
      </c>
      <c r="AG42" s="1263">
        <f ca="1">OFFSET(AG42,0,-1)+1</f>
        <v>2</v>
      </c>
      <c r="AH42" s="1257">
        <f ca="1">OFFSET(AH42,0,-1)+1</f>
        <v>3</v>
      </c>
      <c r="AI42" s="8890">
        <f ca="1">OFFSET(AI42,0,-1)+1</f>
        <v>4</v>
      </c>
      <c r="AJ42" s="8890"/>
      <c r="AK42" s="1257">
        <f ca="1">OFFSET(AK42,0,-2)+1</f>
        <v>5</v>
      </c>
      <c r="AL42" s="1159">
        <f ca="1">OFFSET(AL42,0,-1)</f>
        <v>5</v>
      </c>
      <c r="AM42" s="1257">
        <f ca="1">OFFSET(AM42,0,-1)+1</f>
        <v>6</v>
      </c>
      <c r="AN42" s="435"/>
      <c r="AO42" s="435"/>
      <c r="AP42" s="435"/>
      <c r="AQ42" s="435"/>
      <c r="AR42" s="435"/>
    </row>
    <row r="43" spans="1:44" ht="21" customHeight="1">
      <c r="A43" s="1284" t="s">
        <v>274</v>
      </c>
      <c r="B43" s="1284"/>
      <c r="C43" s="1284"/>
      <c r="D43" s="1284"/>
      <c r="E43" s="8883">
        <v>1</v>
      </c>
      <c r="F43" s="1284"/>
      <c r="G43" s="1284"/>
      <c r="H43" s="1284"/>
      <c r="I43" s="1284"/>
      <c r="J43" s="1284"/>
      <c r="K43" s="1284"/>
      <c r="L43" s="1285"/>
      <c r="M43" s="1286"/>
      <c r="N43" s="1286"/>
      <c r="O43" s="1286"/>
      <c r="P43" s="282"/>
      <c r="Q43" s="281"/>
      <c r="R43" s="276"/>
      <c r="S43" s="1258">
        <f>INDEX(PT_DIFFERENTIATION_NUM_NTAR,MATCH(A43,PT_DIFFERENTIATION_NTAR_ID,0))</f>
        <v>0</v>
      </c>
      <c r="T43" s="212" t="s">
        <v>211</v>
      </c>
      <c r="U43" s="214"/>
      <c r="V43" s="8869"/>
      <c r="W43" s="8870"/>
      <c r="X43" s="8870"/>
      <c r="Y43" s="8870"/>
      <c r="Z43" s="8870"/>
      <c r="AA43" s="8870"/>
      <c r="AB43" s="8870"/>
      <c r="AC43" s="8871"/>
      <c r="AD43" s="8869" t="str">
        <f>INDEX(PT_DIFFERENTIATION_NTAR,MATCH(A43,PT_DIFFERENTIATION_NTAR_ID,0))</f>
        <v/>
      </c>
      <c r="AE43" s="8870"/>
      <c r="AF43" s="8870"/>
      <c r="AG43" s="8870"/>
      <c r="AH43" s="8870"/>
      <c r="AI43" s="8870"/>
      <c r="AJ43" s="8870"/>
      <c r="AK43" s="8870"/>
      <c r="AL43" s="887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4"/>
      <c r="AP43" s="424" t="str">
        <f t="shared" ref="AP43:AP57" si="1">IF(T43="","",T43)</f>
        <v>Наименование тарифа</v>
      </c>
      <c r="AQ43" s="424"/>
      <c r="AR43" s="424"/>
    </row>
    <row r="44" spans="1:44" ht="21" customHeight="1">
      <c r="A44" s="1284" t="s">
        <v>274</v>
      </c>
      <c r="B44" s="1284" t="s">
        <v>275</v>
      </c>
      <c r="C44" s="1284"/>
      <c r="D44" s="1284"/>
      <c r="E44" s="8884"/>
      <c r="F44" s="8883">
        <v>1</v>
      </c>
      <c r="G44" s="1284"/>
      <c r="H44" s="1284"/>
      <c r="I44" s="1284"/>
      <c r="J44" s="1284"/>
      <c r="K44" s="1284"/>
      <c r="L44" s="1285"/>
      <c r="M44" s="1286"/>
      <c r="N44" s="1286"/>
      <c r="O44" s="1286"/>
      <c r="P44" s="1254"/>
      <c r="Q44" s="273"/>
      <c r="R44" s="274"/>
      <c r="S44" s="1258" t="str">
        <f>INDEX(PT_DIFFERENTIATION_NUM_TER,MATCH(B44,PT_DIFFERENTIATION_TER_ID,0))</f>
        <v>.</v>
      </c>
      <c r="T44" s="224" t="s">
        <v>862</v>
      </c>
      <c r="U44" s="214"/>
      <c r="V44" s="8869"/>
      <c r="W44" s="8870"/>
      <c r="X44" s="8870"/>
      <c r="Y44" s="8870"/>
      <c r="Z44" s="8870"/>
      <c r="AA44" s="8870"/>
      <c r="AB44" s="8870"/>
      <c r="AC44" s="8871"/>
      <c r="AD44" s="8869" t="str">
        <f>INDEX(PT_DIFFERENTIATION_TER,MATCH(B44,PT_DIFFERENTIATION_TER_ID,0))</f>
        <v/>
      </c>
      <c r="AE44" s="8870"/>
      <c r="AF44" s="8870"/>
      <c r="AG44" s="8870"/>
      <c r="AH44" s="8870"/>
      <c r="AI44" s="8870"/>
      <c r="AJ44" s="8870"/>
      <c r="AK44" s="8870"/>
      <c r="AL44" s="8871"/>
      <c r="AM44" s="1182" t="s">
        <v>863</v>
      </c>
      <c r="AO44" s="424"/>
      <c r="AP44" s="424" t="str">
        <f t="shared" si="1"/>
        <v>Территория действия тарифа</v>
      </c>
      <c r="AQ44" s="424"/>
      <c r="AR44" s="424"/>
    </row>
    <row r="45" spans="1:44" ht="23.25" customHeight="1">
      <c r="A45" s="1284" t="s">
        <v>274</v>
      </c>
      <c r="B45" s="1284" t="s">
        <v>275</v>
      </c>
      <c r="C45" s="1284" t="s">
        <v>276</v>
      </c>
      <c r="D45" s="1284"/>
      <c r="E45" s="8884"/>
      <c r="F45" s="8884"/>
      <c r="G45" s="8883">
        <v>1</v>
      </c>
      <c r="H45" s="1284"/>
      <c r="I45" s="1284"/>
      <c r="J45" s="1284"/>
      <c r="K45" s="1284"/>
      <c r="L45" s="1285"/>
      <c r="M45" s="1286"/>
      <c r="N45" s="1286"/>
      <c r="O45" s="1286"/>
      <c r="P45" s="275"/>
      <c r="Q45" s="273"/>
      <c r="R45" s="274"/>
      <c r="S45" s="1258" t="str">
        <f>INDEX(PT_DIFFERENTIATION_NUM_CS,MATCH(C45,PT_DIFFERENTIATION_CS_ID,0))</f>
        <v>..</v>
      </c>
      <c r="T45" s="225" t="s">
        <v>864</v>
      </c>
      <c r="U45" s="214"/>
      <c r="V45" s="8869"/>
      <c r="W45" s="8870"/>
      <c r="X45" s="8870"/>
      <c r="Y45" s="8870"/>
      <c r="Z45" s="8870"/>
      <c r="AA45" s="8870"/>
      <c r="AB45" s="8870"/>
      <c r="AC45" s="8871"/>
      <c r="AD45" s="8869" t="str">
        <f>INDEX(PT_DIFFERENTIATION_CS,MATCH(C45,PT_DIFFERENTIATION_CS_ID,0))</f>
        <v/>
      </c>
      <c r="AE45" s="8870"/>
      <c r="AF45" s="8870"/>
      <c r="AG45" s="8870"/>
      <c r="AH45" s="8870"/>
      <c r="AI45" s="8870"/>
      <c r="AJ45" s="8870"/>
      <c r="AK45" s="8870"/>
      <c r="AL45" s="8871"/>
      <c r="AM45" s="1182" t="s">
        <v>865</v>
      </c>
      <c r="AO45" s="424"/>
      <c r="AP45" s="424" t="str">
        <f t="shared" si="1"/>
        <v xml:space="preserve">Наименование системы теплоснабжения </v>
      </c>
      <c r="AQ45" s="424"/>
      <c r="AR45" s="424"/>
    </row>
    <row r="46" spans="1:44" ht="21" customHeight="1">
      <c r="A46" s="1284" t="s">
        <v>274</v>
      </c>
      <c r="B46" s="1284" t="s">
        <v>275</v>
      </c>
      <c r="C46" s="1284" t="s">
        <v>276</v>
      </c>
      <c r="D46" s="1284" t="s">
        <v>277</v>
      </c>
      <c r="E46" s="8884"/>
      <c r="F46" s="8884"/>
      <c r="G46" s="8884"/>
      <c r="H46" s="8883">
        <v>1</v>
      </c>
      <c r="I46" s="1284"/>
      <c r="J46" s="1284"/>
      <c r="K46" s="1284"/>
      <c r="L46" s="1285"/>
      <c r="M46" s="1286"/>
      <c r="N46" s="1286"/>
      <c r="O46" s="1286"/>
      <c r="P46" s="275"/>
      <c r="Q46" s="273"/>
      <c r="R46" s="274"/>
      <c r="S46" s="1258" t="str">
        <f>INDEX(PT_DIFFERENTIATION_NUM_IST_TE,MATCH(D46,PT_DIFFERENTIATION_IST_TE_ID,0))</f>
        <v>...</v>
      </c>
      <c r="T46" s="226" t="s">
        <v>866</v>
      </c>
      <c r="U46" s="214"/>
      <c r="V46" s="8869"/>
      <c r="W46" s="8870"/>
      <c r="X46" s="8870"/>
      <c r="Y46" s="8870"/>
      <c r="Z46" s="8870"/>
      <c r="AA46" s="8870"/>
      <c r="AB46" s="8870"/>
      <c r="AC46" s="8871"/>
      <c r="AD46" s="8869" t="str">
        <f>INDEX(PT_DIFFERENTIATION_IST_TE,MATCH(D46,PT_DIFFERENTIATION_IST_TE_ID,0))</f>
        <v/>
      </c>
      <c r="AE46" s="8870"/>
      <c r="AF46" s="8870"/>
      <c r="AG46" s="8870"/>
      <c r="AH46" s="8870"/>
      <c r="AI46" s="8870"/>
      <c r="AJ46" s="8870"/>
      <c r="AK46" s="8870"/>
      <c r="AL46" s="8871"/>
      <c r="AM46" s="1182" t="s">
        <v>867</v>
      </c>
      <c r="AO46" s="424"/>
      <c r="AP46" s="424" t="str">
        <f t="shared" si="1"/>
        <v xml:space="preserve">Источник тепловой энергии  </v>
      </c>
      <c r="AQ46" s="424"/>
      <c r="AR46" s="424"/>
    </row>
    <row r="47" spans="1:44" ht="47.25" customHeight="1">
      <c r="A47" s="1284" t="s">
        <v>274</v>
      </c>
      <c r="B47" s="1284" t="s">
        <v>275</v>
      </c>
      <c r="C47" s="1284" t="s">
        <v>276</v>
      </c>
      <c r="D47" s="1284" t="s">
        <v>277</v>
      </c>
      <c r="E47" s="8884"/>
      <c r="F47" s="8884"/>
      <c r="G47" s="8884"/>
      <c r="H47" s="8884"/>
      <c r="I47" s="8881" t="str">
        <f>S46&amp;".1"</f>
        <v>....1</v>
      </c>
      <c r="J47" s="1284"/>
      <c r="K47" s="1284"/>
      <c r="L47" s="1285" t="s">
        <v>868</v>
      </c>
      <c r="P47" s="8882">
        <v>1</v>
      </c>
      <c r="Q47" s="1253"/>
      <c r="R47" s="277"/>
      <c r="S47" s="1258" t="str">
        <f>$I47</f>
        <v>....1</v>
      </c>
      <c r="T47" s="200" t="s">
        <v>869</v>
      </c>
      <c r="U47" s="214"/>
      <c r="V47" s="8872"/>
      <c r="W47" s="8873"/>
      <c r="X47" s="8873"/>
      <c r="Y47" s="8873"/>
      <c r="Z47" s="8873"/>
      <c r="AA47" s="8873"/>
      <c r="AB47" s="8873"/>
      <c r="AC47" s="8874"/>
      <c r="AD47" s="8872"/>
      <c r="AE47" s="8873"/>
      <c r="AF47" s="8873"/>
      <c r="AG47" s="8873"/>
      <c r="AH47" s="8873"/>
      <c r="AI47" s="8873"/>
      <c r="AJ47" s="8873"/>
      <c r="AK47" s="8873"/>
      <c r="AL47" s="8874"/>
      <c r="AM47" s="1182" t="s">
        <v>870</v>
      </c>
      <c r="AO47" s="424"/>
      <c r="AP47" s="424" t="str">
        <f t="shared" si="1"/>
        <v>Схема подключения теплопотребляющей установки к коллектору источника тепловой энергии</v>
      </c>
      <c r="AQ47" s="424"/>
      <c r="AR47" s="424"/>
    </row>
    <row r="48" spans="1:44" ht="21" customHeight="1">
      <c r="A48" s="1284" t="s">
        <v>274</v>
      </c>
      <c r="B48" s="1284" t="s">
        <v>275</v>
      </c>
      <c r="C48" s="1284" t="s">
        <v>276</v>
      </c>
      <c r="D48" s="1284" t="s">
        <v>277</v>
      </c>
      <c r="E48" s="8884"/>
      <c r="F48" s="8884"/>
      <c r="G48" s="8884"/>
      <c r="H48" s="8884"/>
      <c r="I48" s="8904"/>
      <c r="J48" s="8881" t="str">
        <f>I47&amp;".1"</f>
        <v>....1.1</v>
      </c>
      <c r="K48" s="1284"/>
      <c r="L48" s="1285" t="s">
        <v>871</v>
      </c>
      <c r="P48" s="8882"/>
      <c r="Q48" s="8882">
        <v>1</v>
      </c>
      <c r="R48" s="278"/>
      <c r="S48" s="1258" t="str">
        <f>$J48</f>
        <v>....1.1</v>
      </c>
      <c r="T48" s="201" t="s">
        <v>872</v>
      </c>
      <c r="U48" s="214"/>
      <c r="V48" s="8872"/>
      <c r="W48" s="8873"/>
      <c r="X48" s="8873"/>
      <c r="Y48" s="8873"/>
      <c r="Z48" s="8873"/>
      <c r="AA48" s="8873"/>
      <c r="AB48" s="8873"/>
      <c r="AC48" s="8874"/>
      <c r="AD48" s="8872"/>
      <c r="AE48" s="8873"/>
      <c r="AF48" s="8873"/>
      <c r="AG48" s="8873"/>
      <c r="AH48" s="8873"/>
      <c r="AI48" s="8873"/>
      <c r="AJ48" s="8873"/>
      <c r="AK48" s="8873"/>
      <c r="AL48" s="8874"/>
      <c r="AM48" s="1182" t="s">
        <v>873</v>
      </c>
      <c r="AO48" s="424"/>
      <c r="AP48" s="424" t="str">
        <f t="shared" si="1"/>
        <v>Группа потребителей</v>
      </c>
      <c r="AQ48" s="424"/>
      <c r="AR48" s="424"/>
    </row>
    <row r="49" spans="1:44" ht="21" customHeight="1">
      <c r="A49" s="1284" t="s">
        <v>274</v>
      </c>
      <c r="B49" s="1284" t="s">
        <v>275</v>
      </c>
      <c r="C49" s="1284" t="s">
        <v>276</v>
      </c>
      <c r="D49" s="1284" t="s">
        <v>277</v>
      </c>
      <c r="E49" s="8884"/>
      <c r="F49" s="8884"/>
      <c r="G49" s="8884"/>
      <c r="H49" s="8884"/>
      <c r="I49" s="8904"/>
      <c r="J49" s="8904"/>
      <c r="K49" s="8881" t="str">
        <f>J48&amp;".1"</f>
        <v>....1.1.1</v>
      </c>
      <c r="L49" s="1285" t="s">
        <v>874</v>
      </c>
      <c r="P49" s="8882"/>
      <c r="Q49" s="8882"/>
      <c r="R49" s="278">
        <v>1</v>
      </c>
      <c r="S49" s="1258" t="str">
        <f>$K49</f>
        <v>....1.1.1</v>
      </c>
      <c r="T49" s="1269"/>
      <c r="U49" s="214"/>
      <c r="V49" s="246"/>
      <c r="W49" s="666"/>
      <c r="X49" s="246"/>
      <c r="Y49" s="313"/>
      <c r="Z49" s="8886"/>
      <c r="AA49" s="8734" t="s">
        <v>63</v>
      </c>
      <c r="AB49" s="8886"/>
      <c r="AC49" s="8734" t="s">
        <v>63</v>
      </c>
      <c r="AD49" s="246"/>
      <c r="AE49" s="666"/>
      <c r="AF49" s="246"/>
      <c r="AG49" s="313"/>
      <c r="AH49" s="8886"/>
      <c r="AI49" s="8734" t="s">
        <v>63</v>
      </c>
      <c r="AJ49" s="8905"/>
      <c r="AK49" s="8734" t="s">
        <v>63</v>
      </c>
      <c r="AL49" s="1270"/>
      <c r="AM49" s="8878" t="s">
        <v>875</v>
      </c>
      <c r="AN49" s="435" t="e">
        <f ca="1">STRCHECKDATE(V50:AL50)</f>
        <v>#NAME?</v>
      </c>
      <c r="AO49" s="424"/>
      <c r="AP49" s="424" t="str">
        <f t="shared" si="1"/>
        <v/>
      </c>
      <c r="AQ49" s="424"/>
      <c r="AR49" s="424"/>
    </row>
    <row r="50" spans="1:44" ht="0.75" customHeight="1">
      <c r="A50" s="1284" t="s">
        <v>274</v>
      </c>
      <c r="B50" s="1284" t="s">
        <v>275</v>
      </c>
      <c r="C50" s="1284" t="s">
        <v>276</v>
      </c>
      <c r="D50" s="1284" t="s">
        <v>277</v>
      </c>
      <c r="E50" s="8884"/>
      <c r="F50" s="8884"/>
      <c r="G50" s="8884"/>
      <c r="H50" s="8884"/>
      <c r="I50" s="8904"/>
      <c r="J50" s="8904"/>
      <c r="K50" s="8881"/>
      <c r="L50" s="1285"/>
      <c r="P50" s="8882"/>
      <c r="Q50" s="8882"/>
      <c r="R50" s="278"/>
      <c r="S50" s="1264"/>
      <c r="T50" s="214"/>
      <c r="U50" s="214"/>
      <c r="V50" s="246"/>
      <c r="W50" s="246"/>
      <c r="X50" s="246"/>
      <c r="Y50" s="250" t="str">
        <f>Z49&amp;"-"&amp;AB49</f>
        <v>-</v>
      </c>
      <c r="Z50" s="8887"/>
      <c r="AA50" s="8734"/>
      <c r="AB50" s="8887"/>
      <c r="AC50" s="8734"/>
      <c r="AD50" s="246"/>
      <c r="AE50" s="246"/>
      <c r="AF50" s="246"/>
      <c r="AG50" s="250" t="str">
        <f>AH49&amp;"-"&amp;AJ49</f>
        <v>-</v>
      </c>
      <c r="AH50" s="8887"/>
      <c r="AI50" s="8734"/>
      <c r="AJ50" s="8906"/>
      <c r="AK50" s="8734"/>
      <c r="AL50" s="1271"/>
      <c r="AM50" s="8879"/>
      <c r="AO50" s="424"/>
      <c r="AP50" s="424" t="str">
        <f t="shared" si="1"/>
        <v/>
      </c>
      <c r="AQ50" s="424"/>
      <c r="AR50" s="424"/>
    </row>
    <row r="51" spans="1:44" ht="11.25" customHeight="1">
      <c r="A51" s="1284" t="s">
        <v>274</v>
      </c>
      <c r="B51" s="1284" t="s">
        <v>275</v>
      </c>
      <c r="C51" s="1284" t="s">
        <v>276</v>
      </c>
      <c r="D51" s="1284" t="s">
        <v>277</v>
      </c>
      <c r="E51" s="8884"/>
      <c r="F51" s="8884"/>
      <c r="G51" s="8884"/>
      <c r="H51" s="8884"/>
      <c r="I51" s="8904"/>
      <c r="J51" s="8881"/>
      <c r="K51" s="1284"/>
      <c r="L51" s="1285"/>
      <c r="P51" s="8882"/>
      <c r="Q51" s="8882"/>
      <c r="R51" s="277"/>
      <c r="S51" s="1203"/>
      <c r="T51" s="203" t="s">
        <v>876</v>
      </c>
      <c r="U51" s="291"/>
      <c r="V51" s="291"/>
      <c r="W51" s="291"/>
      <c r="X51" s="291"/>
      <c r="Y51" s="291"/>
      <c r="Z51" s="291"/>
      <c r="AA51" s="291"/>
      <c r="AB51" s="291"/>
      <c r="AC51" s="291"/>
      <c r="AD51" s="291"/>
      <c r="AE51" s="291"/>
      <c r="AF51" s="291"/>
      <c r="AG51" s="291"/>
      <c r="AH51" s="291"/>
      <c r="AI51" s="291"/>
      <c r="AJ51" s="291"/>
      <c r="AK51" s="291"/>
      <c r="AL51" s="245"/>
      <c r="AM51" s="8880"/>
      <c r="AO51" s="424"/>
      <c r="AP51" s="424" t="str">
        <f t="shared" si="1"/>
        <v>Добавить вид теплоносителя (параметры теплоносителя)</v>
      </c>
      <c r="AQ51" s="424"/>
      <c r="AR51" s="424"/>
    </row>
    <row r="52" spans="1:44" ht="11.25" customHeight="1">
      <c r="A52" s="1284" t="s">
        <v>274</v>
      </c>
      <c r="B52" s="1284" t="s">
        <v>275</v>
      </c>
      <c r="C52" s="1284" t="s">
        <v>276</v>
      </c>
      <c r="D52" s="1284" t="s">
        <v>277</v>
      </c>
      <c r="E52" s="8884"/>
      <c r="F52" s="8884"/>
      <c r="G52" s="8884"/>
      <c r="H52" s="8884"/>
      <c r="I52" s="8881"/>
      <c r="J52" s="1284"/>
      <c r="K52" s="1284"/>
      <c r="L52" s="1285"/>
      <c r="P52" s="8882"/>
      <c r="Q52" s="1253"/>
      <c r="R52" s="277"/>
      <c r="S52" s="1203"/>
      <c r="T52" s="202" t="s">
        <v>877</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274</v>
      </c>
      <c r="B53" s="1284" t="s">
        <v>275</v>
      </c>
      <c r="C53" s="1284" t="s">
        <v>276</v>
      </c>
      <c r="D53" s="1284" t="s">
        <v>277</v>
      </c>
      <c r="E53" s="8884"/>
      <c r="F53" s="8884"/>
      <c r="G53" s="8884"/>
      <c r="H53" s="8883"/>
      <c r="I53" s="1284"/>
      <c r="J53" s="1284"/>
      <c r="K53" s="1284"/>
      <c r="L53" s="1285"/>
      <c r="M53" s="1286"/>
      <c r="N53" s="1286"/>
      <c r="O53" s="460"/>
      <c r="P53" s="281"/>
      <c r="Q53" s="299"/>
      <c r="R53" s="276"/>
      <c r="S53" s="1203"/>
      <c r="T53" s="288" t="s">
        <v>878</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274</v>
      </c>
      <c r="B54" s="1265" t="s">
        <v>275</v>
      </c>
      <c r="C54" s="1265" t="s">
        <v>276</v>
      </c>
      <c r="D54" s="1237"/>
      <c r="E54" s="8884"/>
      <c r="F54" s="8884"/>
      <c r="G54" s="8883"/>
      <c r="H54" s="1237"/>
      <c r="I54" s="1237"/>
      <c r="J54" s="1237"/>
      <c r="K54" s="1237"/>
      <c r="L54" s="1261"/>
      <c r="M54" s="1238"/>
      <c r="N54" s="1238"/>
      <c r="P54" s="1239"/>
      <c r="Q54" s="1240"/>
      <c r="R54" s="1239"/>
      <c r="S54" s="1245"/>
      <c r="T54" s="1248" t="s">
        <v>879</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274</v>
      </c>
      <c r="B55" s="1265" t="s">
        <v>275</v>
      </c>
      <c r="C55" s="1237"/>
      <c r="D55" s="1237"/>
      <c r="E55" s="8884"/>
      <c r="F55" s="8883"/>
      <c r="G55" s="1237"/>
      <c r="H55" s="1237"/>
      <c r="I55" s="1237"/>
      <c r="J55" s="1237"/>
      <c r="K55" s="1237"/>
      <c r="L55" s="1261"/>
      <c r="M55" s="1244"/>
      <c r="N55" s="1244"/>
      <c r="P55" s="1239"/>
      <c r="Q55" s="1240"/>
      <c r="R55" s="1239"/>
      <c r="S55" s="1245"/>
      <c r="T55" s="1248" t="s">
        <v>314</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274</v>
      </c>
      <c r="B56" s="1265"/>
      <c r="C56" s="1265"/>
      <c r="D56" s="1265"/>
      <c r="E56" s="8883"/>
      <c r="F56" s="1265"/>
      <c r="G56" s="1265"/>
      <c r="H56" s="1265"/>
      <c r="I56" s="1265"/>
      <c r="J56" s="1265"/>
      <c r="K56" s="1265"/>
      <c r="L56" s="1268"/>
      <c r="M56" s="1244"/>
      <c r="N56" s="1244"/>
      <c r="O56" s="442"/>
      <c r="P56" s="308"/>
      <c r="Q56" s="1266"/>
      <c r="R56" s="308"/>
      <c r="S56" s="1245"/>
      <c r="T56" s="1248" t="s">
        <v>315</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706</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8903"/>
      <c r="U59" s="8903"/>
      <c r="V59" s="8903"/>
      <c r="W59" s="8903"/>
      <c r="X59" s="8903"/>
      <c r="Y59" s="8903"/>
      <c r="Z59" s="8903"/>
      <c r="AA59" s="8903"/>
      <c r="AB59" s="8903"/>
      <c r="AC59" s="8903"/>
      <c r="AD59" s="8903"/>
      <c r="AE59" s="8903"/>
      <c r="AF59" s="8903"/>
      <c r="AG59" s="8903"/>
      <c r="AH59" s="8903"/>
      <c r="AI59" s="8903"/>
      <c r="AJ59" s="8903"/>
      <c r="AK59" s="8903"/>
      <c r="AL59" s="8903"/>
      <c r="AM59" s="8903"/>
    </row>
    <row r="60" spans="1:44" ht="75" customHeight="1">
      <c r="O60" s="460"/>
      <c r="T60" s="8903"/>
      <c r="U60" s="8903"/>
      <c r="V60" s="8903"/>
      <c r="W60" s="8903"/>
      <c r="X60" s="8903"/>
      <c r="Y60" s="8903"/>
      <c r="Z60" s="8903"/>
      <c r="AA60" s="8903"/>
      <c r="AB60" s="8903"/>
      <c r="AC60" s="8903"/>
      <c r="AD60" s="8903"/>
      <c r="AE60" s="8903"/>
      <c r="AF60" s="8903"/>
      <c r="AG60" s="8903"/>
      <c r="AH60" s="8903"/>
      <c r="AI60" s="8903"/>
      <c r="AJ60" s="8903"/>
      <c r="AK60" s="8903"/>
      <c r="AL60" s="8903"/>
      <c r="AM60" s="8903"/>
    </row>
    <row r="61" spans="1:44" ht="14.25" customHeight="1">
      <c r="O61" s="460"/>
    </row>
    <row r="62" spans="1:44" ht="18" customHeight="1">
      <c r="O62" s="460"/>
      <c r="S62" s="1169"/>
      <c r="T62" s="8903"/>
      <c r="U62" s="8903"/>
      <c r="V62" s="8903"/>
      <c r="W62" s="8903"/>
      <c r="X62" s="8903"/>
      <c r="Y62" s="8903"/>
      <c r="Z62" s="8903"/>
      <c r="AA62" s="8903"/>
      <c r="AB62" s="8903"/>
      <c r="AC62" s="8903"/>
      <c r="AD62" s="8903"/>
      <c r="AE62" s="8903"/>
      <c r="AF62" s="8903"/>
      <c r="AG62" s="8903"/>
      <c r="AH62" s="8903"/>
      <c r="AI62" s="8903"/>
      <c r="AJ62" s="8903"/>
      <c r="AK62" s="8903"/>
      <c r="AL62" s="8903"/>
      <c r="AM62" s="8903"/>
    </row>
    <row r="63" spans="1:44" ht="18" customHeight="1">
      <c r="O63" s="460"/>
      <c r="T63" s="8903"/>
      <c r="U63" s="8903"/>
      <c r="V63" s="8903"/>
      <c r="W63" s="8903"/>
      <c r="X63" s="8903"/>
      <c r="Y63" s="8903"/>
      <c r="Z63" s="8903"/>
      <c r="AA63" s="8903"/>
      <c r="AB63" s="8903"/>
      <c r="AC63" s="8903"/>
      <c r="AD63" s="8903"/>
      <c r="AE63" s="8903"/>
      <c r="AF63" s="8903"/>
      <c r="AG63" s="8903"/>
      <c r="AH63" s="8903"/>
      <c r="AI63" s="8903"/>
      <c r="AJ63" s="8903"/>
      <c r="AK63" s="8903"/>
      <c r="AL63" s="8903"/>
      <c r="AM63" s="8903"/>
    </row>
    <row r="64" spans="1:44" ht="38.25" customHeight="1">
      <c r="O64" s="460"/>
      <c r="S64" s="1169"/>
      <c r="T64" s="8903"/>
      <c r="U64" s="8903"/>
      <c r="V64" s="8903"/>
      <c r="W64" s="8903"/>
      <c r="X64" s="8903"/>
      <c r="Y64" s="8903"/>
      <c r="Z64" s="8903"/>
      <c r="AA64" s="8903"/>
      <c r="AB64" s="8903"/>
      <c r="AC64" s="8903"/>
      <c r="AD64" s="8903"/>
      <c r="AE64" s="8903"/>
      <c r="AF64" s="8903"/>
      <c r="AG64" s="8903"/>
      <c r="AH64" s="8903"/>
      <c r="AI64" s="8903"/>
      <c r="AJ64" s="8903"/>
      <c r="AK64" s="8903"/>
      <c r="AL64" s="8903"/>
      <c r="AM64" s="8903"/>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812" hidden="1" customWidth="1"/>
    <col min="17" max="18" width="3.7109375" style="265" customWidth="1"/>
    <col min="19" max="19" width="12.7109375" style="1814"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8883">
        <v>1</v>
      </c>
      <c r="F2" s="1284"/>
      <c r="G2" s="1284"/>
      <c r="H2" s="1284"/>
      <c r="I2" s="1284"/>
      <c r="J2" s="1284"/>
      <c r="K2" s="1284"/>
      <c r="L2" s="1285"/>
      <c r="M2" s="1286"/>
      <c r="N2" s="1286"/>
      <c r="O2" s="1286"/>
      <c r="P2" s="282"/>
      <c r="Q2" s="281"/>
      <c r="R2" s="276"/>
      <c r="S2" s="1258" t="e">
        <f>INDEX(PT_DIFFERENTIATION_NUM_NTAR,MATCH(A2,PT_DIFFERENTIATION_NTAR_ID,0))</f>
        <v>#N/A</v>
      </c>
      <c r="T2" s="212" t="s">
        <v>211</v>
      </c>
      <c r="U2" s="214"/>
      <c r="V2" s="8869"/>
      <c r="W2" s="8870"/>
      <c r="X2" s="8870"/>
      <c r="Y2" s="8870"/>
      <c r="Z2" s="8870"/>
      <c r="AA2" s="8870"/>
      <c r="AB2" s="8870"/>
      <c r="AC2" s="8871"/>
      <c r="AD2" s="8869" t="e">
        <f>INDEX(PT_DIFFERENTIATION_NTAR,MATCH(A2,PT_DIFFERENTIATION_NTAR_ID,0))</f>
        <v>#N/A</v>
      </c>
      <c r="AE2" s="8870"/>
      <c r="AF2" s="8870"/>
      <c r="AG2" s="8870"/>
      <c r="AH2" s="8870"/>
      <c r="AI2" s="8870"/>
      <c r="AJ2" s="8870"/>
      <c r="AK2" s="8870"/>
      <c r="AL2" s="8871"/>
      <c r="AM2" s="1182" t="s">
        <v>861</v>
      </c>
      <c r="AO2" s="424"/>
      <c r="AP2" s="424" t="str">
        <f t="shared" ref="AP2:AP15" si="0">IF(T2="","",T2)</f>
        <v>Наименование тарифа</v>
      </c>
      <c r="AQ2" s="424"/>
      <c r="AR2" s="424"/>
    </row>
    <row r="3" spans="1:44" ht="21" hidden="1" customHeight="1">
      <c r="A3" s="1284"/>
      <c r="B3" s="1284"/>
      <c r="C3" s="1284"/>
      <c r="D3" s="1284"/>
      <c r="E3" s="8884"/>
      <c r="F3" s="8883">
        <v>1</v>
      </c>
      <c r="G3" s="1284"/>
      <c r="H3" s="1284"/>
      <c r="I3" s="1284"/>
      <c r="J3" s="1284"/>
      <c r="K3" s="1284"/>
      <c r="L3" s="1285"/>
      <c r="M3" s="1286"/>
      <c r="N3" s="1286"/>
      <c r="O3" s="1286"/>
      <c r="P3" s="1254"/>
      <c r="Q3" s="273"/>
      <c r="R3" s="274"/>
      <c r="S3" s="1258" t="e">
        <f>INDEX(PT_DIFFERENTIATION_NUM_TER,MATCH(B3,PT_DIFFERENTIATION_TER_ID,0))</f>
        <v>#N/A</v>
      </c>
      <c r="T3" s="224" t="s">
        <v>862</v>
      </c>
      <c r="U3" s="214"/>
      <c r="V3" s="8869"/>
      <c r="W3" s="8870"/>
      <c r="X3" s="8870"/>
      <c r="Y3" s="8870"/>
      <c r="Z3" s="8870"/>
      <c r="AA3" s="8870"/>
      <c r="AB3" s="8870"/>
      <c r="AC3" s="8871"/>
      <c r="AD3" s="8869" t="e">
        <f>INDEX(PT_DIFFERENTIATION_TER,MATCH(B3,PT_DIFFERENTIATION_TER_ID,0))</f>
        <v>#N/A</v>
      </c>
      <c r="AE3" s="8870"/>
      <c r="AF3" s="8870"/>
      <c r="AG3" s="8870"/>
      <c r="AH3" s="8870"/>
      <c r="AI3" s="8870"/>
      <c r="AJ3" s="8870"/>
      <c r="AK3" s="8870"/>
      <c r="AL3" s="8871"/>
      <c r="AM3" s="1182" t="s">
        <v>863</v>
      </c>
      <c r="AO3" s="424"/>
      <c r="AP3" s="424" t="str">
        <f t="shared" si="0"/>
        <v>Территория действия тарифа</v>
      </c>
      <c r="AQ3" s="424"/>
      <c r="AR3" s="424"/>
    </row>
    <row r="4" spans="1:44" ht="23.25" hidden="1" customHeight="1">
      <c r="A4" s="1284"/>
      <c r="B4" s="1284"/>
      <c r="C4" s="1284"/>
      <c r="D4" s="1284"/>
      <c r="E4" s="8884"/>
      <c r="F4" s="8884"/>
      <c r="G4" s="8883">
        <v>1</v>
      </c>
      <c r="H4" s="1284"/>
      <c r="I4" s="1284"/>
      <c r="J4" s="1284"/>
      <c r="K4" s="1284"/>
      <c r="L4" s="1285"/>
      <c r="M4" s="1286"/>
      <c r="N4" s="1286"/>
      <c r="O4" s="1286"/>
      <c r="P4" s="275"/>
      <c r="Q4" s="273"/>
      <c r="R4" s="274"/>
      <c r="S4" s="1258" t="e">
        <f>INDEX(PT_DIFFERENTIATION_NUM_CS,MATCH(C4,PT_DIFFERENTIATION_CS_ID,0))</f>
        <v>#N/A</v>
      </c>
      <c r="T4" s="225" t="s">
        <v>864</v>
      </c>
      <c r="U4" s="214"/>
      <c r="V4" s="8869"/>
      <c r="W4" s="8870"/>
      <c r="X4" s="8870"/>
      <c r="Y4" s="8870"/>
      <c r="Z4" s="8870"/>
      <c r="AA4" s="8870"/>
      <c r="AB4" s="8870"/>
      <c r="AC4" s="8871"/>
      <c r="AD4" s="8869" t="e">
        <f>INDEX(PT_DIFFERENTIATION_CS,MATCH(C4,PT_DIFFERENTIATION_CS_ID,0))</f>
        <v>#N/A</v>
      </c>
      <c r="AE4" s="8870"/>
      <c r="AF4" s="8870"/>
      <c r="AG4" s="8870"/>
      <c r="AH4" s="8870"/>
      <c r="AI4" s="8870"/>
      <c r="AJ4" s="8870"/>
      <c r="AK4" s="8870"/>
      <c r="AL4" s="8871"/>
      <c r="AM4" s="1182" t="s">
        <v>865</v>
      </c>
      <c r="AO4" s="424"/>
      <c r="AP4" s="424" t="str">
        <f t="shared" si="0"/>
        <v xml:space="preserve">Наименование системы теплоснабжения </v>
      </c>
      <c r="AQ4" s="424"/>
      <c r="AR4" s="424"/>
    </row>
    <row r="5" spans="1:44" ht="21" hidden="1" customHeight="1">
      <c r="A5" s="1284"/>
      <c r="B5" s="1284"/>
      <c r="C5" s="1284"/>
      <c r="D5" s="1284"/>
      <c r="E5" s="8884"/>
      <c r="F5" s="8884"/>
      <c r="G5" s="8884"/>
      <c r="H5" s="8883">
        <v>1</v>
      </c>
      <c r="I5" s="1284"/>
      <c r="J5" s="1284"/>
      <c r="K5" s="1284"/>
      <c r="L5" s="1285"/>
      <c r="M5" s="1286"/>
      <c r="N5" s="1286"/>
      <c r="O5" s="1286"/>
      <c r="P5" s="275"/>
      <c r="Q5" s="273"/>
      <c r="R5" s="274"/>
      <c r="S5" s="1258" t="e">
        <f>INDEX(PT_DIFFERENTIATION_NUM_IST_TE,MATCH(D5,PT_DIFFERENTIATION_IST_TE_ID,0))</f>
        <v>#N/A</v>
      </c>
      <c r="T5" s="226" t="s">
        <v>866</v>
      </c>
      <c r="U5" s="214"/>
      <c r="V5" s="8869"/>
      <c r="W5" s="8870"/>
      <c r="X5" s="8870"/>
      <c r="Y5" s="8870"/>
      <c r="Z5" s="8870"/>
      <c r="AA5" s="8870"/>
      <c r="AB5" s="8870"/>
      <c r="AC5" s="8871"/>
      <c r="AD5" s="8869" t="e">
        <f>INDEX(PT_DIFFERENTIATION_IST_TE,MATCH(D5,PT_DIFFERENTIATION_IST_TE_ID,0))</f>
        <v>#N/A</v>
      </c>
      <c r="AE5" s="8870"/>
      <c r="AF5" s="8870"/>
      <c r="AG5" s="8870"/>
      <c r="AH5" s="8870"/>
      <c r="AI5" s="8870"/>
      <c r="AJ5" s="8870"/>
      <c r="AK5" s="8870"/>
      <c r="AL5" s="8871"/>
      <c r="AM5" s="1182" t="s">
        <v>867</v>
      </c>
      <c r="AO5" s="424"/>
      <c r="AP5" s="424" t="str">
        <f t="shared" si="0"/>
        <v xml:space="preserve">Источник тепловой энергии  </v>
      </c>
      <c r="AQ5" s="424"/>
      <c r="AR5" s="424"/>
    </row>
    <row r="6" spans="1:44" ht="14.25" hidden="1" customHeight="1">
      <c r="A6" s="1284"/>
      <c r="B6" s="1284"/>
      <c r="C6" s="1284"/>
      <c r="D6" s="1284"/>
      <c r="E6" s="8884"/>
      <c r="F6" s="8884"/>
      <c r="G6" s="8884"/>
      <c r="H6" s="8884"/>
      <c r="I6" s="8881" t="e">
        <f>S5&amp;".1"</f>
        <v>#N/A</v>
      </c>
      <c r="J6" s="1284"/>
      <c r="K6" s="1284"/>
      <c r="L6" s="1285" t="s">
        <v>868</v>
      </c>
      <c r="M6" s="460"/>
      <c r="P6" s="8882">
        <v>1</v>
      </c>
      <c r="Q6" s="1253"/>
      <c r="R6" s="277"/>
      <c r="S6" s="953"/>
      <c r="T6" s="1304"/>
      <c r="U6" s="1305"/>
      <c r="V6" s="8910"/>
      <c r="W6" s="8911"/>
      <c r="X6" s="8911"/>
      <c r="Y6" s="8911"/>
      <c r="Z6" s="8911"/>
      <c r="AA6" s="8911"/>
      <c r="AB6" s="8911"/>
      <c r="AC6" s="8912"/>
      <c r="AD6" s="8910"/>
      <c r="AE6" s="8911"/>
      <c r="AF6" s="8911"/>
      <c r="AG6" s="8911"/>
      <c r="AH6" s="8911"/>
      <c r="AI6" s="8911"/>
      <c r="AJ6" s="8911"/>
      <c r="AK6" s="8911"/>
      <c r="AL6" s="8912"/>
      <c r="AM6" s="1306"/>
      <c r="AO6" s="424"/>
      <c r="AP6" s="424" t="str">
        <f t="shared" si="0"/>
        <v/>
      </c>
      <c r="AQ6" s="424"/>
      <c r="AR6" s="424"/>
    </row>
    <row r="7" spans="1:44" ht="21" hidden="1" customHeight="1">
      <c r="A7" s="1284"/>
      <c r="B7" s="1284"/>
      <c r="C7" s="1284"/>
      <c r="D7" s="1284"/>
      <c r="E7" s="8884"/>
      <c r="F7" s="8884"/>
      <c r="G7" s="8884"/>
      <c r="H7" s="8884"/>
      <c r="I7" s="8904"/>
      <c r="J7" s="8881" t="e">
        <f>I6&amp;".1"</f>
        <v>#N/A</v>
      </c>
      <c r="K7" s="1284"/>
      <c r="L7" s="1285" t="s">
        <v>871</v>
      </c>
      <c r="M7" s="460"/>
      <c r="N7" s="1287"/>
      <c r="P7" s="8882"/>
      <c r="Q7" s="8882">
        <v>1</v>
      </c>
      <c r="R7" s="278"/>
      <c r="S7" s="1258" t="e">
        <f>$J7</f>
        <v>#N/A</v>
      </c>
      <c r="T7" s="201" t="s">
        <v>872</v>
      </c>
      <c r="U7" s="214"/>
      <c r="V7" s="8872"/>
      <c r="W7" s="8873"/>
      <c r="X7" s="8873"/>
      <c r="Y7" s="8873"/>
      <c r="Z7" s="8873"/>
      <c r="AA7" s="8873"/>
      <c r="AB7" s="8873"/>
      <c r="AC7" s="8874"/>
      <c r="AD7" s="8872"/>
      <c r="AE7" s="8873"/>
      <c r="AF7" s="8873"/>
      <c r="AG7" s="8873"/>
      <c r="AH7" s="8873"/>
      <c r="AI7" s="8873"/>
      <c r="AJ7" s="8873"/>
      <c r="AK7" s="8873"/>
      <c r="AL7" s="8874"/>
      <c r="AM7" s="1182" t="s">
        <v>873</v>
      </c>
      <c r="AO7" s="424"/>
      <c r="AP7" s="424" t="str">
        <f t="shared" si="0"/>
        <v>Группа потребителей</v>
      </c>
      <c r="AQ7" s="424"/>
      <c r="AR7" s="424"/>
    </row>
    <row r="8" spans="1:44" ht="21" hidden="1" customHeight="1">
      <c r="A8" s="1284"/>
      <c r="B8" s="1284"/>
      <c r="C8" s="1284"/>
      <c r="D8" s="1284"/>
      <c r="E8" s="8884"/>
      <c r="F8" s="8884"/>
      <c r="G8" s="8884"/>
      <c r="H8" s="8884"/>
      <c r="I8" s="8904"/>
      <c r="J8" s="8904"/>
      <c r="K8" s="8881" t="e">
        <f>J7&amp;".1"</f>
        <v>#N/A</v>
      </c>
      <c r="L8" s="1285" t="s">
        <v>874</v>
      </c>
      <c r="M8" s="460"/>
      <c r="N8" s="1287"/>
      <c r="O8" s="1287"/>
      <c r="P8" s="8882"/>
      <c r="Q8" s="8882"/>
      <c r="R8" s="278">
        <v>1</v>
      </c>
      <c r="S8" s="1258" t="e">
        <f>$K8</f>
        <v>#N/A</v>
      </c>
      <c r="T8" s="1269"/>
      <c r="U8" s="214"/>
      <c r="V8" s="666"/>
      <c r="W8" s="246"/>
      <c r="X8" s="666"/>
      <c r="Y8" s="1181"/>
      <c r="Z8" s="8886"/>
      <c r="AA8" s="8734" t="s">
        <v>63</v>
      </c>
      <c r="AB8" s="8886"/>
      <c r="AC8" s="8734" t="s">
        <v>63</v>
      </c>
      <c r="AD8" s="666"/>
      <c r="AE8" s="246"/>
      <c r="AF8" s="666"/>
      <c r="AG8" s="1181"/>
      <c r="AH8" s="8886"/>
      <c r="AI8" s="8734" t="s">
        <v>63</v>
      </c>
      <c r="AJ8" s="8886"/>
      <c r="AK8" s="8734" t="s">
        <v>63</v>
      </c>
      <c r="AL8" s="246"/>
      <c r="AM8" s="8878" t="s">
        <v>875</v>
      </c>
      <c r="AN8" s="435" t="e">
        <f ca="1">STRCHECKDATE(V9:AL9)</f>
        <v>#NAME?</v>
      </c>
      <c r="AO8" s="424"/>
      <c r="AP8" s="424" t="str">
        <f t="shared" si="0"/>
        <v/>
      </c>
      <c r="AQ8" s="424"/>
      <c r="AR8" s="424"/>
    </row>
    <row r="9" spans="1:44" ht="0.75" hidden="1" customHeight="1">
      <c r="A9" s="1284"/>
      <c r="B9" s="1284"/>
      <c r="C9" s="1284"/>
      <c r="D9" s="1284"/>
      <c r="E9" s="8884"/>
      <c r="F9" s="8884"/>
      <c r="G9" s="8884"/>
      <c r="H9" s="8884"/>
      <c r="I9" s="8904"/>
      <c r="J9" s="8904"/>
      <c r="K9" s="8881"/>
      <c r="L9" s="1285"/>
      <c r="M9" s="460"/>
      <c r="N9" s="1287"/>
      <c r="O9" s="1287"/>
      <c r="P9" s="8882"/>
      <c r="Q9" s="8882"/>
      <c r="R9" s="278"/>
      <c r="S9" s="1264"/>
      <c r="T9" s="214"/>
      <c r="U9" s="214"/>
      <c r="V9" s="246"/>
      <c r="W9" s="246"/>
      <c r="X9" s="246"/>
      <c r="Y9" s="250" t="str">
        <f>Z8&amp;"-"&amp;AB8</f>
        <v>-</v>
      </c>
      <c r="Z9" s="8887"/>
      <c r="AA9" s="8734"/>
      <c r="AB9" s="8887"/>
      <c r="AC9" s="8734"/>
      <c r="AD9" s="246"/>
      <c r="AE9" s="246"/>
      <c r="AF9" s="246"/>
      <c r="AG9" s="250" t="str">
        <f>AH8&amp;"-"&amp;AJ8</f>
        <v>-</v>
      </c>
      <c r="AH9" s="8887"/>
      <c r="AI9" s="8734"/>
      <c r="AJ9" s="8887"/>
      <c r="AK9" s="8734"/>
      <c r="AL9" s="246"/>
      <c r="AM9" s="8879"/>
      <c r="AO9" s="424"/>
      <c r="AP9" s="424" t="str">
        <f t="shared" si="0"/>
        <v/>
      </c>
      <c r="AQ9" s="424"/>
      <c r="AR9" s="424"/>
    </row>
    <row r="10" spans="1:44" ht="15" hidden="1" customHeight="1">
      <c r="A10" s="1284"/>
      <c r="B10" s="1284"/>
      <c r="C10" s="1284"/>
      <c r="D10" s="1284"/>
      <c r="E10" s="8884"/>
      <c r="F10" s="8884"/>
      <c r="G10" s="8884"/>
      <c r="H10" s="8884"/>
      <c r="I10" s="8904"/>
      <c r="J10" s="8881"/>
      <c r="K10" s="1284"/>
      <c r="L10" s="1285"/>
      <c r="M10" s="460"/>
      <c r="N10" s="1287"/>
      <c r="P10" s="8882"/>
      <c r="Q10" s="8882"/>
      <c r="R10" s="277"/>
      <c r="S10" s="1203"/>
      <c r="T10" s="202" t="s">
        <v>876</v>
      </c>
      <c r="U10" s="291"/>
      <c r="V10" s="291"/>
      <c r="W10" s="291"/>
      <c r="X10" s="291"/>
      <c r="Y10" s="291"/>
      <c r="Z10" s="291"/>
      <c r="AA10" s="291"/>
      <c r="AB10" s="291"/>
      <c r="AC10" s="291"/>
      <c r="AD10" s="291"/>
      <c r="AE10" s="291"/>
      <c r="AF10" s="291"/>
      <c r="AG10" s="291"/>
      <c r="AH10" s="291"/>
      <c r="AI10" s="291"/>
      <c r="AJ10" s="291"/>
      <c r="AK10" s="291"/>
      <c r="AL10" s="245"/>
      <c r="AM10" s="8880"/>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8884"/>
      <c r="F11" s="8884"/>
      <c r="G11" s="8884"/>
      <c r="H11" s="8884"/>
      <c r="I11" s="8881"/>
      <c r="J11" s="1284"/>
      <c r="K11" s="1284"/>
      <c r="L11" s="1285"/>
      <c r="M11" s="460"/>
      <c r="P11" s="8882"/>
      <c r="Q11" s="1253"/>
      <c r="R11" s="277"/>
      <c r="S11" s="1203"/>
      <c r="T11" s="288" t="s">
        <v>877</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8884"/>
      <c r="F12" s="8884"/>
      <c r="G12" s="8884"/>
      <c r="H12" s="8883"/>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0.75" hidden="1" customHeight="1">
      <c r="A13" s="1237"/>
      <c r="B13" s="1237"/>
      <c r="C13" s="1237"/>
      <c r="D13" s="1237"/>
      <c r="E13" s="8884"/>
      <c r="F13" s="8884"/>
      <c r="G13" s="8883"/>
      <c r="H13" s="1237"/>
      <c r="I13" s="1237"/>
      <c r="J13" s="1237"/>
      <c r="K13" s="1237"/>
      <c r="L13" s="1261"/>
      <c r="M13" s="1238"/>
      <c r="N13" s="1238"/>
      <c r="P13" s="1239"/>
      <c r="Q13" s="1240"/>
      <c r="R13" s="1239"/>
      <c r="S13" s="1241"/>
      <c r="T13" s="1242" t="s">
        <v>879</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8884"/>
      <c r="F14" s="8883"/>
      <c r="G14" s="1237"/>
      <c r="H14" s="1237"/>
      <c r="I14" s="1237"/>
      <c r="J14" s="1237"/>
      <c r="K14" s="1237"/>
      <c r="L14" s="1261"/>
      <c r="M14" s="1244"/>
      <c r="N14" s="1244"/>
      <c r="P14" s="1239"/>
      <c r="Q14" s="1240"/>
      <c r="R14" s="1239"/>
      <c r="S14" s="1245"/>
      <c r="T14" s="1246" t="s">
        <v>314</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8883"/>
      <c r="F15" s="1237"/>
      <c r="G15" s="1237"/>
      <c r="H15" s="1237"/>
      <c r="I15" s="1237"/>
      <c r="J15" s="1237"/>
      <c r="K15" s="1237"/>
      <c r="L15" s="1261"/>
      <c r="M15" s="1244"/>
      <c r="N15" s="1244"/>
      <c r="P15" s="1239"/>
      <c r="Q15" s="1240"/>
      <c r="R15" s="1239"/>
      <c r="S15" s="1245"/>
      <c r="T15" s="1248" t="s">
        <v>315</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8888"/>
      <c r="AI17" s="8889" t="s">
        <v>63</v>
      </c>
      <c r="AJ17" s="8888"/>
      <c r="AK17" s="8889" t="s">
        <v>63</v>
      </c>
    </row>
    <row r="18" spans="1:44" ht="14.25" hidden="1" customHeight="1">
      <c r="AD18" s="1281"/>
      <c r="AE18" s="1281"/>
      <c r="AF18" s="1281"/>
      <c r="AG18" s="250" t="str">
        <f>AH17&amp;"-"&amp;AJ17</f>
        <v>-</v>
      </c>
      <c r="AH18" s="8889"/>
      <c r="AI18" s="8889"/>
      <c r="AJ18" s="8889"/>
      <c r="AK18" s="8889"/>
    </row>
    <row r="19" spans="1:44" ht="14.25" hidden="1" customHeight="1">
      <c r="AK19" s="249"/>
    </row>
    <row r="20" spans="1:44" s="1287" customFormat="1" ht="22.5" hidden="1" customHeight="1">
      <c r="L20" s="1251"/>
      <c r="M20" s="1283"/>
      <c r="N20" s="1283"/>
      <c r="O20" s="1288" t="s">
        <v>880</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881</v>
      </c>
      <c r="P22" s="1283"/>
      <c r="Q22" s="1292"/>
      <c r="R22" s="1292"/>
      <c r="S22" s="646"/>
      <c r="T22" s="1065" t="s">
        <v>882</v>
      </c>
      <c r="AA22" s="104" t="s">
        <v>883</v>
      </c>
      <c r="AC22" s="104" t="s">
        <v>884</v>
      </c>
      <c r="AD22" s="1065" t="s">
        <v>882</v>
      </c>
      <c r="AI22" s="104" t="s">
        <v>885</v>
      </c>
      <c r="AK22" s="104" t="s">
        <v>884</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 customHeight="1">
      <c r="Q26" s="300"/>
      <c r="R26" s="300"/>
      <c r="S26" s="88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8867"/>
      <c r="U26" s="8867"/>
      <c r="V26" s="8867"/>
      <c r="W26" s="8867"/>
      <c r="X26" s="8867"/>
      <c r="Y26" s="8867"/>
      <c r="Z26" s="8867"/>
      <c r="AA26" s="8867"/>
      <c r="AB26" s="8867"/>
      <c r="AC26" s="8867"/>
      <c r="AD26" s="8867"/>
      <c r="AE26" s="8867"/>
      <c r="AF26" s="8867"/>
      <c r="AG26" s="8867"/>
      <c r="AH26" s="8867"/>
      <c r="AI26" s="8867"/>
      <c r="AJ26" s="8867"/>
      <c r="AK26" s="1157"/>
    </row>
    <row r="27" spans="1:44" ht="14.25" customHeight="1">
      <c r="Q27" s="300"/>
      <c r="R27" s="300"/>
      <c r="S27" s="8814" t="str">
        <f>IF(org=0,"Не определено",org)</f>
        <v>ГУП СК "Ставрополькрайводоканал"</v>
      </c>
      <c r="T27" s="8814"/>
      <c r="U27" s="8814"/>
      <c r="V27" s="8814"/>
      <c r="W27" s="8814"/>
      <c r="X27" s="8814"/>
      <c r="Y27" s="8814"/>
      <c r="Z27" s="8814"/>
      <c r="AA27" s="8814"/>
      <c r="AB27" s="8814"/>
      <c r="AC27" s="8814"/>
      <c r="AD27" s="8814"/>
      <c r="AE27" s="8814"/>
      <c r="AF27" s="8814"/>
      <c r="AG27" s="8814"/>
      <c r="AH27" s="8814"/>
      <c r="AI27" s="8814"/>
      <c r="AJ27" s="8814"/>
      <c r="AK27" s="1157"/>
    </row>
    <row r="28" spans="1:44" ht="14.25" hidden="1"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hidden="1" customHeight="1">
      <c r="A29" s="1289"/>
      <c r="B29" s="1289"/>
      <c r="C29" s="1289"/>
      <c r="D29" s="1289"/>
      <c r="E29" s="1289"/>
      <c r="F29" s="1289"/>
      <c r="G29" s="1289"/>
      <c r="H29" s="1289"/>
      <c r="I29" s="1289"/>
      <c r="J29" s="1289"/>
      <c r="K29" s="1289"/>
      <c r="L29" s="1290"/>
      <c r="M29" s="1289"/>
      <c r="N29" s="1289"/>
      <c r="O29" s="1289"/>
      <c r="S29" s="8875" t="s">
        <v>38</v>
      </c>
      <c r="T29" s="8875"/>
      <c r="U29" s="1293"/>
      <c r="V29" s="8876" t="str">
        <f>IF(TITLE_NAME_OR_PR_CHANGE="",IF(TITLE_NAME_OR_PR="","",TITLE_NAME_OR_PR),TITLE_NAME_OR_PR_CHANGE)</f>
        <v/>
      </c>
      <c r="W29" s="8876"/>
      <c r="X29" s="8876"/>
      <c r="Y29" s="8876"/>
      <c r="Z29" s="8876"/>
      <c r="AA29" s="8876"/>
      <c r="AB29" s="8876"/>
      <c r="AC29" s="248"/>
      <c r="AD29" s="8876" t="str">
        <f>IF(TITLE_NAME_OR_PR_CHANGE="",IF(TITLE_NAME_OR_PR="","",TITLE_NAME_OR_PR),TITLE_NAME_OR_PR_CHANGE)</f>
        <v/>
      </c>
      <c r="AE29" s="8876"/>
      <c r="AF29" s="8876"/>
      <c r="AG29" s="8876"/>
      <c r="AH29" s="8876"/>
      <c r="AI29" s="8876"/>
      <c r="AJ29" s="8876"/>
      <c r="AK29" s="248"/>
      <c r="AL29" s="248"/>
      <c r="AM29" s="196"/>
      <c r="AN29" s="292"/>
      <c r="AO29" s="292"/>
      <c r="AP29" s="292"/>
      <c r="AQ29" s="292"/>
      <c r="AR29" s="292"/>
    </row>
    <row r="30" spans="1:44" s="1771" customFormat="1" ht="18.75" hidden="1" customHeight="1">
      <c r="A30" s="1289"/>
      <c r="B30" s="1289"/>
      <c r="C30" s="1289"/>
      <c r="D30" s="1289"/>
      <c r="E30" s="1289"/>
      <c r="F30" s="1289"/>
      <c r="G30" s="1289"/>
      <c r="H30" s="1289"/>
      <c r="I30" s="1289"/>
      <c r="J30" s="1289"/>
      <c r="K30" s="1289"/>
      <c r="L30" s="1290"/>
      <c r="M30" s="1289"/>
      <c r="N30" s="1289"/>
      <c r="O30" s="1289"/>
      <c r="S30" s="8875" t="s">
        <v>886</v>
      </c>
      <c r="T30" s="8875"/>
      <c r="U30" s="1293"/>
      <c r="V30" s="8885">
        <f>IF(TITLE_DATE_PR_CHANGE="",IF(TITLE_DATE_PR="","",TITLE_DATE_PR),TITLE_DATE_PR_CHANGE)</f>
        <v>45281.411851851852</v>
      </c>
      <c r="W30" s="8885"/>
      <c r="X30" s="8885"/>
      <c r="Y30" s="8885"/>
      <c r="Z30" s="8885"/>
      <c r="AA30" s="8885"/>
      <c r="AB30" s="8885"/>
      <c r="AC30" s="248"/>
      <c r="AD30" s="8885">
        <f>IF(TITLE_DATE_PR_CHANGE="",IF(TITLE_DATE_PR="","",TITLE_DATE_PR),TITLE_DATE_PR_CHANGE)</f>
        <v>45281.411851851852</v>
      </c>
      <c r="AE30" s="8885"/>
      <c r="AF30" s="8885"/>
      <c r="AG30" s="8885"/>
      <c r="AH30" s="8885"/>
      <c r="AI30" s="8885"/>
      <c r="AJ30" s="8885"/>
      <c r="AK30" s="248"/>
      <c r="AL30" s="248"/>
      <c r="AM30" s="196"/>
      <c r="AN30" s="292"/>
      <c r="AO30" s="292"/>
      <c r="AP30" s="292"/>
      <c r="AQ30" s="292"/>
      <c r="AR30" s="292"/>
    </row>
    <row r="31" spans="1:44" s="1771" customFormat="1" ht="18.75" hidden="1" customHeight="1">
      <c r="A31" s="1289"/>
      <c r="B31" s="1289"/>
      <c r="C31" s="1289"/>
      <c r="D31" s="1289"/>
      <c r="E31" s="1289"/>
      <c r="F31" s="1289"/>
      <c r="G31" s="1289"/>
      <c r="H31" s="1289"/>
      <c r="I31" s="1289"/>
      <c r="J31" s="1289"/>
      <c r="K31" s="1289"/>
      <c r="L31" s="1290"/>
      <c r="M31" s="1289"/>
      <c r="N31" s="1289"/>
      <c r="O31" s="1289"/>
      <c r="S31" s="8875" t="s">
        <v>887</v>
      </c>
      <c r="T31" s="8875"/>
      <c r="U31" s="1293"/>
      <c r="V31" s="8876" t="str">
        <f>IF(TITLE_NUMBER_PR_CHANGE="",IF(TITLE_NUMBER_PR="","",TITLE_NUMBER_PR),TITLE_NUMBER_PR_CHANGE)</f>
        <v>06-11/11398</v>
      </c>
      <c r="W31" s="8876"/>
      <c r="X31" s="8876"/>
      <c r="Y31" s="8876"/>
      <c r="Z31" s="8876"/>
      <c r="AA31" s="8876"/>
      <c r="AB31" s="8876"/>
      <c r="AC31" s="248"/>
      <c r="AD31" s="8876" t="str">
        <f>IF(TITLE_NUMBER_PR_CHANGE="",IF(TITLE_NUMBER_PR="","",TITLE_NUMBER_PR),TITLE_NUMBER_PR_CHANGE)</f>
        <v>06-11/11398</v>
      </c>
      <c r="AE31" s="8876"/>
      <c r="AF31" s="8876"/>
      <c r="AG31" s="8876"/>
      <c r="AH31" s="8876"/>
      <c r="AI31" s="8876"/>
      <c r="AJ31" s="8876"/>
      <c r="AK31" s="248"/>
      <c r="AL31" s="248"/>
      <c r="AM31" s="196"/>
      <c r="AN31" s="292"/>
      <c r="AO31" s="292"/>
      <c r="AP31" s="292"/>
      <c r="AQ31" s="292"/>
      <c r="AR31" s="292"/>
    </row>
    <row r="32" spans="1:44" s="1771" customFormat="1" ht="18.75" hidden="1" customHeight="1">
      <c r="A32" s="1289"/>
      <c r="B32" s="1289"/>
      <c r="C32" s="1289"/>
      <c r="D32" s="1289"/>
      <c r="E32" s="1289"/>
      <c r="F32" s="1289"/>
      <c r="G32" s="1289"/>
      <c r="H32" s="1289"/>
      <c r="I32" s="1289"/>
      <c r="J32" s="1289"/>
      <c r="K32" s="1289"/>
      <c r="L32" s="1290"/>
      <c r="M32" s="1289"/>
      <c r="N32" s="1289"/>
      <c r="O32" s="1289"/>
      <c r="S32" s="8875" t="s">
        <v>39</v>
      </c>
      <c r="T32" s="8875"/>
      <c r="U32" s="1293"/>
      <c r="V32" s="8876" t="str">
        <f>IF(TITLE_IST_PUB_CHANGE="",IF(TITLE_IST_PUB="","",TITLE_IST_PUB),TITLE_IST_PUB_CHANGE)</f>
        <v/>
      </c>
      <c r="W32" s="8876"/>
      <c r="X32" s="8876"/>
      <c r="Y32" s="8876"/>
      <c r="Z32" s="8876"/>
      <c r="AA32" s="8876"/>
      <c r="AB32" s="8876"/>
      <c r="AC32" s="248"/>
      <c r="AD32" s="8876" t="str">
        <f>IF(TITLE_IST_PUB_CHANGE="",IF(TITLE_IST_PUB="","",TITLE_IST_PUB),TITLE_IST_PUB_CHANGE)</f>
        <v/>
      </c>
      <c r="AE32" s="8876"/>
      <c r="AF32" s="8876"/>
      <c r="AG32" s="8876"/>
      <c r="AH32" s="8876"/>
      <c r="AI32" s="8876"/>
      <c r="AJ32" s="8876"/>
      <c r="AK32" s="248"/>
      <c r="AL32" s="248"/>
      <c r="AM32" s="196"/>
      <c r="AN32" s="292"/>
      <c r="AO32" s="292"/>
      <c r="AP32" s="292"/>
      <c r="AQ32" s="292"/>
      <c r="AR32" s="292"/>
    </row>
    <row r="33" spans="1:44" ht="14.25"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customHeight="1">
      <c r="A34" s="1289"/>
      <c r="B34" s="1289"/>
      <c r="C34" s="1289"/>
      <c r="D34" s="1289"/>
      <c r="E34" s="1289"/>
      <c r="F34" s="1289"/>
      <c r="G34" s="1289"/>
      <c r="H34" s="1289"/>
      <c r="I34" s="1289"/>
      <c r="J34" s="1289"/>
      <c r="K34" s="1289"/>
      <c r="L34" s="1290"/>
      <c r="M34" s="1289"/>
      <c r="N34" s="1289"/>
      <c r="O34" s="1289"/>
      <c r="S34" s="8875" t="s">
        <v>888</v>
      </c>
      <c r="T34" s="8875"/>
      <c r="U34" s="1293"/>
      <c r="V34" s="8885">
        <f>IF(TITLE_DATE_PR_CHANGE="",IF(TITLE_DATE_PR="","",TITLE_DATE_PR),TITLE_DATE_PR_CHANGE)</f>
        <v>45281.411851851852</v>
      </c>
      <c r="W34" s="8885"/>
      <c r="X34" s="8885"/>
      <c r="Y34" s="8885"/>
      <c r="Z34" s="8885"/>
      <c r="AA34" s="8885"/>
      <c r="AB34" s="8885"/>
      <c r="AC34" s="248"/>
      <c r="AD34" s="8885">
        <f>IF(TITLE_DATE_PR_CHANGE="",IF(TITLE_DATE_PR="","",TITLE_DATE_PR),TITLE_DATE_PR_CHANGE)</f>
        <v>45281.411851851852</v>
      </c>
      <c r="AE34" s="8885"/>
      <c r="AF34" s="8885"/>
      <c r="AG34" s="8885"/>
      <c r="AH34" s="8885"/>
      <c r="AI34" s="8885"/>
      <c r="AJ34" s="8885"/>
      <c r="AK34" s="248"/>
      <c r="AL34" s="248"/>
      <c r="AM34" s="196"/>
      <c r="AN34" s="292"/>
      <c r="AO34" s="292"/>
      <c r="AP34" s="292"/>
      <c r="AQ34" s="292"/>
      <c r="AR34" s="292"/>
    </row>
    <row r="35" spans="1:44" s="1771" customFormat="1" ht="18.75" customHeight="1">
      <c r="A35" s="1289"/>
      <c r="B35" s="1289"/>
      <c r="C35" s="1289"/>
      <c r="D35" s="1289"/>
      <c r="E35" s="1289"/>
      <c r="F35" s="1289"/>
      <c r="G35" s="1289"/>
      <c r="H35" s="1289"/>
      <c r="I35" s="1289"/>
      <c r="J35" s="1289"/>
      <c r="K35" s="1289"/>
      <c r="L35" s="1290"/>
      <c r="M35" s="1289"/>
      <c r="N35" s="1289"/>
      <c r="O35" s="1289"/>
      <c r="S35" s="8875" t="s">
        <v>889</v>
      </c>
      <c r="T35" s="8875"/>
      <c r="U35" s="1293"/>
      <c r="V35" s="8876" t="str">
        <f>IF(TITLE_NUMBER_PR_CHANGE="",IF(TITLE_NUMBER_PR="","",TITLE_NUMBER_PR),TITLE_NUMBER_PR_CHANGE)</f>
        <v>06-11/11398</v>
      </c>
      <c r="W35" s="8876"/>
      <c r="X35" s="8876"/>
      <c r="Y35" s="8876"/>
      <c r="Z35" s="8876"/>
      <c r="AA35" s="8876"/>
      <c r="AB35" s="8876"/>
      <c r="AC35" s="248"/>
      <c r="AD35" s="8876" t="str">
        <f>IF(TITLE_NUMBER_PR_CHANGE="",IF(TITLE_NUMBER_PR="","",TITLE_NUMBER_PR),TITLE_NUMBER_PR_CHANGE)</f>
        <v>06-11/11398</v>
      </c>
      <c r="AE35" s="8876"/>
      <c r="AF35" s="8876"/>
      <c r="AG35" s="8876"/>
      <c r="AH35" s="8876"/>
      <c r="AI35" s="8876"/>
      <c r="AJ35" s="8876"/>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890</v>
      </c>
      <c r="AD36" s="248"/>
      <c r="AE36" s="248"/>
      <c r="AF36" s="248"/>
      <c r="AG36" s="248"/>
      <c r="AH36" s="248"/>
      <c r="AI36" s="248"/>
      <c r="AJ36" s="248"/>
      <c r="AK36" s="194" t="s">
        <v>890</v>
      </c>
      <c r="AN36" s="292"/>
      <c r="AO36" s="292"/>
      <c r="AP36" s="292"/>
      <c r="AQ36" s="292"/>
      <c r="AR36" s="292"/>
    </row>
    <row r="37" spans="1:44" ht="14.25" customHeight="1">
      <c r="Q37" s="300"/>
      <c r="R37" s="300"/>
      <c r="S37" s="1200"/>
      <c r="T37" s="286"/>
      <c r="U37" s="1158"/>
      <c r="V37" s="8877"/>
      <c r="W37" s="8877"/>
      <c r="X37" s="8877"/>
      <c r="Y37" s="8877"/>
      <c r="Z37" s="8877"/>
      <c r="AA37" s="8877"/>
      <c r="AB37" s="8877"/>
      <c r="AC37" s="8877"/>
      <c r="AD37" s="8877"/>
      <c r="AE37" s="8877"/>
      <c r="AF37" s="8877"/>
      <c r="AG37" s="8877"/>
      <c r="AH37" s="8877"/>
      <c r="AI37" s="8877"/>
      <c r="AJ37" s="8877"/>
      <c r="AK37" s="8877"/>
    </row>
    <row r="38" spans="1:44" ht="14.25" customHeight="1">
      <c r="Q38" s="300"/>
      <c r="R38" s="300"/>
      <c r="S38" s="8753" t="s">
        <v>763</v>
      </c>
      <c r="T38" s="8753"/>
      <c r="U38" s="8753"/>
      <c r="V38" s="8753"/>
      <c r="W38" s="8753"/>
      <c r="X38" s="8753"/>
      <c r="Y38" s="8753"/>
      <c r="Z38" s="8753"/>
      <c r="AA38" s="8753"/>
      <c r="AB38" s="8753"/>
      <c r="AC38" s="8753"/>
      <c r="AD38" s="8753"/>
      <c r="AE38" s="8753"/>
      <c r="AF38" s="8753"/>
      <c r="AG38" s="8753"/>
      <c r="AH38" s="8753"/>
      <c r="AI38" s="8753"/>
      <c r="AJ38" s="8753"/>
      <c r="AK38" s="8753"/>
      <c r="AL38" s="8753"/>
      <c r="AM38" s="8753" t="s">
        <v>764</v>
      </c>
    </row>
    <row r="39" spans="1:44" ht="14.25" customHeight="1">
      <c r="Q39" s="300"/>
      <c r="R39" s="300"/>
      <c r="S39" s="8891" t="s">
        <v>84</v>
      </c>
      <c r="T39" s="8843" t="s">
        <v>891</v>
      </c>
      <c r="U39" s="215"/>
      <c r="V39" s="8892" t="s">
        <v>892</v>
      </c>
      <c r="W39" s="8893"/>
      <c r="X39" s="8893"/>
      <c r="Y39" s="8893"/>
      <c r="Z39" s="8893"/>
      <c r="AA39" s="8893"/>
      <c r="AB39" s="8894"/>
      <c r="AC39" s="8895" t="s">
        <v>893</v>
      </c>
      <c r="AD39" s="8892" t="s">
        <v>892</v>
      </c>
      <c r="AE39" s="8893"/>
      <c r="AF39" s="8893"/>
      <c r="AG39" s="8893"/>
      <c r="AH39" s="8893"/>
      <c r="AI39" s="8893"/>
      <c r="AJ39" s="8894"/>
      <c r="AK39" s="8895" t="s">
        <v>894</v>
      </c>
      <c r="AL39" s="8898" t="s">
        <v>895</v>
      </c>
      <c r="AM39" s="8753"/>
    </row>
    <row r="40" spans="1:44" ht="33.75" customHeight="1">
      <c r="Q40" s="300"/>
      <c r="R40" s="300"/>
      <c r="S40" s="8891"/>
      <c r="T40" s="8843"/>
      <c r="U40" s="942"/>
      <c r="V40" s="8813" t="s">
        <v>896</v>
      </c>
      <c r="W40" s="8901"/>
      <c r="X40" s="8724" t="s">
        <v>898</v>
      </c>
      <c r="Y40" s="8723"/>
      <c r="Z40" s="8724" t="s">
        <v>899</v>
      </c>
      <c r="AA40" s="8729"/>
      <c r="AB40" s="8723"/>
      <c r="AC40" s="8896"/>
      <c r="AD40" s="8813" t="s">
        <v>896</v>
      </c>
      <c r="AE40" s="8901"/>
      <c r="AF40" s="8724" t="s">
        <v>898</v>
      </c>
      <c r="AG40" s="8723"/>
      <c r="AH40" s="8724" t="s">
        <v>899</v>
      </c>
      <c r="AI40" s="8729"/>
      <c r="AJ40" s="8723"/>
      <c r="AK40" s="8896"/>
      <c r="AL40" s="8899"/>
      <c r="AM40" s="8753"/>
    </row>
    <row r="41" spans="1:44" ht="33.75" customHeight="1">
      <c r="A41" s="1291"/>
      <c r="B41" s="1291" t="s">
        <v>223</v>
      </c>
      <c r="C41" s="1291" t="s">
        <v>224</v>
      </c>
      <c r="D41" s="1291" t="s">
        <v>225</v>
      </c>
      <c r="E41" s="1285" t="s">
        <v>900</v>
      </c>
      <c r="F41" s="1285" t="s">
        <v>901</v>
      </c>
      <c r="G41" s="1285" t="s">
        <v>902</v>
      </c>
      <c r="H41" s="1285" t="s">
        <v>903</v>
      </c>
      <c r="I41" s="1285" t="s">
        <v>904</v>
      </c>
      <c r="J41" s="1285" t="s">
        <v>905</v>
      </c>
      <c r="K41" s="1285" t="s">
        <v>906</v>
      </c>
      <c r="L41" s="1285" t="s">
        <v>881</v>
      </c>
      <c r="Q41" s="300"/>
      <c r="R41" s="300"/>
      <c r="S41" s="8891"/>
      <c r="T41" s="8843"/>
      <c r="U41" s="216"/>
      <c r="V41" s="8862"/>
      <c r="W41" s="8902"/>
      <c r="X41" s="1133" t="s">
        <v>907</v>
      </c>
      <c r="Y41" s="1133" t="s">
        <v>908</v>
      </c>
      <c r="Z41" s="1260" t="s">
        <v>909</v>
      </c>
      <c r="AA41" s="8851" t="s">
        <v>910</v>
      </c>
      <c r="AB41" s="8853"/>
      <c r="AC41" s="8897"/>
      <c r="AD41" s="8862"/>
      <c r="AE41" s="8902"/>
      <c r="AF41" s="1133" t="s">
        <v>907</v>
      </c>
      <c r="AG41" s="1133" t="s">
        <v>908</v>
      </c>
      <c r="AH41" s="1260" t="s">
        <v>909</v>
      </c>
      <c r="AI41" s="8851" t="s">
        <v>910</v>
      </c>
      <c r="AJ41" s="8853"/>
      <c r="AK41" s="8897"/>
      <c r="AL41" s="8900"/>
      <c r="AM41" s="875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95</v>
      </c>
      <c r="T42" s="1177" t="s">
        <v>99</v>
      </c>
      <c r="U42" s="1159" t="str">
        <f ca="1">OFFSET(U42,0,-1)</f>
        <v>2</v>
      </c>
      <c r="V42" s="1257">
        <f ca="1">OFFSET(V42,0,-1)+1</f>
        <v>3</v>
      </c>
      <c r="W42" s="1257"/>
      <c r="X42" s="1257">
        <f ca="1">OFFSET(X42,0,-1)+1</f>
        <v>1</v>
      </c>
      <c r="Y42" s="1257">
        <f ca="1">OFFSET(Y42,0,-1)+1</f>
        <v>2</v>
      </c>
      <c r="Z42" s="1257">
        <f ca="1">OFFSET(Z42,0,-1)+1</f>
        <v>3</v>
      </c>
      <c r="AA42" s="8890">
        <f ca="1">OFFSET(AA42,0,-1)+1</f>
        <v>4</v>
      </c>
      <c r="AB42" s="8890"/>
      <c r="AC42" s="1257">
        <f ca="1">OFFSET(AC42,0,-2)+1</f>
        <v>5</v>
      </c>
      <c r="AD42" s="1257">
        <f ca="1">OFFSET(AD42,0,-1)+1</f>
        <v>6</v>
      </c>
      <c r="AE42" s="1257"/>
      <c r="AF42" s="1257">
        <f ca="1">OFFSET(AF42,0,-1)+1</f>
        <v>1</v>
      </c>
      <c r="AG42" s="1257">
        <f ca="1">OFFSET(AG42,0,-1)+1</f>
        <v>2</v>
      </c>
      <c r="AH42" s="1257">
        <f ca="1">OFFSET(AH42,0,-1)+1</f>
        <v>3</v>
      </c>
      <c r="AI42" s="8890">
        <f ca="1">OFFSET(AI42,0,-1)+1</f>
        <v>4</v>
      </c>
      <c r="AJ42" s="8890"/>
      <c r="AK42" s="1257">
        <f ca="1">OFFSET(AK42,0,-2)+1</f>
        <v>5</v>
      </c>
      <c r="AL42" s="1159">
        <f ca="1">OFFSET(AL42,0,-1)</f>
        <v>5</v>
      </c>
      <c r="AM42" s="1257">
        <f ca="1">OFFSET(AM42,0,-1)+1</f>
        <v>6</v>
      </c>
      <c r="AN42" s="435"/>
      <c r="AO42" s="435"/>
      <c r="AP42" s="435"/>
      <c r="AQ42" s="435"/>
      <c r="AR42" s="435"/>
    </row>
    <row r="43" spans="1:44" ht="21" customHeight="1">
      <c r="A43" s="1284" t="s">
        <v>250</v>
      </c>
      <c r="B43" s="1284"/>
      <c r="C43" s="1284"/>
      <c r="D43" s="1284"/>
      <c r="E43" s="8883">
        <v>1</v>
      </c>
      <c r="F43" s="1284"/>
      <c r="G43" s="1284"/>
      <c r="H43" s="1284"/>
      <c r="I43" s="1284"/>
      <c r="J43" s="1284"/>
      <c r="K43" s="1284"/>
      <c r="L43" s="1285"/>
      <c r="M43" s="1286"/>
      <c r="N43" s="1286"/>
      <c r="O43" s="1286"/>
      <c r="P43" s="282"/>
      <c r="Q43" s="281"/>
      <c r="R43" s="276"/>
      <c r="S43" s="1258">
        <f>INDEX(PT_DIFFERENTIATION_NUM_NTAR,MATCH(A43,PT_DIFFERENTIATION_NTAR_ID,0))</f>
        <v>0</v>
      </c>
      <c r="T43" s="212" t="s">
        <v>211</v>
      </c>
      <c r="U43" s="214"/>
      <c r="V43" s="8869"/>
      <c r="W43" s="8870"/>
      <c r="X43" s="8870"/>
      <c r="Y43" s="8870"/>
      <c r="Z43" s="8870"/>
      <c r="AA43" s="8870"/>
      <c r="AB43" s="8870"/>
      <c r="AC43" s="8871"/>
      <c r="AD43" s="8869" t="str">
        <f>INDEX(PT_DIFFERENTIATION_NTAR,MATCH(A43,PT_DIFFERENTIATION_NTAR_ID,0))</f>
        <v/>
      </c>
      <c r="AE43" s="8870"/>
      <c r="AF43" s="8870"/>
      <c r="AG43" s="8870"/>
      <c r="AH43" s="8870"/>
      <c r="AI43" s="8870"/>
      <c r="AJ43" s="8870"/>
      <c r="AK43" s="8870"/>
      <c r="AL43" s="887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4"/>
      <c r="AP43" s="424" t="str">
        <f t="shared" ref="AP43:AP57" si="1">IF(T43="","",T43)</f>
        <v>Наименование тарифа</v>
      </c>
      <c r="AQ43" s="424"/>
      <c r="AR43" s="424"/>
    </row>
    <row r="44" spans="1:44" ht="21" customHeight="1">
      <c r="A44" s="1284" t="s">
        <v>250</v>
      </c>
      <c r="B44" s="1284" t="s">
        <v>251</v>
      </c>
      <c r="C44" s="1284"/>
      <c r="D44" s="1284"/>
      <c r="E44" s="8884"/>
      <c r="F44" s="8883">
        <v>1</v>
      </c>
      <c r="G44" s="1284"/>
      <c r="H44" s="1284"/>
      <c r="I44" s="1284"/>
      <c r="J44" s="1284"/>
      <c r="K44" s="1284"/>
      <c r="L44" s="1285"/>
      <c r="M44" s="1286"/>
      <c r="N44" s="1286"/>
      <c r="O44" s="1286"/>
      <c r="P44" s="1254"/>
      <c r="Q44" s="273"/>
      <c r="R44" s="274"/>
      <c r="S44" s="1258" t="str">
        <f>INDEX(PT_DIFFERENTIATION_NUM_TER,MATCH(B44,PT_DIFFERENTIATION_TER_ID,0))</f>
        <v>.</v>
      </c>
      <c r="T44" s="224" t="s">
        <v>862</v>
      </c>
      <c r="U44" s="214"/>
      <c r="V44" s="8869"/>
      <c r="W44" s="8870"/>
      <c r="X44" s="8870"/>
      <c r="Y44" s="8870"/>
      <c r="Z44" s="8870"/>
      <c r="AA44" s="8870"/>
      <c r="AB44" s="8870"/>
      <c r="AC44" s="8871"/>
      <c r="AD44" s="8869" t="str">
        <f>INDEX(PT_DIFFERENTIATION_TER,MATCH(B44,PT_DIFFERENTIATION_TER_ID,0))</f>
        <v/>
      </c>
      <c r="AE44" s="8870"/>
      <c r="AF44" s="8870"/>
      <c r="AG44" s="8870"/>
      <c r="AH44" s="8870"/>
      <c r="AI44" s="8870"/>
      <c r="AJ44" s="8870"/>
      <c r="AK44" s="8870"/>
      <c r="AL44" s="8871"/>
      <c r="AM44" s="1182" t="s">
        <v>863</v>
      </c>
      <c r="AO44" s="424"/>
      <c r="AP44" s="424" t="str">
        <f t="shared" si="1"/>
        <v>Территория действия тарифа</v>
      </c>
      <c r="AQ44" s="424"/>
      <c r="AR44" s="424"/>
    </row>
    <row r="45" spans="1:44" ht="23.25" customHeight="1">
      <c r="A45" s="1284" t="s">
        <v>250</v>
      </c>
      <c r="B45" s="1284" t="s">
        <v>251</v>
      </c>
      <c r="C45" s="1284" t="s">
        <v>252</v>
      </c>
      <c r="D45" s="1284"/>
      <c r="E45" s="8884"/>
      <c r="F45" s="8884"/>
      <c r="G45" s="8883">
        <v>1</v>
      </c>
      <c r="H45" s="1284"/>
      <c r="I45" s="1284"/>
      <c r="J45" s="1284"/>
      <c r="K45" s="1284"/>
      <c r="L45" s="1285"/>
      <c r="M45" s="1286"/>
      <c r="N45" s="1286"/>
      <c r="O45" s="1286"/>
      <c r="P45" s="275"/>
      <c r="Q45" s="273"/>
      <c r="R45" s="274"/>
      <c r="S45" s="1258" t="str">
        <f>INDEX(PT_DIFFERENTIATION_NUM_CS,MATCH(C45,PT_DIFFERENTIATION_CS_ID,0))</f>
        <v>..</v>
      </c>
      <c r="T45" s="225" t="s">
        <v>864</v>
      </c>
      <c r="U45" s="214"/>
      <c r="V45" s="8869"/>
      <c r="W45" s="8870"/>
      <c r="X45" s="8870"/>
      <c r="Y45" s="8870"/>
      <c r="Z45" s="8870"/>
      <c r="AA45" s="8870"/>
      <c r="AB45" s="8870"/>
      <c r="AC45" s="8871"/>
      <c r="AD45" s="8869" t="str">
        <f>INDEX(PT_DIFFERENTIATION_CS,MATCH(C45,PT_DIFFERENTIATION_CS_ID,0))</f>
        <v/>
      </c>
      <c r="AE45" s="8870"/>
      <c r="AF45" s="8870"/>
      <c r="AG45" s="8870"/>
      <c r="AH45" s="8870"/>
      <c r="AI45" s="8870"/>
      <c r="AJ45" s="8870"/>
      <c r="AK45" s="8870"/>
      <c r="AL45" s="8871"/>
      <c r="AM45" s="1182" t="s">
        <v>865</v>
      </c>
      <c r="AO45" s="424"/>
      <c r="AP45" s="424" t="str">
        <f t="shared" si="1"/>
        <v xml:space="preserve">Наименование системы теплоснабжения </v>
      </c>
      <c r="AQ45" s="424"/>
      <c r="AR45" s="424"/>
    </row>
    <row r="46" spans="1:44" ht="21" customHeight="1">
      <c r="A46" s="1284" t="s">
        <v>250</v>
      </c>
      <c r="B46" s="1284" t="s">
        <v>251</v>
      </c>
      <c r="C46" s="1284" t="s">
        <v>252</v>
      </c>
      <c r="D46" s="1284" t="s">
        <v>253</v>
      </c>
      <c r="E46" s="8884"/>
      <c r="F46" s="8884"/>
      <c r="G46" s="8884"/>
      <c r="H46" s="8883">
        <v>1</v>
      </c>
      <c r="I46" s="1284"/>
      <c r="J46" s="1284"/>
      <c r="K46" s="1284"/>
      <c r="L46" s="1285"/>
      <c r="M46" s="1286"/>
      <c r="N46" s="1286"/>
      <c r="O46" s="1286"/>
      <c r="P46" s="275"/>
      <c r="Q46" s="273"/>
      <c r="R46" s="274"/>
      <c r="S46" s="1258" t="str">
        <f>INDEX(PT_DIFFERENTIATION_NUM_IST_TE,MATCH(D46,PT_DIFFERENTIATION_IST_TE_ID,0))</f>
        <v>...</v>
      </c>
      <c r="T46" s="226" t="s">
        <v>866</v>
      </c>
      <c r="U46" s="214"/>
      <c r="V46" s="8869"/>
      <c r="W46" s="8870"/>
      <c r="X46" s="8870"/>
      <c r="Y46" s="8870"/>
      <c r="Z46" s="8870"/>
      <c r="AA46" s="8870"/>
      <c r="AB46" s="8870"/>
      <c r="AC46" s="8871"/>
      <c r="AD46" s="8869" t="str">
        <f>INDEX(PT_DIFFERENTIATION_IST_TE,MATCH(D46,PT_DIFFERENTIATION_IST_TE_ID,0))</f>
        <v/>
      </c>
      <c r="AE46" s="8870"/>
      <c r="AF46" s="8870"/>
      <c r="AG46" s="8870"/>
      <c r="AH46" s="8870"/>
      <c r="AI46" s="8870"/>
      <c r="AJ46" s="8870"/>
      <c r="AK46" s="8870"/>
      <c r="AL46" s="8871"/>
      <c r="AM46" s="1182" t="s">
        <v>867</v>
      </c>
      <c r="AO46" s="424"/>
      <c r="AP46" s="424" t="str">
        <f t="shared" si="1"/>
        <v xml:space="preserve">Источник тепловой энергии  </v>
      </c>
      <c r="AQ46" s="424"/>
      <c r="AR46" s="424"/>
    </row>
    <row r="47" spans="1:44" s="1562" customFormat="1" ht="0" hidden="1" customHeight="1">
      <c r="A47" s="1265" t="s">
        <v>250</v>
      </c>
      <c r="B47" s="1265" t="s">
        <v>251</v>
      </c>
      <c r="C47" s="1265" t="s">
        <v>252</v>
      </c>
      <c r="D47" s="1265" t="s">
        <v>253</v>
      </c>
      <c r="E47" s="8884"/>
      <c r="F47" s="8884"/>
      <c r="G47" s="8884"/>
      <c r="H47" s="8884"/>
      <c r="I47" s="8881" t="str">
        <f>S46&amp;".1"</f>
        <v>....1</v>
      </c>
      <c r="J47" s="1265"/>
      <c r="K47" s="1265"/>
      <c r="L47" s="1268" t="s">
        <v>868</v>
      </c>
      <c r="M47" s="434"/>
      <c r="N47" s="434"/>
      <c r="O47" s="434"/>
      <c r="P47" s="8882">
        <v>1</v>
      </c>
      <c r="Q47" s="1253"/>
      <c r="R47" s="277"/>
      <c r="S47" s="953"/>
      <c r="T47" s="1304"/>
      <c r="U47" s="1305"/>
      <c r="V47" s="8910"/>
      <c r="W47" s="8911"/>
      <c r="X47" s="8911"/>
      <c r="Y47" s="8911"/>
      <c r="Z47" s="8911"/>
      <c r="AA47" s="8911"/>
      <c r="AB47" s="8911"/>
      <c r="AC47" s="8912"/>
      <c r="AD47" s="8910"/>
      <c r="AE47" s="8911"/>
      <c r="AF47" s="8911"/>
      <c r="AG47" s="8911"/>
      <c r="AH47" s="8911"/>
      <c r="AI47" s="8911"/>
      <c r="AJ47" s="8911"/>
      <c r="AK47" s="8911"/>
      <c r="AL47" s="8912"/>
      <c r="AM47" s="1306"/>
      <c r="AO47" s="424"/>
      <c r="AP47" s="424" t="str">
        <f t="shared" si="1"/>
        <v/>
      </c>
      <c r="AQ47" s="424"/>
      <c r="AR47" s="424"/>
    </row>
    <row r="48" spans="1:44" ht="21" customHeight="1">
      <c r="A48" s="1284" t="s">
        <v>250</v>
      </c>
      <c r="B48" s="1284" t="s">
        <v>251</v>
      </c>
      <c r="C48" s="1284" t="s">
        <v>252</v>
      </c>
      <c r="D48" s="1284" t="s">
        <v>253</v>
      </c>
      <c r="E48" s="8884"/>
      <c r="F48" s="8884"/>
      <c r="G48" s="8884"/>
      <c r="H48" s="8884"/>
      <c r="I48" s="8904"/>
      <c r="J48" s="8881" t="str">
        <f>S46&amp;".1"</f>
        <v>....1</v>
      </c>
      <c r="K48" s="1284"/>
      <c r="L48" s="1285" t="s">
        <v>871</v>
      </c>
      <c r="P48" s="8882"/>
      <c r="Q48" s="8882">
        <v>1</v>
      </c>
      <c r="R48" s="278"/>
      <c r="S48" s="1258" t="str">
        <f>$J48</f>
        <v>....1</v>
      </c>
      <c r="T48" s="201" t="s">
        <v>872</v>
      </c>
      <c r="U48" s="214"/>
      <c r="V48" s="8872"/>
      <c r="W48" s="8873"/>
      <c r="X48" s="8873"/>
      <c r="Y48" s="8873"/>
      <c r="Z48" s="8873"/>
      <c r="AA48" s="8873"/>
      <c r="AB48" s="8873"/>
      <c r="AC48" s="8874"/>
      <c r="AD48" s="8872"/>
      <c r="AE48" s="8873"/>
      <c r="AF48" s="8873"/>
      <c r="AG48" s="8873"/>
      <c r="AH48" s="8873"/>
      <c r="AI48" s="8873"/>
      <c r="AJ48" s="8873"/>
      <c r="AK48" s="8873"/>
      <c r="AL48" s="8874"/>
      <c r="AM48" s="1182" t="s">
        <v>873</v>
      </c>
      <c r="AO48" s="424"/>
      <c r="AP48" s="424" t="str">
        <f t="shared" si="1"/>
        <v>Группа потребителей</v>
      </c>
      <c r="AQ48" s="424"/>
      <c r="AR48" s="424"/>
    </row>
    <row r="49" spans="1:44" ht="21" customHeight="1">
      <c r="A49" s="1284" t="s">
        <v>250</v>
      </c>
      <c r="B49" s="1284" t="s">
        <v>251</v>
      </c>
      <c r="C49" s="1284" t="s">
        <v>252</v>
      </c>
      <c r="D49" s="1284" t="s">
        <v>253</v>
      </c>
      <c r="E49" s="8884"/>
      <c r="F49" s="8884"/>
      <c r="G49" s="8884"/>
      <c r="H49" s="8884"/>
      <c r="I49" s="8904"/>
      <c r="J49" s="8904"/>
      <c r="K49" s="8881" t="str">
        <f>J48&amp;".1"</f>
        <v>....1.1</v>
      </c>
      <c r="L49" s="1285" t="s">
        <v>874</v>
      </c>
      <c r="P49" s="8882"/>
      <c r="Q49" s="8882"/>
      <c r="R49" s="278">
        <v>1</v>
      </c>
      <c r="S49" s="1258" t="str">
        <f>$K49</f>
        <v>....1.1</v>
      </c>
      <c r="T49" s="1269"/>
      <c r="U49" s="214"/>
      <c r="V49" s="666"/>
      <c r="W49" s="246"/>
      <c r="X49" s="666"/>
      <c r="Y49" s="1181"/>
      <c r="Z49" s="8886"/>
      <c r="AA49" s="8734" t="s">
        <v>63</v>
      </c>
      <c r="AB49" s="8886"/>
      <c r="AC49" s="8734" t="s">
        <v>63</v>
      </c>
      <c r="AD49" s="666"/>
      <c r="AE49" s="246"/>
      <c r="AF49" s="666"/>
      <c r="AG49" s="1181"/>
      <c r="AH49" s="8886"/>
      <c r="AI49" s="8734" t="s">
        <v>63</v>
      </c>
      <c r="AJ49" s="8905"/>
      <c r="AK49" s="8734" t="s">
        <v>63</v>
      </c>
      <c r="AL49" s="1270"/>
      <c r="AM49" s="8878" t="s">
        <v>912</v>
      </c>
      <c r="AN49" s="435" t="e">
        <f ca="1">STRCHECKDATE(V50:AL50)</f>
        <v>#NAME?</v>
      </c>
      <c r="AO49" s="424"/>
      <c r="AP49" s="424" t="str">
        <f t="shared" si="1"/>
        <v/>
      </c>
      <c r="AQ49" s="424"/>
      <c r="AR49" s="424"/>
    </row>
    <row r="50" spans="1:44" ht="0.75" customHeight="1">
      <c r="A50" s="1284" t="s">
        <v>250</v>
      </c>
      <c r="B50" s="1284" t="s">
        <v>251</v>
      </c>
      <c r="C50" s="1284" t="s">
        <v>252</v>
      </c>
      <c r="D50" s="1284" t="s">
        <v>253</v>
      </c>
      <c r="E50" s="8884"/>
      <c r="F50" s="8884"/>
      <c r="G50" s="8884"/>
      <c r="H50" s="8884"/>
      <c r="I50" s="8904"/>
      <c r="J50" s="8904"/>
      <c r="K50" s="8881"/>
      <c r="L50" s="1285"/>
      <c r="P50" s="8882"/>
      <c r="Q50" s="8882"/>
      <c r="R50" s="278"/>
      <c r="S50" s="1264"/>
      <c r="T50" s="214"/>
      <c r="U50" s="214"/>
      <c r="V50" s="246"/>
      <c r="W50" s="246"/>
      <c r="X50" s="246"/>
      <c r="Y50" s="250" t="str">
        <f>Z49&amp;"-"&amp;AB49</f>
        <v>-</v>
      </c>
      <c r="Z50" s="8887"/>
      <c r="AA50" s="8734"/>
      <c r="AB50" s="8887"/>
      <c r="AC50" s="8734"/>
      <c r="AD50" s="246"/>
      <c r="AE50" s="246"/>
      <c r="AF50" s="246"/>
      <c r="AG50" s="250" t="str">
        <f>AH49&amp;"-"&amp;AJ49</f>
        <v>-</v>
      </c>
      <c r="AH50" s="8887"/>
      <c r="AI50" s="8734"/>
      <c r="AJ50" s="8906"/>
      <c r="AK50" s="8734"/>
      <c r="AL50" s="1271"/>
      <c r="AM50" s="8879"/>
      <c r="AO50" s="424"/>
      <c r="AP50" s="424" t="str">
        <f t="shared" si="1"/>
        <v/>
      </c>
      <c r="AQ50" s="424"/>
      <c r="AR50" s="424"/>
    </row>
    <row r="51" spans="1:44" ht="11.25" customHeight="1">
      <c r="A51" s="1284" t="s">
        <v>250</v>
      </c>
      <c r="B51" s="1284" t="s">
        <v>251</v>
      </c>
      <c r="C51" s="1284" t="s">
        <v>252</v>
      </c>
      <c r="D51" s="1284" t="s">
        <v>253</v>
      </c>
      <c r="E51" s="8884"/>
      <c r="F51" s="8884"/>
      <c r="G51" s="8884"/>
      <c r="H51" s="8884"/>
      <c r="I51" s="8904"/>
      <c r="J51" s="8881"/>
      <c r="K51" s="1284"/>
      <c r="L51" s="1285"/>
      <c r="P51" s="8882"/>
      <c r="Q51" s="8882"/>
      <c r="R51" s="277"/>
      <c r="S51" s="1203"/>
      <c r="T51" s="202" t="s">
        <v>876</v>
      </c>
      <c r="U51" s="291"/>
      <c r="V51" s="291"/>
      <c r="W51" s="291"/>
      <c r="X51" s="291"/>
      <c r="Y51" s="291"/>
      <c r="Z51" s="291"/>
      <c r="AA51" s="291"/>
      <c r="AB51" s="291"/>
      <c r="AC51" s="291"/>
      <c r="AD51" s="291"/>
      <c r="AE51" s="291"/>
      <c r="AF51" s="291"/>
      <c r="AG51" s="291"/>
      <c r="AH51" s="291"/>
      <c r="AI51" s="291"/>
      <c r="AJ51" s="291"/>
      <c r="AK51" s="291"/>
      <c r="AL51" s="245"/>
      <c r="AM51" s="8880"/>
      <c r="AO51" s="424"/>
      <c r="AP51" s="424" t="str">
        <f t="shared" si="1"/>
        <v>Добавить вид теплоносителя (параметры теплоносителя)</v>
      </c>
      <c r="AQ51" s="424"/>
      <c r="AR51" s="424"/>
    </row>
    <row r="52" spans="1:44" ht="11.25" customHeight="1">
      <c r="A52" s="1284" t="s">
        <v>250</v>
      </c>
      <c r="B52" s="1284" t="s">
        <v>251</v>
      </c>
      <c r="C52" s="1284" t="s">
        <v>252</v>
      </c>
      <c r="D52" s="1284" t="s">
        <v>253</v>
      </c>
      <c r="E52" s="8884"/>
      <c r="F52" s="8884"/>
      <c r="G52" s="8884"/>
      <c r="H52" s="8884"/>
      <c r="I52" s="8881"/>
      <c r="J52" s="1284"/>
      <c r="K52" s="1284"/>
      <c r="L52" s="1285"/>
      <c r="P52" s="8882"/>
      <c r="Q52" s="1253"/>
      <c r="R52" s="277"/>
      <c r="S52" s="1203"/>
      <c r="T52" s="288" t="s">
        <v>877</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250</v>
      </c>
      <c r="B53" s="1284" t="s">
        <v>251</v>
      </c>
      <c r="C53" s="1284" t="s">
        <v>252</v>
      </c>
      <c r="D53" s="1284" t="s">
        <v>253</v>
      </c>
      <c r="E53" s="8884"/>
      <c r="F53" s="8884"/>
      <c r="G53" s="8884"/>
      <c r="H53" s="8883"/>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75" customHeight="1">
      <c r="A54" s="1265" t="s">
        <v>250</v>
      </c>
      <c r="B54" s="1265" t="s">
        <v>251</v>
      </c>
      <c r="C54" s="1265" t="s">
        <v>252</v>
      </c>
      <c r="D54" s="1237"/>
      <c r="E54" s="8884"/>
      <c r="F54" s="8884"/>
      <c r="G54" s="8883"/>
      <c r="H54" s="1237"/>
      <c r="I54" s="1237"/>
      <c r="J54" s="1237"/>
      <c r="K54" s="1237"/>
      <c r="L54" s="1261"/>
      <c r="M54" s="1238"/>
      <c r="N54" s="1238"/>
      <c r="P54" s="1239"/>
      <c r="Q54" s="1240"/>
      <c r="R54" s="1239"/>
      <c r="S54" s="1245"/>
      <c r="T54" s="1248" t="s">
        <v>879</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250</v>
      </c>
      <c r="B55" s="1265" t="s">
        <v>251</v>
      </c>
      <c r="C55" s="1237"/>
      <c r="D55" s="1237"/>
      <c r="E55" s="8884"/>
      <c r="F55" s="8883"/>
      <c r="G55" s="1237"/>
      <c r="H55" s="1237"/>
      <c r="I55" s="1237"/>
      <c r="J55" s="1237"/>
      <c r="K55" s="1237"/>
      <c r="L55" s="1261"/>
      <c r="M55" s="1244"/>
      <c r="N55" s="1244"/>
      <c r="P55" s="1239"/>
      <c r="Q55" s="1240"/>
      <c r="R55" s="1239"/>
      <c r="S55" s="1245"/>
      <c r="T55" s="1248" t="s">
        <v>314</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250</v>
      </c>
      <c r="B56" s="1265"/>
      <c r="C56" s="1265"/>
      <c r="D56" s="1265"/>
      <c r="E56" s="8883"/>
      <c r="F56" s="1265"/>
      <c r="G56" s="1265"/>
      <c r="H56" s="1265"/>
      <c r="I56" s="1265"/>
      <c r="J56" s="1265"/>
      <c r="K56" s="1265"/>
      <c r="L56" s="1268"/>
      <c r="M56" s="1244"/>
      <c r="N56" s="1244"/>
      <c r="O56" s="442"/>
      <c r="P56" s="308"/>
      <c r="Q56" s="1266"/>
      <c r="R56" s="308"/>
      <c r="S56" s="1245"/>
      <c r="T56" s="1248" t="s">
        <v>315</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706</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18.75" customHeight="1">
      <c r="O59" s="460"/>
      <c r="S59" s="1169"/>
      <c r="T59" s="8903"/>
      <c r="U59" s="8903"/>
      <c r="V59" s="8903"/>
      <c r="W59" s="8903"/>
      <c r="X59" s="8903"/>
      <c r="Y59" s="8903"/>
      <c r="Z59" s="8903"/>
      <c r="AA59" s="8903"/>
      <c r="AB59" s="8903"/>
      <c r="AC59" s="8903"/>
      <c r="AD59" s="8903"/>
      <c r="AE59" s="8903"/>
      <c r="AF59" s="8903"/>
      <c r="AG59" s="8903"/>
      <c r="AH59" s="8903"/>
      <c r="AI59" s="8903"/>
      <c r="AJ59" s="8903"/>
      <c r="AK59" s="8903"/>
      <c r="AL59" s="8903"/>
      <c r="AM59" s="8903"/>
    </row>
    <row r="60" spans="1:44" ht="27.75" customHeight="1">
      <c r="O60" s="460"/>
      <c r="T60" s="8903"/>
      <c r="U60" s="8903"/>
      <c r="V60" s="8903"/>
      <c r="W60" s="8903"/>
      <c r="X60" s="8903"/>
      <c r="Y60" s="8903"/>
      <c r="Z60" s="8903"/>
      <c r="AA60" s="8903"/>
      <c r="AB60" s="8903"/>
      <c r="AC60" s="8903"/>
      <c r="AD60" s="8903"/>
      <c r="AE60" s="8903"/>
      <c r="AF60" s="8903"/>
      <c r="AG60" s="8903"/>
      <c r="AH60" s="8903"/>
      <c r="AI60" s="8903"/>
      <c r="AJ60" s="8903"/>
      <c r="AK60" s="8903"/>
      <c r="AL60" s="8903"/>
      <c r="AM60" s="8903"/>
    </row>
    <row r="61" spans="1:44" ht="39.75" customHeight="1">
      <c r="O61" s="460"/>
      <c r="T61" s="8903"/>
      <c r="U61" s="8903"/>
      <c r="V61" s="8903"/>
      <c r="W61" s="8903"/>
      <c r="X61" s="8903"/>
      <c r="Y61" s="8903"/>
      <c r="Z61" s="8903"/>
      <c r="AA61" s="8903"/>
      <c r="AB61" s="8903"/>
      <c r="AC61" s="8903"/>
      <c r="AD61" s="8903"/>
      <c r="AE61" s="8903"/>
      <c r="AF61" s="8903"/>
      <c r="AG61" s="8903"/>
      <c r="AH61" s="8903"/>
      <c r="AI61" s="8903"/>
      <c r="AJ61" s="8903"/>
      <c r="AK61" s="8903"/>
      <c r="AL61" s="8903"/>
      <c r="AM61" s="8903"/>
    </row>
    <row r="62" spans="1:44" ht="14.25" customHeight="1">
      <c r="O62" s="460"/>
    </row>
    <row r="63" spans="1:44" ht="19.5" customHeight="1">
      <c r="O63" s="460"/>
      <c r="S63" s="1169"/>
      <c r="T63" s="8803"/>
      <c r="U63" s="8903"/>
      <c r="V63" s="8903"/>
      <c r="W63" s="8903"/>
      <c r="X63" s="8903"/>
      <c r="Y63" s="8903"/>
      <c r="Z63" s="8903"/>
      <c r="AA63" s="8903"/>
      <c r="AB63" s="8903"/>
      <c r="AC63" s="8903"/>
      <c r="AD63" s="8903"/>
      <c r="AE63" s="8903"/>
      <c r="AF63" s="8903"/>
      <c r="AG63" s="8903"/>
      <c r="AH63" s="8903"/>
      <c r="AI63" s="8903"/>
      <c r="AJ63" s="8903"/>
      <c r="AK63" s="8903"/>
      <c r="AL63" s="8903"/>
      <c r="AM63" s="8903"/>
    </row>
    <row r="64" spans="1:44" ht="27.75" customHeight="1">
      <c r="O64" s="460"/>
      <c r="T64" s="8903"/>
      <c r="U64" s="8903"/>
      <c r="V64" s="8903"/>
      <c r="W64" s="8903"/>
      <c r="X64" s="8903"/>
      <c r="Y64" s="8903"/>
      <c r="Z64" s="8903"/>
      <c r="AA64" s="8903"/>
      <c r="AB64" s="8903"/>
      <c r="AC64" s="8903"/>
      <c r="AD64" s="8903"/>
      <c r="AE64" s="8903"/>
      <c r="AF64" s="8903"/>
      <c r="AG64" s="8903"/>
      <c r="AH64" s="8903"/>
      <c r="AI64" s="8903"/>
      <c r="AJ64" s="8903"/>
      <c r="AK64" s="8903"/>
      <c r="AL64" s="8903"/>
      <c r="AM64" s="8903"/>
    </row>
    <row r="65" spans="20:39" ht="33.75" customHeight="1">
      <c r="T65" s="8903"/>
      <c r="U65" s="8903"/>
      <c r="V65" s="8903"/>
      <c r="W65" s="8903"/>
      <c r="X65" s="8903"/>
      <c r="Y65" s="8903"/>
      <c r="Z65" s="8903"/>
      <c r="AA65" s="8903"/>
      <c r="AB65" s="8903"/>
      <c r="AC65" s="8903"/>
      <c r="AD65" s="8903"/>
      <c r="AE65" s="8903"/>
      <c r="AF65" s="8903"/>
      <c r="AG65" s="8903"/>
      <c r="AH65" s="8903"/>
      <c r="AI65" s="8903"/>
      <c r="AJ65" s="8903"/>
      <c r="AK65" s="8903"/>
      <c r="AL65" s="8903"/>
      <c r="AM65" s="8903"/>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812" hidden="1" customWidth="1"/>
    <col min="17" max="18" width="3.7109375" style="265" customWidth="1"/>
    <col min="19" max="19" width="12.7109375" style="1814"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A1" s="1790"/>
      <c r="Y1" s="249"/>
      <c r="Z1" s="249"/>
      <c r="AG1" s="249"/>
      <c r="AH1" s="249"/>
    </row>
    <row r="2" spans="1:44" ht="21" hidden="1" customHeight="1">
      <c r="A2" s="1284"/>
      <c r="B2" s="1284"/>
      <c r="C2" s="1284"/>
      <c r="D2" s="1284"/>
      <c r="E2" s="8883">
        <v>1</v>
      </c>
      <c r="F2" s="1284"/>
      <c r="G2" s="1284"/>
      <c r="H2" s="1284"/>
      <c r="I2" s="1284"/>
      <c r="J2" s="1284"/>
      <c r="K2" s="1284"/>
      <c r="L2" s="1285"/>
      <c r="M2" s="1286"/>
      <c r="N2" s="1286"/>
      <c r="O2" s="1286"/>
      <c r="P2" s="282"/>
      <c r="Q2" s="281"/>
      <c r="R2" s="276"/>
      <c r="S2" s="1258" t="e">
        <f>INDEX(PT_DIFFERENTIATION_NUM_NTAR,MATCH(A2,PT_DIFFERENTIATION_NTAR_ID,0))</f>
        <v>#N/A</v>
      </c>
      <c r="T2" s="212" t="s">
        <v>211</v>
      </c>
      <c r="U2" s="214"/>
      <c r="V2" s="8869"/>
      <c r="W2" s="8870"/>
      <c r="X2" s="8870"/>
      <c r="Y2" s="8870"/>
      <c r="Z2" s="8870"/>
      <c r="AA2" s="8870"/>
      <c r="AB2" s="8870"/>
      <c r="AC2" s="8871"/>
      <c r="AD2" s="8869" t="e">
        <f>INDEX(PT_DIFFERENTIATION_NTAR,MATCH(A2,PT_DIFFERENTIATION_NTAR_ID,0))</f>
        <v>#N/A</v>
      </c>
      <c r="AE2" s="8870"/>
      <c r="AF2" s="8870"/>
      <c r="AG2" s="8870"/>
      <c r="AH2" s="8870"/>
      <c r="AI2" s="8870"/>
      <c r="AJ2" s="8870"/>
      <c r="AK2" s="8870"/>
      <c r="AL2" s="8871"/>
      <c r="AM2" s="1182" t="s">
        <v>861</v>
      </c>
      <c r="AO2" s="424"/>
      <c r="AP2" s="424" t="str">
        <f t="shared" ref="AP2:AP15" si="0">IF(T2="","",T2)</f>
        <v>Наименование тарифа</v>
      </c>
      <c r="AQ2" s="424"/>
      <c r="AR2" s="424"/>
    </row>
    <row r="3" spans="1:44" ht="21" hidden="1" customHeight="1">
      <c r="A3" s="1284"/>
      <c r="B3" s="1284"/>
      <c r="C3" s="1284"/>
      <c r="D3" s="1284"/>
      <c r="E3" s="8884"/>
      <c r="F3" s="8883">
        <v>1</v>
      </c>
      <c r="G3" s="1284"/>
      <c r="H3" s="1284"/>
      <c r="I3" s="1284"/>
      <c r="J3" s="1284"/>
      <c r="K3" s="1284"/>
      <c r="L3" s="1285"/>
      <c r="M3" s="1286"/>
      <c r="N3" s="1286"/>
      <c r="O3" s="1286"/>
      <c r="P3" s="1254"/>
      <c r="Q3" s="273"/>
      <c r="R3" s="274"/>
      <c r="S3" s="1258" t="e">
        <f>INDEX(PT_DIFFERENTIATION_NUM_TER,MATCH(B3,PT_DIFFERENTIATION_TER_ID,0))</f>
        <v>#N/A</v>
      </c>
      <c r="T3" s="224" t="s">
        <v>862</v>
      </c>
      <c r="U3" s="214"/>
      <c r="V3" s="8869"/>
      <c r="W3" s="8870"/>
      <c r="X3" s="8870"/>
      <c r="Y3" s="8870"/>
      <c r="Z3" s="8870"/>
      <c r="AA3" s="8870"/>
      <c r="AB3" s="8870"/>
      <c r="AC3" s="8871"/>
      <c r="AD3" s="8869" t="e">
        <f>INDEX(PT_DIFFERENTIATION_TER,MATCH(B3,PT_DIFFERENTIATION_TER_ID,0))</f>
        <v>#N/A</v>
      </c>
      <c r="AE3" s="8870"/>
      <c r="AF3" s="8870"/>
      <c r="AG3" s="8870"/>
      <c r="AH3" s="8870"/>
      <c r="AI3" s="8870"/>
      <c r="AJ3" s="8870"/>
      <c r="AK3" s="8870"/>
      <c r="AL3" s="8871"/>
      <c r="AM3" s="1182" t="s">
        <v>863</v>
      </c>
      <c r="AO3" s="424"/>
      <c r="AP3" s="424" t="str">
        <f t="shared" si="0"/>
        <v>Территория действия тарифа</v>
      </c>
      <c r="AQ3" s="424"/>
      <c r="AR3" s="424"/>
    </row>
    <row r="4" spans="1:44" ht="23.25" hidden="1" customHeight="1">
      <c r="A4" s="1284"/>
      <c r="B4" s="1284"/>
      <c r="C4" s="1284"/>
      <c r="D4" s="1284"/>
      <c r="E4" s="8884"/>
      <c r="F4" s="8884"/>
      <c r="G4" s="8883">
        <v>1</v>
      </c>
      <c r="H4" s="1284"/>
      <c r="I4" s="1284"/>
      <c r="J4" s="1284"/>
      <c r="K4" s="1284"/>
      <c r="L4" s="1285"/>
      <c r="M4" s="1286"/>
      <c r="N4" s="1286"/>
      <c r="O4" s="1286"/>
      <c r="P4" s="275"/>
      <c r="Q4" s="273"/>
      <c r="R4" s="274"/>
      <c r="S4" s="1258" t="e">
        <f>INDEX(PT_DIFFERENTIATION_NUM_CS,MATCH(C4,PT_DIFFERENTIATION_CS_ID,0))</f>
        <v>#N/A</v>
      </c>
      <c r="T4" s="225" t="s">
        <v>864</v>
      </c>
      <c r="U4" s="214"/>
      <c r="V4" s="8869"/>
      <c r="W4" s="8870"/>
      <c r="X4" s="8870"/>
      <c r="Y4" s="8870"/>
      <c r="Z4" s="8870"/>
      <c r="AA4" s="8870"/>
      <c r="AB4" s="8870"/>
      <c r="AC4" s="8871"/>
      <c r="AD4" s="8869" t="e">
        <f>INDEX(PT_DIFFERENTIATION_CS,MATCH(C4,PT_DIFFERENTIATION_CS_ID,0))</f>
        <v>#N/A</v>
      </c>
      <c r="AE4" s="8870"/>
      <c r="AF4" s="8870"/>
      <c r="AG4" s="8870"/>
      <c r="AH4" s="8870"/>
      <c r="AI4" s="8870"/>
      <c r="AJ4" s="8870"/>
      <c r="AK4" s="8870"/>
      <c r="AL4" s="8871"/>
      <c r="AM4" s="1182" t="s">
        <v>865</v>
      </c>
      <c r="AO4" s="424"/>
      <c r="AP4" s="424" t="str">
        <f t="shared" si="0"/>
        <v xml:space="preserve">Наименование системы теплоснабжения </v>
      </c>
      <c r="AQ4" s="424"/>
      <c r="AR4" s="424"/>
    </row>
    <row r="5" spans="1:44" ht="21" hidden="1" customHeight="1">
      <c r="A5" s="1284"/>
      <c r="B5" s="1284"/>
      <c r="C5" s="1284"/>
      <c r="D5" s="1284"/>
      <c r="E5" s="8884"/>
      <c r="F5" s="8884"/>
      <c r="G5" s="8884"/>
      <c r="H5" s="8883">
        <v>1</v>
      </c>
      <c r="I5" s="1284"/>
      <c r="J5" s="1284"/>
      <c r="K5" s="1284"/>
      <c r="L5" s="1285"/>
      <c r="M5" s="1286"/>
      <c r="N5" s="1286"/>
      <c r="O5" s="1286"/>
      <c r="P5" s="275"/>
      <c r="Q5" s="273"/>
      <c r="R5" s="274"/>
      <c r="S5" s="1258" t="e">
        <f>INDEX(PT_DIFFERENTIATION_NUM_IST_TE,MATCH(D5,PT_DIFFERENTIATION_IST_TE_ID,0))</f>
        <v>#N/A</v>
      </c>
      <c r="T5" s="226" t="s">
        <v>866</v>
      </c>
      <c r="U5" s="214"/>
      <c r="V5" s="8869"/>
      <c r="W5" s="8870"/>
      <c r="X5" s="8870"/>
      <c r="Y5" s="8870"/>
      <c r="Z5" s="8870"/>
      <c r="AA5" s="8870"/>
      <c r="AB5" s="8870"/>
      <c r="AC5" s="8871"/>
      <c r="AD5" s="8869" t="e">
        <f>INDEX(PT_DIFFERENTIATION_IST_TE,MATCH(D5,PT_DIFFERENTIATION_IST_TE_ID,0))</f>
        <v>#N/A</v>
      </c>
      <c r="AE5" s="8870"/>
      <c r="AF5" s="8870"/>
      <c r="AG5" s="8870"/>
      <c r="AH5" s="8870"/>
      <c r="AI5" s="8870"/>
      <c r="AJ5" s="8870"/>
      <c r="AK5" s="8870"/>
      <c r="AL5" s="8871"/>
      <c r="AM5" s="1182" t="s">
        <v>867</v>
      </c>
      <c r="AO5" s="424"/>
      <c r="AP5" s="424" t="str">
        <f t="shared" si="0"/>
        <v xml:space="preserve">Источник тепловой энергии  </v>
      </c>
      <c r="AQ5" s="424"/>
      <c r="AR5" s="424"/>
    </row>
    <row r="6" spans="1:44" ht="14.25" hidden="1" customHeight="1">
      <c r="A6" s="1284"/>
      <c r="B6" s="1284"/>
      <c r="C6" s="1284"/>
      <c r="D6" s="1284"/>
      <c r="E6" s="8884"/>
      <c r="F6" s="8884"/>
      <c r="G6" s="8884"/>
      <c r="H6" s="8884"/>
      <c r="I6" s="8881" t="e">
        <f>S5&amp;".1"</f>
        <v>#N/A</v>
      </c>
      <c r="J6" s="1284"/>
      <c r="K6" s="1284"/>
      <c r="L6" s="1285" t="s">
        <v>868</v>
      </c>
      <c r="M6" s="460"/>
      <c r="P6" s="8882">
        <v>1</v>
      </c>
      <c r="Q6" s="1253"/>
      <c r="R6" s="277"/>
      <c r="S6" s="953"/>
      <c r="T6" s="1304"/>
      <c r="U6" s="1305"/>
      <c r="V6" s="8910"/>
      <c r="W6" s="8911"/>
      <c r="X6" s="8911"/>
      <c r="Y6" s="8911"/>
      <c r="Z6" s="8911"/>
      <c r="AA6" s="8911"/>
      <c r="AB6" s="8911"/>
      <c r="AC6" s="8912"/>
      <c r="AD6" s="8910"/>
      <c r="AE6" s="8911"/>
      <c r="AF6" s="8911"/>
      <c r="AG6" s="8911"/>
      <c r="AH6" s="8911"/>
      <c r="AI6" s="8911"/>
      <c r="AJ6" s="8911"/>
      <c r="AK6" s="8911"/>
      <c r="AL6" s="8912"/>
      <c r="AM6" s="1306"/>
      <c r="AO6" s="424"/>
      <c r="AP6" s="424" t="str">
        <f t="shared" si="0"/>
        <v/>
      </c>
      <c r="AQ6" s="424"/>
      <c r="AR6" s="424"/>
    </row>
    <row r="7" spans="1:44" ht="21" hidden="1" customHeight="1">
      <c r="A7" s="1284"/>
      <c r="B7" s="1284"/>
      <c r="C7" s="1284"/>
      <c r="D7" s="1284"/>
      <c r="E7" s="8884"/>
      <c r="F7" s="8884"/>
      <c r="G7" s="8884"/>
      <c r="H7" s="8884"/>
      <c r="I7" s="8904"/>
      <c r="J7" s="8881" t="e">
        <f>I6&amp;".1"</f>
        <v>#N/A</v>
      </c>
      <c r="K7" s="1284"/>
      <c r="L7" s="1285" t="s">
        <v>871</v>
      </c>
      <c r="M7" s="460"/>
      <c r="N7" s="1287"/>
      <c r="P7" s="8882"/>
      <c r="Q7" s="8882">
        <v>1</v>
      </c>
      <c r="R7" s="278"/>
      <c r="S7" s="1258" t="e">
        <f>$J7</f>
        <v>#N/A</v>
      </c>
      <c r="T7" s="201" t="s">
        <v>872</v>
      </c>
      <c r="U7" s="214"/>
      <c r="V7" s="8872"/>
      <c r="W7" s="8873"/>
      <c r="X7" s="8873"/>
      <c r="Y7" s="8873"/>
      <c r="Z7" s="8873"/>
      <c r="AA7" s="8873"/>
      <c r="AB7" s="8873"/>
      <c r="AC7" s="8874"/>
      <c r="AD7" s="8872"/>
      <c r="AE7" s="8873"/>
      <c r="AF7" s="8873"/>
      <c r="AG7" s="8873"/>
      <c r="AH7" s="8873"/>
      <c r="AI7" s="8873"/>
      <c r="AJ7" s="8873"/>
      <c r="AK7" s="8873"/>
      <c r="AL7" s="8874"/>
      <c r="AM7" s="1182" t="s">
        <v>873</v>
      </c>
      <c r="AO7" s="424"/>
      <c r="AP7" s="424" t="str">
        <f t="shared" si="0"/>
        <v>Группа потребителей</v>
      </c>
      <c r="AQ7" s="424"/>
      <c r="AR7" s="424"/>
    </row>
    <row r="8" spans="1:44" ht="21" hidden="1" customHeight="1">
      <c r="A8" s="1284"/>
      <c r="B8" s="1284"/>
      <c r="C8" s="1284"/>
      <c r="D8" s="1284"/>
      <c r="E8" s="8884"/>
      <c r="F8" s="8884"/>
      <c r="G8" s="8884"/>
      <c r="H8" s="8884"/>
      <c r="I8" s="8904"/>
      <c r="J8" s="8904"/>
      <c r="K8" s="8881" t="e">
        <f>J7&amp;".1"</f>
        <v>#N/A</v>
      </c>
      <c r="L8" s="1285" t="s">
        <v>874</v>
      </c>
      <c r="M8" s="460"/>
      <c r="N8" s="1287"/>
      <c r="O8" s="1287"/>
      <c r="P8" s="8882"/>
      <c r="Q8" s="8882"/>
      <c r="R8" s="278">
        <v>1</v>
      </c>
      <c r="S8" s="1258" t="e">
        <f>$K8</f>
        <v>#N/A</v>
      </c>
      <c r="T8" s="1269"/>
      <c r="U8" s="214"/>
      <c r="V8" s="666"/>
      <c r="W8" s="246"/>
      <c r="X8" s="666"/>
      <c r="Y8" s="1181"/>
      <c r="Z8" s="8886"/>
      <c r="AA8" s="8734" t="s">
        <v>63</v>
      </c>
      <c r="AB8" s="8886"/>
      <c r="AC8" s="8734" t="s">
        <v>63</v>
      </c>
      <c r="AD8" s="666"/>
      <c r="AE8" s="246"/>
      <c r="AF8" s="666"/>
      <c r="AG8" s="1181"/>
      <c r="AH8" s="8886"/>
      <c r="AI8" s="8734" t="s">
        <v>63</v>
      </c>
      <c r="AJ8" s="8886"/>
      <c r="AK8" s="8734" t="s">
        <v>63</v>
      </c>
      <c r="AL8" s="246"/>
      <c r="AM8" s="8878" t="s">
        <v>875</v>
      </c>
      <c r="AN8" s="435" t="e">
        <f ca="1">STRCHECKDATE(V9:AL9)</f>
        <v>#NAME?</v>
      </c>
      <c r="AO8" s="424"/>
      <c r="AP8" s="424" t="str">
        <f t="shared" si="0"/>
        <v/>
      </c>
      <c r="AQ8" s="424"/>
      <c r="AR8" s="424"/>
    </row>
    <row r="9" spans="1:44" ht="14.25" hidden="1" customHeight="1">
      <c r="A9" s="1284"/>
      <c r="B9" s="1284"/>
      <c r="C9" s="1284"/>
      <c r="D9" s="1284"/>
      <c r="E9" s="8884"/>
      <c r="F9" s="8884"/>
      <c r="G9" s="8884"/>
      <c r="H9" s="8884"/>
      <c r="I9" s="8904"/>
      <c r="J9" s="8904"/>
      <c r="K9" s="8881"/>
      <c r="L9" s="1285"/>
      <c r="M9" s="460"/>
      <c r="N9" s="1287"/>
      <c r="O9" s="1287"/>
      <c r="P9" s="8882"/>
      <c r="Q9" s="8882"/>
      <c r="R9" s="278"/>
      <c r="S9" s="1264"/>
      <c r="T9" s="214"/>
      <c r="U9" s="214"/>
      <c r="V9" s="246"/>
      <c r="W9" s="246"/>
      <c r="X9" s="246"/>
      <c r="Y9" s="250" t="str">
        <f>Z8&amp;"-"&amp;AB8</f>
        <v>-</v>
      </c>
      <c r="Z9" s="8887"/>
      <c r="AA9" s="8734"/>
      <c r="AB9" s="8887"/>
      <c r="AC9" s="8734"/>
      <c r="AD9" s="246"/>
      <c r="AE9" s="246"/>
      <c r="AF9" s="246"/>
      <c r="AG9" s="250" t="str">
        <f>AH8&amp;"-"&amp;AJ8</f>
        <v>-</v>
      </c>
      <c r="AH9" s="8887"/>
      <c r="AI9" s="8734"/>
      <c r="AJ9" s="8887"/>
      <c r="AK9" s="8734"/>
      <c r="AL9" s="246"/>
      <c r="AM9" s="8879"/>
      <c r="AO9" s="424"/>
      <c r="AP9" s="424" t="str">
        <f t="shared" si="0"/>
        <v/>
      </c>
      <c r="AQ9" s="424"/>
      <c r="AR9" s="424"/>
    </row>
    <row r="10" spans="1:44" ht="15" hidden="1" customHeight="1">
      <c r="A10" s="1284"/>
      <c r="B10" s="1284"/>
      <c r="C10" s="1284"/>
      <c r="D10" s="1284"/>
      <c r="E10" s="8884"/>
      <c r="F10" s="8884"/>
      <c r="G10" s="8884"/>
      <c r="H10" s="8884"/>
      <c r="I10" s="8904"/>
      <c r="J10" s="8881"/>
      <c r="K10" s="1284"/>
      <c r="L10" s="1285"/>
      <c r="M10" s="460"/>
      <c r="N10" s="1287"/>
      <c r="P10" s="8882"/>
      <c r="Q10" s="8882"/>
      <c r="R10" s="277"/>
      <c r="S10" s="1203"/>
      <c r="T10" s="202" t="s">
        <v>876</v>
      </c>
      <c r="U10" s="291"/>
      <c r="V10" s="291"/>
      <c r="W10" s="291"/>
      <c r="X10" s="291"/>
      <c r="Y10" s="291"/>
      <c r="Z10" s="291"/>
      <c r="AA10" s="291"/>
      <c r="AB10" s="291"/>
      <c r="AC10" s="291"/>
      <c r="AD10" s="291"/>
      <c r="AE10" s="291"/>
      <c r="AF10" s="291"/>
      <c r="AG10" s="291"/>
      <c r="AH10" s="291"/>
      <c r="AI10" s="291"/>
      <c r="AJ10" s="291"/>
      <c r="AK10" s="291"/>
      <c r="AL10" s="245"/>
      <c r="AM10" s="8880"/>
      <c r="AO10" s="424"/>
      <c r="AP10" s="424" t="str">
        <f t="shared" si="0"/>
        <v>Добавить вид теплоносителя (параметры теплоносителя)</v>
      </c>
      <c r="AQ10" s="424"/>
      <c r="AR10" s="424"/>
    </row>
    <row r="11" spans="1:44" ht="11.25" hidden="1" customHeight="1">
      <c r="A11" s="1284"/>
      <c r="B11" s="1284"/>
      <c r="C11" s="1284"/>
      <c r="D11" s="1284"/>
      <c r="E11" s="8884"/>
      <c r="F11" s="8884"/>
      <c r="G11" s="8884"/>
      <c r="H11" s="8884"/>
      <c r="I11" s="8881"/>
      <c r="J11" s="1284"/>
      <c r="K11" s="1284"/>
      <c r="L11" s="1285"/>
      <c r="M11" s="460"/>
      <c r="P11" s="8882"/>
      <c r="Q11" s="1253"/>
      <c r="R11" s="277"/>
      <c r="S11" s="1203"/>
      <c r="T11" s="288" t="s">
        <v>877</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8884"/>
      <c r="F12" s="8884"/>
      <c r="G12" s="8884"/>
      <c r="H12" s="8883"/>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14.25" hidden="1" customHeight="1">
      <c r="A13" s="1237"/>
      <c r="B13" s="1237"/>
      <c r="C13" s="1237"/>
      <c r="D13" s="1237"/>
      <c r="E13" s="8884"/>
      <c r="F13" s="8884"/>
      <c r="G13" s="8883"/>
      <c r="H13" s="1237"/>
      <c r="I13" s="1237"/>
      <c r="J13" s="1237"/>
      <c r="K13" s="1237"/>
      <c r="L13" s="1261"/>
      <c r="M13" s="1238"/>
      <c r="N13" s="1238"/>
      <c r="P13" s="1239"/>
      <c r="Q13" s="1240"/>
      <c r="R13" s="1239"/>
      <c r="S13" s="1241"/>
      <c r="T13" s="1242" t="s">
        <v>879</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8884"/>
      <c r="F14" s="8883"/>
      <c r="G14" s="1237"/>
      <c r="H14" s="1237"/>
      <c r="I14" s="1237"/>
      <c r="J14" s="1237"/>
      <c r="K14" s="1237"/>
      <c r="L14" s="1261"/>
      <c r="M14" s="1244"/>
      <c r="N14" s="1244"/>
      <c r="P14" s="1239"/>
      <c r="Q14" s="1240"/>
      <c r="R14" s="1239"/>
      <c r="S14" s="1245"/>
      <c r="T14" s="1246" t="s">
        <v>314</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8883"/>
      <c r="F15" s="1237"/>
      <c r="G15" s="1237"/>
      <c r="H15" s="1237"/>
      <c r="I15" s="1237"/>
      <c r="J15" s="1237"/>
      <c r="K15" s="1237"/>
      <c r="L15" s="1261"/>
      <c r="M15" s="1244"/>
      <c r="N15" s="1244"/>
      <c r="P15" s="1239"/>
      <c r="Q15" s="1240"/>
      <c r="R15" s="1239"/>
      <c r="S15" s="1245"/>
      <c r="T15" s="1248" t="s">
        <v>315</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8888"/>
      <c r="AI17" s="8889" t="s">
        <v>63</v>
      </c>
      <c r="AJ17" s="8888"/>
      <c r="AK17" s="8889" t="s">
        <v>63</v>
      </c>
    </row>
    <row r="18" spans="1:44" ht="14.25" hidden="1" customHeight="1">
      <c r="AD18" s="1281"/>
      <c r="AE18" s="1281"/>
      <c r="AF18" s="1281"/>
      <c r="AG18" s="250" t="str">
        <f>AH17&amp;"-"&amp;AJ17</f>
        <v>-</v>
      </c>
      <c r="AH18" s="8889"/>
      <c r="AI18" s="8889"/>
      <c r="AJ18" s="8889"/>
      <c r="AK18" s="8889"/>
    </row>
    <row r="19" spans="1:44" ht="14.25" hidden="1" customHeight="1">
      <c r="AK19" s="249"/>
    </row>
    <row r="20" spans="1:44" s="1287" customFormat="1" ht="22.5" hidden="1" customHeight="1">
      <c r="L20" s="1251"/>
      <c r="M20" s="1283"/>
      <c r="N20" s="1283"/>
      <c r="O20" s="1288" t="s">
        <v>880</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881</v>
      </c>
      <c r="P22" s="1283"/>
      <c r="Q22" s="1292"/>
      <c r="R22" s="1292"/>
      <c r="S22" s="646"/>
      <c r="T22" s="1065" t="s">
        <v>882</v>
      </c>
      <c r="AA22" s="104" t="s">
        <v>883</v>
      </c>
      <c r="AC22" s="104" t="s">
        <v>884</v>
      </c>
      <c r="AD22" s="1065" t="s">
        <v>882</v>
      </c>
      <c r="AI22" s="104" t="s">
        <v>885</v>
      </c>
      <c r="AK22" s="104" t="s">
        <v>884</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75" customHeight="1">
      <c r="Q26" s="300"/>
      <c r="R26" s="300"/>
      <c r="S26" s="88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8827"/>
      <c r="U26" s="8827"/>
      <c r="V26" s="8827"/>
      <c r="W26" s="8827"/>
      <c r="X26" s="8827"/>
      <c r="Y26" s="8827"/>
      <c r="Z26" s="8827"/>
      <c r="AA26" s="8827"/>
      <c r="AB26" s="8827"/>
      <c r="AC26" s="8827"/>
      <c r="AD26" s="8827"/>
      <c r="AE26" s="8827"/>
      <c r="AF26" s="8827"/>
      <c r="AG26" s="8827"/>
      <c r="AH26" s="8827"/>
      <c r="AI26" s="8827"/>
      <c r="AJ26" s="8827"/>
      <c r="AK26" s="1157"/>
    </row>
    <row r="27" spans="1:44" ht="14.25" customHeight="1">
      <c r="Q27" s="300"/>
      <c r="R27" s="300"/>
      <c r="S27" s="8814" t="str">
        <f>IF(org=0,"Не определено",org)</f>
        <v>ГУП СК "Ставрополькрайводоканал"</v>
      </c>
      <c r="T27" s="8814"/>
      <c r="U27" s="8814"/>
      <c r="V27" s="8814"/>
      <c r="W27" s="8814"/>
      <c r="X27" s="8814"/>
      <c r="Y27" s="8814"/>
      <c r="Z27" s="8814"/>
      <c r="AA27" s="8814"/>
      <c r="AB27" s="8814"/>
      <c r="AC27" s="8814"/>
      <c r="AD27" s="8814"/>
      <c r="AE27" s="8814"/>
      <c r="AF27" s="8814"/>
      <c r="AG27" s="8814"/>
      <c r="AH27" s="8814"/>
      <c r="AI27" s="8814"/>
      <c r="AJ27" s="8814"/>
      <c r="AK27" s="1157"/>
    </row>
    <row r="28" spans="1:44" ht="14.25" hidden="1"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hidden="1" customHeight="1">
      <c r="A29" s="1289"/>
      <c r="B29" s="1289"/>
      <c r="C29" s="1289"/>
      <c r="D29" s="1289"/>
      <c r="E29" s="1289"/>
      <c r="F29" s="1289"/>
      <c r="G29" s="1289"/>
      <c r="H29" s="1289"/>
      <c r="I29" s="1289"/>
      <c r="J29" s="1289"/>
      <c r="K29" s="1289"/>
      <c r="L29" s="1290"/>
      <c r="M29" s="1289"/>
      <c r="N29" s="1289"/>
      <c r="O29" s="1289"/>
      <c r="S29" s="8875" t="s">
        <v>38</v>
      </c>
      <c r="T29" s="8875"/>
      <c r="U29" s="1293"/>
      <c r="V29" s="8876" t="str">
        <f>IF(TITLE_NAME_OR_PR_CHANGE="",IF(TITLE_NAME_OR_PR="","",TITLE_NAME_OR_PR),TITLE_NAME_OR_PR_CHANGE)</f>
        <v/>
      </c>
      <c r="W29" s="8876"/>
      <c r="X29" s="8876"/>
      <c r="Y29" s="8876"/>
      <c r="Z29" s="8876"/>
      <c r="AA29" s="8876"/>
      <c r="AB29" s="8876"/>
      <c r="AC29" s="248"/>
      <c r="AD29" s="8876" t="str">
        <f>IF(TITLE_NAME_OR_PR_CHANGE="",IF(TITLE_NAME_OR_PR="","",TITLE_NAME_OR_PR),TITLE_NAME_OR_PR_CHANGE)</f>
        <v/>
      </c>
      <c r="AE29" s="8876"/>
      <c r="AF29" s="8876"/>
      <c r="AG29" s="8876"/>
      <c r="AH29" s="8876"/>
      <c r="AI29" s="8876"/>
      <c r="AJ29" s="8876"/>
      <c r="AK29" s="248"/>
      <c r="AL29" s="248"/>
      <c r="AM29" s="196"/>
      <c r="AN29" s="292"/>
      <c r="AO29" s="292"/>
      <c r="AP29" s="292"/>
      <c r="AQ29" s="292"/>
      <c r="AR29" s="292"/>
    </row>
    <row r="30" spans="1:44" s="1771" customFormat="1" ht="18.75" hidden="1" customHeight="1">
      <c r="A30" s="1289"/>
      <c r="B30" s="1289"/>
      <c r="C30" s="1289"/>
      <c r="D30" s="1289"/>
      <c r="E30" s="1289"/>
      <c r="F30" s="1289"/>
      <c r="G30" s="1289"/>
      <c r="H30" s="1289"/>
      <c r="I30" s="1289"/>
      <c r="J30" s="1289"/>
      <c r="K30" s="1289"/>
      <c r="L30" s="1290"/>
      <c r="M30" s="1289"/>
      <c r="N30" s="1289"/>
      <c r="O30" s="1289"/>
      <c r="S30" s="8875" t="s">
        <v>886</v>
      </c>
      <c r="T30" s="8875"/>
      <c r="U30" s="1293"/>
      <c r="V30" s="8885">
        <f>IF(TITLE_DATE_PR_CHANGE="",IF(TITLE_DATE_PR="","",TITLE_DATE_PR),TITLE_DATE_PR_CHANGE)</f>
        <v>45281.411851851852</v>
      </c>
      <c r="W30" s="8885"/>
      <c r="X30" s="8885"/>
      <c r="Y30" s="8885"/>
      <c r="Z30" s="8885"/>
      <c r="AA30" s="8885"/>
      <c r="AB30" s="8885"/>
      <c r="AC30" s="248"/>
      <c r="AD30" s="8885">
        <f>IF(TITLE_DATE_PR_CHANGE="",IF(TITLE_DATE_PR="","",TITLE_DATE_PR),TITLE_DATE_PR_CHANGE)</f>
        <v>45281.411851851852</v>
      </c>
      <c r="AE30" s="8885"/>
      <c r="AF30" s="8885"/>
      <c r="AG30" s="8885"/>
      <c r="AH30" s="8885"/>
      <c r="AI30" s="8885"/>
      <c r="AJ30" s="8885"/>
      <c r="AK30" s="248"/>
      <c r="AL30" s="248"/>
      <c r="AM30" s="196"/>
      <c r="AN30" s="292"/>
      <c r="AO30" s="292"/>
      <c r="AP30" s="292"/>
      <c r="AQ30" s="292"/>
      <c r="AR30" s="292"/>
    </row>
    <row r="31" spans="1:44" s="1771" customFormat="1" ht="18.75" hidden="1" customHeight="1">
      <c r="A31" s="1289"/>
      <c r="B31" s="1289"/>
      <c r="C31" s="1289"/>
      <c r="D31" s="1289"/>
      <c r="E31" s="1289"/>
      <c r="F31" s="1289"/>
      <c r="G31" s="1289"/>
      <c r="H31" s="1289"/>
      <c r="I31" s="1289"/>
      <c r="J31" s="1289"/>
      <c r="K31" s="1289"/>
      <c r="L31" s="1290"/>
      <c r="M31" s="1289"/>
      <c r="N31" s="1289"/>
      <c r="O31" s="1289"/>
      <c r="S31" s="8875" t="s">
        <v>887</v>
      </c>
      <c r="T31" s="8875"/>
      <c r="U31" s="1293"/>
      <c r="V31" s="8876" t="str">
        <f>IF(TITLE_NUMBER_PR_CHANGE="",IF(TITLE_NUMBER_PR="","",TITLE_NUMBER_PR),TITLE_NUMBER_PR_CHANGE)</f>
        <v>06-11/11398</v>
      </c>
      <c r="W31" s="8876"/>
      <c r="X31" s="8876"/>
      <c r="Y31" s="8876"/>
      <c r="Z31" s="8876"/>
      <c r="AA31" s="8876"/>
      <c r="AB31" s="8876"/>
      <c r="AC31" s="248"/>
      <c r="AD31" s="8876" t="str">
        <f>IF(TITLE_NUMBER_PR_CHANGE="",IF(TITLE_NUMBER_PR="","",TITLE_NUMBER_PR),TITLE_NUMBER_PR_CHANGE)</f>
        <v>06-11/11398</v>
      </c>
      <c r="AE31" s="8876"/>
      <c r="AF31" s="8876"/>
      <c r="AG31" s="8876"/>
      <c r="AH31" s="8876"/>
      <c r="AI31" s="8876"/>
      <c r="AJ31" s="8876"/>
      <c r="AK31" s="248"/>
      <c r="AL31" s="248"/>
      <c r="AM31" s="196"/>
      <c r="AN31" s="292"/>
      <c r="AO31" s="292"/>
      <c r="AP31" s="292"/>
      <c r="AQ31" s="292"/>
      <c r="AR31" s="292"/>
    </row>
    <row r="32" spans="1:44" s="1771" customFormat="1" ht="18.75" hidden="1" customHeight="1">
      <c r="A32" s="1289"/>
      <c r="B32" s="1289"/>
      <c r="C32" s="1289"/>
      <c r="D32" s="1289"/>
      <c r="E32" s="1289"/>
      <c r="F32" s="1289"/>
      <c r="G32" s="1289"/>
      <c r="H32" s="1289"/>
      <c r="I32" s="1289"/>
      <c r="J32" s="1289"/>
      <c r="K32" s="1289"/>
      <c r="L32" s="1290"/>
      <c r="M32" s="1289"/>
      <c r="N32" s="1289"/>
      <c r="O32" s="1289"/>
      <c r="S32" s="8875" t="s">
        <v>39</v>
      </c>
      <c r="T32" s="8875"/>
      <c r="U32" s="1293"/>
      <c r="V32" s="8876" t="str">
        <f>IF(TITLE_IST_PUB_CHANGE="",IF(TITLE_IST_PUB="","",TITLE_IST_PUB),TITLE_IST_PUB_CHANGE)</f>
        <v/>
      </c>
      <c r="W32" s="8876"/>
      <c r="X32" s="8876"/>
      <c r="Y32" s="8876"/>
      <c r="Z32" s="8876"/>
      <c r="AA32" s="8876"/>
      <c r="AB32" s="8876"/>
      <c r="AC32" s="248"/>
      <c r="AD32" s="8876" t="str">
        <f>IF(TITLE_IST_PUB_CHANGE="",IF(TITLE_IST_PUB="","",TITLE_IST_PUB),TITLE_IST_PUB_CHANGE)</f>
        <v/>
      </c>
      <c r="AE32" s="8876"/>
      <c r="AF32" s="8876"/>
      <c r="AG32" s="8876"/>
      <c r="AH32" s="8876"/>
      <c r="AI32" s="8876"/>
      <c r="AJ32" s="8876"/>
      <c r="AK32" s="248"/>
      <c r="AL32" s="248"/>
      <c r="AM32" s="196"/>
      <c r="AN32" s="292"/>
      <c r="AO32" s="292"/>
      <c r="AP32" s="292"/>
      <c r="AQ32" s="292"/>
      <c r="AR32" s="292"/>
    </row>
    <row r="33" spans="1:44" ht="14.25"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customHeight="1">
      <c r="A34" s="1289"/>
      <c r="B34" s="1289"/>
      <c r="C34" s="1289"/>
      <c r="D34" s="1289"/>
      <c r="E34" s="1289"/>
      <c r="F34" s="1289"/>
      <c r="G34" s="1289"/>
      <c r="H34" s="1289"/>
      <c r="I34" s="1289"/>
      <c r="J34" s="1289"/>
      <c r="K34" s="1289"/>
      <c r="L34" s="1290"/>
      <c r="M34" s="1289"/>
      <c r="N34" s="1289"/>
      <c r="O34" s="1289"/>
      <c r="S34" s="8875" t="s">
        <v>888</v>
      </c>
      <c r="T34" s="8875"/>
      <c r="U34" s="1293"/>
      <c r="V34" s="8885">
        <f>IF(TITLE_DATE_PR_CHANGE="",IF(TITLE_DATE_PR="","",TITLE_DATE_PR),TITLE_DATE_PR_CHANGE)</f>
        <v>45281.411851851852</v>
      </c>
      <c r="W34" s="8885"/>
      <c r="X34" s="8885"/>
      <c r="Y34" s="8885"/>
      <c r="Z34" s="8885"/>
      <c r="AA34" s="8885"/>
      <c r="AB34" s="8885"/>
      <c r="AC34" s="248"/>
      <c r="AD34" s="8885">
        <f>IF(TITLE_DATE_PR_CHANGE="",IF(TITLE_DATE_PR="","",TITLE_DATE_PR),TITLE_DATE_PR_CHANGE)</f>
        <v>45281.411851851852</v>
      </c>
      <c r="AE34" s="8885"/>
      <c r="AF34" s="8885"/>
      <c r="AG34" s="8885"/>
      <c r="AH34" s="8885"/>
      <c r="AI34" s="8885"/>
      <c r="AJ34" s="8885"/>
      <c r="AK34" s="248"/>
      <c r="AL34" s="248"/>
      <c r="AM34" s="196"/>
      <c r="AN34" s="292"/>
      <c r="AO34" s="292"/>
      <c r="AP34" s="292"/>
      <c r="AQ34" s="292"/>
      <c r="AR34" s="292"/>
    </row>
    <row r="35" spans="1:44" s="1771" customFormat="1" ht="18.75" customHeight="1">
      <c r="A35" s="1289"/>
      <c r="B35" s="1289"/>
      <c r="C35" s="1289"/>
      <c r="D35" s="1289"/>
      <c r="E35" s="1289"/>
      <c r="F35" s="1289"/>
      <c r="G35" s="1289"/>
      <c r="H35" s="1289"/>
      <c r="I35" s="1289"/>
      <c r="J35" s="1289"/>
      <c r="K35" s="1289"/>
      <c r="L35" s="1290"/>
      <c r="M35" s="1289"/>
      <c r="N35" s="1289"/>
      <c r="O35" s="1289"/>
      <c r="S35" s="8875" t="s">
        <v>889</v>
      </c>
      <c r="T35" s="8875"/>
      <c r="U35" s="1293"/>
      <c r="V35" s="8876" t="str">
        <f>IF(TITLE_NUMBER_PR_CHANGE="",IF(TITLE_NUMBER_PR="","",TITLE_NUMBER_PR),TITLE_NUMBER_PR_CHANGE)</f>
        <v>06-11/11398</v>
      </c>
      <c r="W35" s="8876"/>
      <c r="X35" s="8876"/>
      <c r="Y35" s="8876"/>
      <c r="Z35" s="8876"/>
      <c r="AA35" s="8876"/>
      <c r="AB35" s="8876"/>
      <c r="AC35" s="248"/>
      <c r="AD35" s="8876" t="str">
        <f>IF(TITLE_NUMBER_PR_CHANGE="",IF(TITLE_NUMBER_PR="","",TITLE_NUMBER_PR),TITLE_NUMBER_PR_CHANGE)</f>
        <v>06-11/11398</v>
      </c>
      <c r="AE35" s="8876"/>
      <c r="AF35" s="8876"/>
      <c r="AG35" s="8876"/>
      <c r="AH35" s="8876"/>
      <c r="AI35" s="8876"/>
      <c r="AJ35" s="8876"/>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890</v>
      </c>
      <c r="AD36" s="248"/>
      <c r="AE36" s="248"/>
      <c r="AF36" s="248"/>
      <c r="AG36" s="248"/>
      <c r="AH36" s="248"/>
      <c r="AI36" s="248"/>
      <c r="AJ36" s="248"/>
      <c r="AK36" s="194" t="s">
        <v>890</v>
      </c>
      <c r="AN36" s="292"/>
      <c r="AO36" s="292"/>
      <c r="AP36" s="292"/>
      <c r="AQ36" s="292"/>
      <c r="AR36" s="292"/>
    </row>
    <row r="37" spans="1:44" ht="14.25" customHeight="1">
      <c r="Q37" s="300"/>
      <c r="R37" s="300"/>
      <c r="S37" s="1200"/>
      <c r="T37" s="286"/>
      <c r="U37" s="1158"/>
      <c r="V37" s="8877"/>
      <c r="W37" s="8877"/>
      <c r="X37" s="8877"/>
      <c r="Y37" s="8877"/>
      <c r="Z37" s="8877"/>
      <c r="AA37" s="8877"/>
      <c r="AB37" s="8877"/>
      <c r="AC37" s="8877"/>
      <c r="AD37" s="8877"/>
      <c r="AE37" s="8877"/>
      <c r="AF37" s="8877"/>
      <c r="AG37" s="8877"/>
      <c r="AH37" s="8877"/>
      <c r="AI37" s="8877"/>
      <c r="AJ37" s="8877"/>
      <c r="AK37" s="8877"/>
    </row>
    <row r="38" spans="1:44" ht="14.25" customHeight="1">
      <c r="Q38" s="300"/>
      <c r="R38" s="300"/>
      <c r="S38" s="8753" t="s">
        <v>763</v>
      </c>
      <c r="T38" s="8753"/>
      <c r="U38" s="8753"/>
      <c r="V38" s="8753"/>
      <c r="W38" s="8753"/>
      <c r="X38" s="8753"/>
      <c r="Y38" s="8753"/>
      <c r="Z38" s="8753"/>
      <c r="AA38" s="8753"/>
      <c r="AB38" s="8753"/>
      <c r="AC38" s="8753"/>
      <c r="AD38" s="8753"/>
      <c r="AE38" s="8753"/>
      <c r="AF38" s="8753"/>
      <c r="AG38" s="8753"/>
      <c r="AH38" s="8753"/>
      <c r="AI38" s="8753"/>
      <c r="AJ38" s="8753"/>
      <c r="AK38" s="8753"/>
      <c r="AL38" s="8753"/>
      <c r="AM38" s="8753" t="s">
        <v>764</v>
      </c>
    </row>
    <row r="39" spans="1:44" ht="14.25" customHeight="1">
      <c r="Q39" s="300"/>
      <c r="R39" s="300"/>
      <c r="S39" s="8891" t="s">
        <v>84</v>
      </c>
      <c r="T39" s="8843" t="s">
        <v>891</v>
      </c>
      <c r="U39" s="215"/>
      <c r="V39" s="8892" t="s">
        <v>892</v>
      </c>
      <c r="W39" s="8893"/>
      <c r="X39" s="8893"/>
      <c r="Y39" s="8893"/>
      <c r="Z39" s="8893"/>
      <c r="AA39" s="8893"/>
      <c r="AB39" s="8894"/>
      <c r="AC39" s="8895" t="s">
        <v>893</v>
      </c>
      <c r="AD39" s="8892" t="s">
        <v>892</v>
      </c>
      <c r="AE39" s="8893"/>
      <c r="AF39" s="8893"/>
      <c r="AG39" s="8893"/>
      <c r="AH39" s="8893"/>
      <c r="AI39" s="8893"/>
      <c r="AJ39" s="8894"/>
      <c r="AK39" s="8895" t="s">
        <v>894</v>
      </c>
      <c r="AL39" s="8898" t="s">
        <v>895</v>
      </c>
      <c r="AM39" s="8753"/>
    </row>
    <row r="40" spans="1:44" ht="33.75" customHeight="1">
      <c r="Q40" s="300"/>
      <c r="R40" s="300"/>
      <c r="S40" s="8891"/>
      <c r="T40" s="8843"/>
      <c r="U40" s="942"/>
      <c r="V40" s="8813" t="s">
        <v>896</v>
      </c>
      <c r="W40" s="8901"/>
      <c r="X40" s="8724" t="s">
        <v>898</v>
      </c>
      <c r="Y40" s="8723"/>
      <c r="Z40" s="8724" t="s">
        <v>899</v>
      </c>
      <c r="AA40" s="8729"/>
      <c r="AB40" s="8723"/>
      <c r="AC40" s="8896"/>
      <c r="AD40" s="8813" t="s">
        <v>896</v>
      </c>
      <c r="AE40" s="8901"/>
      <c r="AF40" s="8724" t="s">
        <v>898</v>
      </c>
      <c r="AG40" s="8723"/>
      <c r="AH40" s="8724" t="s">
        <v>899</v>
      </c>
      <c r="AI40" s="8729"/>
      <c r="AJ40" s="8723"/>
      <c r="AK40" s="8896"/>
      <c r="AL40" s="8899"/>
      <c r="AM40" s="8753"/>
    </row>
    <row r="41" spans="1:44" ht="33.75" customHeight="1">
      <c r="A41" s="1291"/>
      <c r="B41" s="1291" t="s">
        <v>223</v>
      </c>
      <c r="C41" s="1291" t="s">
        <v>224</v>
      </c>
      <c r="D41" s="1291" t="s">
        <v>225</v>
      </c>
      <c r="E41" s="1285" t="s">
        <v>900</v>
      </c>
      <c r="F41" s="1285" t="s">
        <v>901</v>
      </c>
      <c r="G41" s="1285" t="s">
        <v>902</v>
      </c>
      <c r="H41" s="1285" t="s">
        <v>903</v>
      </c>
      <c r="I41" s="1285" t="s">
        <v>904</v>
      </c>
      <c r="J41" s="1285" t="s">
        <v>905</v>
      </c>
      <c r="K41" s="1285" t="s">
        <v>906</v>
      </c>
      <c r="L41" s="1285" t="s">
        <v>881</v>
      </c>
      <c r="Q41" s="300"/>
      <c r="R41" s="300"/>
      <c r="S41" s="8891"/>
      <c r="T41" s="8843"/>
      <c r="U41" s="216"/>
      <c r="V41" s="8862"/>
      <c r="W41" s="8902"/>
      <c r="X41" s="1133" t="s">
        <v>907</v>
      </c>
      <c r="Y41" s="1133" t="s">
        <v>908</v>
      </c>
      <c r="Z41" s="1260" t="s">
        <v>909</v>
      </c>
      <c r="AA41" s="8851" t="s">
        <v>910</v>
      </c>
      <c r="AB41" s="8853"/>
      <c r="AC41" s="8897"/>
      <c r="AD41" s="8862"/>
      <c r="AE41" s="8902"/>
      <c r="AF41" s="1133" t="s">
        <v>907</v>
      </c>
      <c r="AG41" s="1133" t="s">
        <v>908</v>
      </c>
      <c r="AH41" s="1260" t="s">
        <v>909</v>
      </c>
      <c r="AI41" s="8851" t="s">
        <v>910</v>
      </c>
      <c r="AJ41" s="8853"/>
      <c r="AK41" s="8897"/>
      <c r="AL41" s="8900"/>
      <c r="AM41" s="875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95</v>
      </c>
      <c r="T42" s="1177" t="s">
        <v>99</v>
      </c>
      <c r="U42" s="1159" t="str">
        <f ca="1">OFFSET(U42,0,-1)</f>
        <v>2</v>
      </c>
      <c r="V42" s="1257">
        <f ca="1">OFFSET(V42,0,-1)+1</f>
        <v>3</v>
      </c>
      <c r="W42" s="1257"/>
      <c r="X42" s="1257">
        <f ca="1">OFFSET(X42,0,-1)+1</f>
        <v>1</v>
      </c>
      <c r="Y42" s="1257">
        <f ca="1">OFFSET(Y42,0,-1)+1</f>
        <v>2</v>
      </c>
      <c r="Z42" s="1257">
        <f ca="1">OFFSET(Z42,0,-1)+1</f>
        <v>3</v>
      </c>
      <c r="AA42" s="8890">
        <f ca="1">OFFSET(AA42,0,-1)+1</f>
        <v>4</v>
      </c>
      <c r="AB42" s="8890"/>
      <c r="AC42" s="1257">
        <f ca="1">OFFSET(AC42,0,-2)+1</f>
        <v>5</v>
      </c>
      <c r="AD42" s="1257">
        <f ca="1">OFFSET(AD42,0,-1)+1</f>
        <v>6</v>
      </c>
      <c r="AE42" s="1257"/>
      <c r="AF42" s="1257">
        <f ca="1">OFFSET(AF42,0,-1)+1</f>
        <v>1</v>
      </c>
      <c r="AG42" s="1257">
        <f ca="1">OFFSET(AG42,0,-1)+1</f>
        <v>2</v>
      </c>
      <c r="AH42" s="1257">
        <f ca="1">OFFSET(AH42,0,-1)+1</f>
        <v>3</v>
      </c>
      <c r="AI42" s="8890">
        <f ca="1">OFFSET(AI42,0,-1)+1</f>
        <v>4</v>
      </c>
      <c r="AJ42" s="8890"/>
      <c r="AK42" s="1257">
        <f ca="1">OFFSET(AK42,0,-2)+1</f>
        <v>5</v>
      </c>
      <c r="AL42" s="1159">
        <f ca="1">OFFSET(AL42,0,-1)</f>
        <v>5</v>
      </c>
      <c r="AM42" s="1257">
        <f ca="1">OFFSET(AM42,0,-1)+1</f>
        <v>6</v>
      </c>
      <c r="AN42" s="435"/>
      <c r="AO42" s="435"/>
      <c r="AP42" s="435"/>
      <c r="AQ42" s="435"/>
      <c r="AR42" s="435"/>
    </row>
    <row r="43" spans="1:44" ht="21" customHeight="1">
      <c r="A43" s="1284" t="s">
        <v>262</v>
      </c>
      <c r="B43" s="1284"/>
      <c r="C43" s="1284"/>
      <c r="D43" s="1284"/>
      <c r="E43" s="8883">
        <v>1</v>
      </c>
      <c r="F43" s="1284"/>
      <c r="G43" s="1284"/>
      <c r="H43" s="1284"/>
      <c r="I43" s="1284"/>
      <c r="J43" s="1284"/>
      <c r="K43" s="1284"/>
      <c r="L43" s="1285"/>
      <c r="M43" s="1286"/>
      <c r="N43" s="1286"/>
      <c r="O43" s="1286"/>
      <c r="P43" s="282"/>
      <c r="Q43" s="281"/>
      <c r="R43" s="276"/>
      <c r="S43" s="1258">
        <f>INDEX(PT_DIFFERENTIATION_NUM_NTAR,MATCH(A43,PT_DIFFERENTIATION_NTAR_ID,0))</f>
        <v>0</v>
      </c>
      <c r="T43" s="212" t="s">
        <v>211</v>
      </c>
      <c r="U43" s="214"/>
      <c r="V43" s="8869"/>
      <c r="W43" s="8870"/>
      <c r="X43" s="8870"/>
      <c r="Y43" s="8870"/>
      <c r="Z43" s="8870"/>
      <c r="AA43" s="8870"/>
      <c r="AB43" s="8870"/>
      <c r="AC43" s="8871"/>
      <c r="AD43" s="8869" t="str">
        <f>INDEX(PT_DIFFERENTIATION_NTAR,MATCH(A43,PT_DIFFERENTIATION_NTAR_ID,0))</f>
        <v/>
      </c>
      <c r="AE43" s="8870"/>
      <c r="AF43" s="8870"/>
      <c r="AG43" s="8870"/>
      <c r="AH43" s="8870"/>
      <c r="AI43" s="8870"/>
      <c r="AJ43" s="8870"/>
      <c r="AK43" s="8870"/>
      <c r="AL43" s="887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4"/>
      <c r="AP43" s="424" t="str">
        <f t="shared" ref="AP43:AP57" si="1">IF(T43="","",T43)</f>
        <v>Наименование тарифа</v>
      </c>
      <c r="AQ43" s="424"/>
      <c r="AR43" s="424"/>
    </row>
    <row r="44" spans="1:44" ht="21" customHeight="1">
      <c r="A44" s="1284" t="s">
        <v>262</v>
      </c>
      <c r="B44" s="1284" t="s">
        <v>263</v>
      </c>
      <c r="C44" s="1284"/>
      <c r="D44" s="1284"/>
      <c r="E44" s="8884"/>
      <c r="F44" s="8883">
        <v>1</v>
      </c>
      <c r="G44" s="1284"/>
      <c r="H44" s="1284"/>
      <c r="I44" s="1284"/>
      <c r="J44" s="1284"/>
      <c r="K44" s="1284"/>
      <c r="L44" s="1285"/>
      <c r="M44" s="1286"/>
      <c r="N44" s="1286"/>
      <c r="O44" s="1286"/>
      <c r="P44" s="1254"/>
      <c r="Q44" s="273"/>
      <c r="R44" s="274"/>
      <c r="S44" s="1258" t="str">
        <f>INDEX(PT_DIFFERENTIATION_NUM_TER,MATCH(B44,PT_DIFFERENTIATION_TER_ID,0))</f>
        <v>.</v>
      </c>
      <c r="T44" s="224" t="s">
        <v>862</v>
      </c>
      <c r="U44" s="214"/>
      <c r="V44" s="8869"/>
      <c r="W44" s="8870"/>
      <c r="X44" s="8870"/>
      <c r="Y44" s="8870"/>
      <c r="Z44" s="8870"/>
      <c r="AA44" s="8870"/>
      <c r="AB44" s="8870"/>
      <c r="AC44" s="8871"/>
      <c r="AD44" s="8869" t="str">
        <f>INDEX(PT_DIFFERENTIATION_TER,MATCH(B44,PT_DIFFERENTIATION_TER_ID,0))</f>
        <v/>
      </c>
      <c r="AE44" s="8870"/>
      <c r="AF44" s="8870"/>
      <c r="AG44" s="8870"/>
      <c r="AH44" s="8870"/>
      <c r="AI44" s="8870"/>
      <c r="AJ44" s="8870"/>
      <c r="AK44" s="8870"/>
      <c r="AL44" s="8871"/>
      <c r="AM44" s="1182" t="s">
        <v>863</v>
      </c>
      <c r="AO44" s="424"/>
      <c r="AP44" s="424" t="str">
        <f t="shared" si="1"/>
        <v>Территория действия тарифа</v>
      </c>
      <c r="AQ44" s="424"/>
      <c r="AR44" s="424"/>
    </row>
    <row r="45" spans="1:44" ht="23.25" customHeight="1">
      <c r="A45" s="1284" t="s">
        <v>262</v>
      </c>
      <c r="B45" s="1284" t="s">
        <v>263</v>
      </c>
      <c r="C45" s="1284" t="s">
        <v>264</v>
      </c>
      <c r="D45" s="1284"/>
      <c r="E45" s="8884"/>
      <c r="F45" s="8884"/>
      <c r="G45" s="8883">
        <v>1</v>
      </c>
      <c r="H45" s="1284"/>
      <c r="I45" s="1284"/>
      <c r="J45" s="1284"/>
      <c r="K45" s="1284"/>
      <c r="L45" s="1285"/>
      <c r="M45" s="1286"/>
      <c r="N45" s="1286"/>
      <c r="O45" s="1286"/>
      <c r="P45" s="275"/>
      <c r="Q45" s="273"/>
      <c r="R45" s="274"/>
      <c r="S45" s="1258" t="str">
        <f>INDEX(PT_DIFFERENTIATION_NUM_CS,MATCH(C45,PT_DIFFERENTIATION_CS_ID,0))</f>
        <v>..</v>
      </c>
      <c r="T45" s="225" t="s">
        <v>864</v>
      </c>
      <c r="U45" s="214"/>
      <c r="V45" s="8869"/>
      <c r="W45" s="8870"/>
      <c r="X45" s="8870"/>
      <c r="Y45" s="8870"/>
      <c r="Z45" s="8870"/>
      <c r="AA45" s="8870"/>
      <c r="AB45" s="8870"/>
      <c r="AC45" s="8871"/>
      <c r="AD45" s="8869" t="str">
        <f>INDEX(PT_DIFFERENTIATION_CS,MATCH(C45,PT_DIFFERENTIATION_CS_ID,0))</f>
        <v/>
      </c>
      <c r="AE45" s="8870"/>
      <c r="AF45" s="8870"/>
      <c r="AG45" s="8870"/>
      <c r="AH45" s="8870"/>
      <c r="AI45" s="8870"/>
      <c r="AJ45" s="8870"/>
      <c r="AK45" s="8870"/>
      <c r="AL45" s="8871"/>
      <c r="AM45" s="1182" t="s">
        <v>865</v>
      </c>
      <c r="AO45" s="424"/>
      <c r="AP45" s="424" t="str">
        <f t="shared" si="1"/>
        <v xml:space="preserve">Наименование системы теплоснабжения </v>
      </c>
      <c r="AQ45" s="424"/>
      <c r="AR45" s="424"/>
    </row>
    <row r="46" spans="1:44" ht="21" customHeight="1">
      <c r="A46" s="1284" t="s">
        <v>262</v>
      </c>
      <c r="B46" s="1284" t="s">
        <v>263</v>
      </c>
      <c r="C46" s="1284" t="s">
        <v>264</v>
      </c>
      <c r="D46" s="1284" t="s">
        <v>265</v>
      </c>
      <c r="E46" s="8884"/>
      <c r="F46" s="8884"/>
      <c r="G46" s="8884"/>
      <c r="H46" s="8883">
        <v>1</v>
      </c>
      <c r="I46" s="1284"/>
      <c r="J46" s="1284"/>
      <c r="K46" s="1284"/>
      <c r="L46" s="1285"/>
      <c r="M46" s="1286"/>
      <c r="N46" s="1286"/>
      <c r="O46" s="1286"/>
      <c r="P46" s="275"/>
      <c r="Q46" s="273"/>
      <c r="R46" s="274"/>
      <c r="S46" s="1258" t="str">
        <f>INDEX(PT_DIFFERENTIATION_NUM_IST_TE,MATCH(D46,PT_DIFFERENTIATION_IST_TE_ID,0))</f>
        <v>...</v>
      </c>
      <c r="T46" s="226" t="s">
        <v>866</v>
      </c>
      <c r="U46" s="214"/>
      <c r="V46" s="8869"/>
      <c r="W46" s="8870"/>
      <c r="X46" s="8870"/>
      <c r="Y46" s="8870"/>
      <c r="Z46" s="8870"/>
      <c r="AA46" s="8870"/>
      <c r="AB46" s="8870"/>
      <c r="AC46" s="8871"/>
      <c r="AD46" s="8869" t="str">
        <f>INDEX(PT_DIFFERENTIATION_IST_TE,MATCH(D46,PT_DIFFERENTIATION_IST_TE_ID,0))</f>
        <v/>
      </c>
      <c r="AE46" s="8870"/>
      <c r="AF46" s="8870"/>
      <c r="AG46" s="8870"/>
      <c r="AH46" s="8870"/>
      <c r="AI46" s="8870"/>
      <c r="AJ46" s="8870"/>
      <c r="AK46" s="8870"/>
      <c r="AL46" s="8871"/>
      <c r="AM46" s="1182" t="s">
        <v>867</v>
      </c>
      <c r="AO46" s="424"/>
      <c r="AP46" s="424" t="str">
        <f t="shared" si="1"/>
        <v xml:space="preserve">Источник тепловой энергии  </v>
      </c>
      <c r="AQ46" s="424"/>
      <c r="AR46" s="424"/>
    </row>
    <row r="47" spans="1:44" s="1562" customFormat="1" ht="0" hidden="1" customHeight="1">
      <c r="A47" s="1265" t="s">
        <v>262</v>
      </c>
      <c r="B47" s="1265" t="s">
        <v>263</v>
      </c>
      <c r="C47" s="1265" t="s">
        <v>264</v>
      </c>
      <c r="D47" s="1265" t="s">
        <v>265</v>
      </c>
      <c r="E47" s="8884"/>
      <c r="F47" s="8884"/>
      <c r="G47" s="8884"/>
      <c r="H47" s="8884"/>
      <c r="I47" s="8881" t="str">
        <f>S46&amp;".1"</f>
        <v>....1</v>
      </c>
      <c r="J47" s="1265"/>
      <c r="K47" s="1265"/>
      <c r="L47" s="1268" t="s">
        <v>868</v>
      </c>
      <c r="M47" s="434"/>
      <c r="N47" s="434"/>
      <c r="O47" s="434"/>
      <c r="P47" s="8882">
        <v>1</v>
      </c>
      <c r="Q47" s="1253"/>
      <c r="R47" s="277"/>
      <c r="S47" s="953"/>
      <c r="T47" s="1304"/>
      <c r="U47" s="1305"/>
      <c r="V47" s="8910"/>
      <c r="W47" s="8911"/>
      <c r="X47" s="8911"/>
      <c r="Y47" s="8911"/>
      <c r="Z47" s="8911"/>
      <c r="AA47" s="8911"/>
      <c r="AB47" s="8911"/>
      <c r="AC47" s="8912"/>
      <c r="AD47" s="8910"/>
      <c r="AE47" s="8911"/>
      <c r="AF47" s="8911"/>
      <c r="AG47" s="8911"/>
      <c r="AH47" s="8911"/>
      <c r="AI47" s="8911"/>
      <c r="AJ47" s="8911"/>
      <c r="AK47" s="8911"/>
      <c r="AL47" s="8912"/>
      <c r="AM47" s="1306"/>
      <c r="AO47" s="424"/>
      <c r="AP47" s="424" t="str">
        <f t="shared" si="1"/>
        <v/>
      </c>
      <c r="AQ47" s="424"/>
      <c r="AR47" s="424"/>
    </row>
    <row r="48" spans="1:44" ht="21" customHeight="1">
      <c r="A48" s="1284" t="s">
        <v>262</v>
      </c>
      <c r="B48" s="1284" t="s">
        <v>263</v>
      </c>
      <c r="C48" s="1284" t="s">
        <v>264</v>
      </c>
      <c r="D48" s="1284" t="s">
        <v>265</v>
      </c>
      <c r="E48" s="8884"/>
      <c r="F48" s="8884"/>
      <c r="G48" s="8884"/>
      <c r="H48" s="8884"/>
      <c r="I48" s="8904"/>
      <c r="J48" s="8881" t="str">
        <f>S46&amp;".1"</f>
        <v>....1</v>
      </c>
      <c r="K48" s="1284"/>
      <c r="L48" s="1285" t="s">
        <v>871</v>
      </c>
      <c r="P48" s="8882"/>
      <c r="Q48" s="8882">
        <v>1</v>
      </c>
      <c r="R48" s="278"/>
      <c r="S48" s="1258" t="str">
        <f>$J48</f>
        <v>....1</v>
      </c>
      <c r="T48" s="201" t="s">
        <v>872</v>
      </c>
      <c r="U48" s="214"/>
      <c r="V48" s="8872"/>
      <c r="W48" s="8873"/>
      <c r="X48" s="8873"/>
      <c r="Y48" s="8873"/>
      <c r="Z48" s="8873"/>
      <c r="AA48" s="8873"/>
      <c r="AB48" s="8873"/>
      <c r="AC48" s="8874"/>
      <c r="AD48" s="8872"/>
      <c r="AE48" s="8873"/>
      <c r="AF48" s="8873"/>
      <c r="AG48" s="8873"/>
      <c r="AH48" s="8873"/>
      <c r="AI48" s="8873"/>
      <c r="AJ48" s="8873"/>
      <c r="AK48" s="8873"/>
      <c r="AL48" s="8874"/>
      <c r="AM48" s="1182" t="s">
        <v>873</v>
      </c>
      <c r="AO48" s="424"/>
      <c r="AP48" s="424" t="str">
        <f t="shared" si="1"/>
        <v>Группа потребителей</v>
      </c>
      <c r="AQ48" s="424"/>
      <c r="AR48" s="424"/>
    </row>
    <row r="49" spans="1:44" ht="21" customHeight="1">
      <c r="A49" s="1284" t="s">
        <v>262</v>
      </c>
      <c r="B49" s="1284" t="s">
        <v>263</v>
      </c>
      <c r="C49" s="1284" t="s">
        <v>264</v>
      </c>
      <c r="D49" s="1284" t="s">
        <v>265</v>
      </c>
      <c r="E49" s="8884"/>
      <c r="F49" s="8884"/>
      <c r="G49" s="8884"/>
      <c r="H49" s="8884"/>
      <c r="I49" s="8904"/>
      <c r="J49" s="8904"/>
      <c r="K49" s="8881" t="str">
        <f>J48&amp;".1"</f>
        <v>....1.1</v>
      </c>
      <c r="L49" s="1285" t="s">
        <v>874</v>
      </c>
      <c r="P49" s="8882"/>
      <c r="Q49" s="8882"/>
      <c r="R49" s="278">
        <v>1</v>
      </c>
      <c r="S49" s="1258" t="str">
        <f>$K49</f>
        <v>....1.1</v>
      </c>
      <c r="T49" s="1269"/>
      <c r="U49" s="214"/>
      <c r="V49" s="666"/>
      <c r="W49" s="246"/>
      <c r="X49" s="666"/>
      <c r="Y49" s="1181"/>
      <c r="Z49" s="8886"/>
      <c r="AA49" s="8734" t="s">
        <v>63</v>
      </c>
      <c r="AB49" s="8886"/>
      <c r="AC49" s="8734" t="s">
        <v>63</v>
      </c>
      <c r="AD49" s="666"/>
      <c r="AE49" s="246"/>
      <c r="AF49" s="666"/>
      <c r="AG49" s="1181"/>
      <c r="AH49" s="8886"/>
      <c r="AI49" s="8734" t="s">
        <v>63</v>
      </c>
      <c r="AJ49" s="8905"/>
      <c r="AK49" s="8734" t="s">
        <v>63</v>
      </c>
      <c r="AL49" s="1270"/>
      <c r="AM49" s="8878" t="s">
        <v>912</v>
      </c>
      <c r="AN49" s="435" t="e">
        <f ca="1">STRCHECKDATE(V50:AL50)</f>
        <v>#NAME?</v>
      </c>
      <c r="AO49" s="424"/>
      <c r="AP49" s="424" t="str">
        <f t="shared" si="1"/>
        <v/>
      </c>
      <c r="AQ49" s="424"/>
      <c r="AR49" s="424"/>
    </row>
    <row r="50" spans="1:44" ht="0.75" customHeight="1">
      <c r="A50" s="1284" t="s">
        <v>262</v>
      </c>
      <c r="B50" s="1284" t="s">
        <v>263</v>
      </c>
      <c r="C50" s="1284" t="s">
        <v>264</v>
      </c>
      <c r="D50" s="1284" t="s">
        <v>265</v>
      </c>
      <c r="E50" s="8884"/>
      <c r="F50" s="8884"/>
      <c r="G50" s="8884"/>
      <c r="H50" s="8884"/>
      <c r="I50" s="8904"/>
      <c r="J50" s="8904"/>
      <c r="K50" s="8881"/>
      <c r="L50" s="1285"/>
      <c r="P50" s="8882"/>
      <c r="Q50" s="8882"/>
      <c r="R50" s="278"/>
      <c r="S50" s="1264"/>
      <c r="T50" s="214"/>
      <c r="U50" s="214"/>
      <c r="V50" s="246"/>
      <c r="W50" s="246"/>
      <c r="X50" s="246"/>
      <c r="Y50" s="250" t="str">
        <f>Z49&amp;"-"&amp;AB49</f>
        <v>-</v>
      </c>
      <c r="Z50" s="8887"/>
      <c r="AA50" s="8734"/>
      <c r="AB50" s="8887"/>
      <c r="AC50" s="8734"/>
      <c r="AD50" s="246"/>
      <c r="AE50" s="246"/>
      <c r="AF50" s="246"/>
      <c r="AG50" s="250" t="str">
        <f>AH49&amp;"-"&amp;AJ49</f>
        <v>-</v>
      </c>
      <c r="AH50" s="8887"/>
      <c r="AI50" s="8734"/>
      <c r="AJ50" s="8906"/>
      <c r="AK50" s="8734"/>
      <c r="AL50" s="1271"/>
      <c r="AM50" s="8879"/>
      <c r="AO50" s="424"/>
      <c r="AP50" s="424" t="str">
        <f t="shared" si="1"/>
        <v/>
      </c>
      <c r="AQ50" s="424"/>
      <c r="AR50" s="424"/>
    </row>
    <row r="51" spans="1:44" ht="11.25" customHeight="1">
      <c r="A51" s="1284" t="s">
        <v>262</v>
      </c>
      <c r="B51" s="1284" t="s">
        <v>263</v>
      </c>
      <c r="C51" s="1284" t="s">
        <v>264</v>
      </c>
      <c r="D51" s="1284" t="s">
        <v>265</v>
      </c>
      <c r="E51" s="8884"/>
      <c r="F51" s="8884"/>
      <c r="G51" s="8884"/>
      <c r="H51" s="8884"/>
      <c r="I51" s="8904"/>
      <c r="J51" s="8881"/>
      <c r="K51" s="1284"/>
      <c r="L51" s="1285"/>
      <c r="P51" s="8882"/>
      <c r="Q51" s="8882"/>
      <c r="R51" s="277"/>
      <c r="S51" s="1203"/>
      <c r="T51" s="202" t="s">
        <v>876</v>
      </c>
      <c r="U51" s="291"/>
      <c r="V51" s="291"/>
      <c r="W51" s="291"/>
      <c r="X51" s="291"/>
      <c r="Y51" s="291"/>
      <c r="Z51" s="291"/>
      <c r="AA51" s="291"/>
      <c r="AB51" s="291"/>
      <c r="AC51" s="291"/>
      <c r="AD51" s="291"/>
      <c r="AE51" s="291"/>
      <c r="AF51" s="291"/>
      <c r="AG51" s="291"/>
      <c r="AH51" s="291"/>
      <c r="AI51" s="291"/>
      <c r="AJ51" s="291"/>
      <c r="AK51" s="291"/>
      <c r="AL51" s="245"/>
      <c r="AM51" s="8880"/>
      <c r="AO51" s="424"/>
      <c r="AP51" s="424" t="str">
        <f t="shared" si="1"/>
        <v>Добавить вид теплоносителя (параметры теплоносителя)</v>
      </c>
      <c r="AQ51" s="424"/>
      <c r="AR51" s="424"/>
    </row>
    <row r="52" spans="1:44" ht="11.25" customHeight="1">
      <c r="A52" s="1284" t="s">
        <v>262</v>
      </c>
      <c r="B52" s="1284" t="s">
        <v>263</v>
      </c>
      <c r="C52" s="1284" t="s">
        <v>264</v>
      </c>
      <c r="D52" s="1284" t="s">
        <v>265</v>
      </c>
      <c r="E52" s="8884"/>
      <c r="F52" s="8884"/>
      <c r="G52" s="8884"/>
      <c r="H52" s="8884"/>
      <c r="I52" s="8881"/>
      <c r="J52" s="1284"/>
      <c r="K52" s="1284"/>
      <c r="L52" s="1285"/>
      <c r="P52" s="8882"/>
      <c r="Q52" s="1253"/>
      <c r="R52" s="277"/>
      <c r="S52" s="1203"/>
      <c r="T52" s="288" t="s">
        <v>877</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262</v>
      </c>
      <c r="B53" s="1284" t="s">
        <v>263</v>
      </c>
      <c r="C53" s="1284" t="s">
        <v>264</v>
      </c>
      <c r="D53" s="1284" t="s">
        <v>265</v>
      </c>
      <c r="E53" s="8884"/>
      <c r="F53" s="8884"/>
      <c r="G53" s="8884"/>
      <c r="H53" s="8883"/>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75" customHeight="1">
      <c r="A54" s="1265" t="s">
        <v>262</v>
      </c>
      <c r="B54" s="1265" t="s">
        <v>263</v>
      </c>
      <c r="C54" s="1265" t="s">
        <v>264</v>
      </c>
      <c r="D54" s="1237"/>
      <c r="E54" s="8884"/>
      <c r="F54" s="8884"/>
      <c r="G54" s="8883"/>
      <c r="H54" s="1237"/>
      <c r="I54" s="1237"/>
      <c r="J54" s="1237"/>
      <c r="K54" s="1237"/>
      <c r="L54" s="1261"/>
      <c r="M54" s="1238"/>
      <c r="N54" s="1238"/>
      <c r="P54" s="1239"/>
      <c r="Q54" s="1240"/>
      <c r="R54" s="1239"/>
      <c r="S54" s="1245"/>
      <c r="T54" s="1248" t="s">
        <v>879</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262</v>
      </c>
      <c r="B55" s="1265" t="s">
        <v>263</v>
      </c>
      <c r="C55" s="1237"/>
      <c r="D55" s="1237"/>
      <c r="E55" s="8884"/>
      <c r="F55" s="8883"/>
      <c r="G55" s="1237"/>
      <c r="H55" s="1237"/>
      <c r="I55" s="1237"/>
      <c r="J55" s="1237"/>
      <c r="K55" s="1237"/>
      <c r="L55" s="1261"/>
      <c r="M55" s="1244"/>
      <c r="N55" s="1244"/>
      <c r="P55" s="1239"/>
      <c r="Q55" s="1240"/>
      <c r="R55" s="1239"/>
      <c r="S55" s="1245"/>
      <c r="T55" s="1248" t="s">
        <v>314</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262</v>
      </c>
      <c r="B56" s="1265"/>
      <c r="C56" s="1265"/>
      <c r="D56" s="1265"/>
      <c r="E56" s="8883"/>
      <c r="F56" s="1265"/>
      <c r="G56" s="1265"/>
      <c r="H56" s="1265"/>
      <c r="I56" s="1265"/>
      <c r="J56" s="1265"/>
      <c r="K56" s="1265"/>
      <c r="L56" s="1268"/>
      <c r="M56" s="1244"/>
      <c r="N56" s="1244"/>
      <c r="O56" s="442"/>
      <c r="P56" s="308"/>
      <c r="Q56" s="1266"/>
      <c r="R56" s="308"/>
      <c r="S56" s="1245"/>
      <c r="T56" s="1248" t="s">
        <v>315</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706</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1.75" customHeight="1">
      <c r="O59" s="460"/>
      <c r="S59" s="1169"/>
      <c r="T59" s="8903"/>
      <c r="U59" s="8903"/>
      <c r="V59" s="8903"/>
      <c r="W59" s="8903"/>
      <c r="X59" s="8903"/>
      <c r="Y59" s="8903"/>
      <c r="Z59" s="8903"/>
      <c r="AA59" s="8903"/>
      <c r="AB59" s="8903"/>
      <c r="AC59" s="8903"/>
      <c r="AD59" s="8903"/>
      <c r="AE59" s="8903"/>
      <c r="AF59" s="8903"/>
      <c r="AG59" s="8903"/>
      <c r="AH59" s="8903"/>
      <c r="AI59" s="8903"/>
      <c r="AJ59" s="8903"/>
      <c r="AK59" s="8903"/>
      <c r="AL59" s="8903"/>
      <c r="AM59" s="8903"/>
    </row>
    <row r="60" spans="1:44" ht="29.25" customHeight="1">
      <c r="O60" s="460"/>
      <c r="T60" s="8903"/>
      <c r="U60" s="8903"/>
      <c r="V60" s="8903"/>
      <c r="W60" s="8903"/>
      <c r="X60" s="8903"/>
      <c r="Y60" s="8903"/>
      <c r="Z60" s="8903"/>
      <c r="AA60" s="8903"/>
      <c r="AB60" s="8903"/>
      <c r="AC60" s="8903"/>
      <c r="AD60" s="8903"/>
      <c r="AE60" s="8903"/>
      <c r="AF60" s="8903"/>
      <c r="AG60" s="8903"/>
      <c r="AH60" s="8903"/>
      <c r="AI60" s="8903"/>
      <c r="AJ60" s="8903"/>
      <c r="AK60" s="8903"/>
      <c r="AL60" s="8903"/>
      <c r="AM60" s="8903"/>
    </row>
    <row r="61" spans="1:44" ht="39.75" customHeight="1">
      <c r="O61" s="460"/>
      <c r="T61" s="8903"/>
      <c r="U61" s="8903"/>
      <c r="V61" s="8903"/>
      <c r="W61" s="8903"/>
      <c r="X61" s="8903"/>
      <c r="Y61" s="8903"/>
      <c r="Z61" s="8903"/>
      <c r="AA61" s="8903"/>
      <c r="AB61" s="8903"/>
      <c r="AC61" s="8903"/>
      <c r="AD61" s="8903"/>
      <c r="AE61" s="8903"/>
      <c r="AF61" s="8903"/>
      <c r="AG61" s="8903"/>
      <c r="AH61" s="8903"/>
      <c r="AI61" s="8903"/>
      <c r="AJ61" s="8903"/>
      <c r="AK61" s="8903"/>
      <c r="AL61" s="8903"/>
      <c r="AM61" s="8903"/>
    </row>
    <row r="62" spans="1:44" ht="14.25" customHeight="1">
      <c r="O62" s="460"/>
    </row>
    <row r="63" spans="1:44" ht="19.5" customHeight="1">
      <c r="O63" s="460"/>
      <c r="S63" s="1169"/>
      <c r="T63" s="8803"/>
      <c r="U63" s="8903"/>
      <c r="V63" s="8903"/>
      <c r="W63" s="8903"/>
      <c r="X63" s="8903"/>
      <c r="Y63" s="8903"/>
      <c r="Z63" s="8903"/>
      <c r="AA63" s="8903"/>
      <c r="AB63" s="8903"/>
      <c r="AC63" s="8903"/>
      <c r="AD63" s="8903"/>
      <c r="AE63" s="8903"/>
      <c r="AF63" s="8903"/>
      <c r="AG63" s="8903"/>
      <c r="AH63" s="8903"/>
      <c r="AI63" s="8903"/>
      <c r="AJ63" s="8903"/>
      <c r="AK63" s="8903"/>
      <c r="AL63" s="8903"/>
      <c r="AM63" s="8903"/>
    </row>
    <row r="64" spans="1:44" ht="27.75" customHeight="1">
      <c r="O64" s="460"/>
      <c r="T64" s="8903"/>
      <c r="U64" s="8903"/>
      <c r="V64" s="8903"/>
      <c r="W64" s="8903"/>
      <c r="X64" s="8903"/>
      <c r="Y64" s="8903"/>
      <c r="Z64" s="8903"/>
      <c r="AA64" s="8903"/>
      <c r="AB64" s="8903"/>
      <c r="AC64" s="8903"/>
      <c r="AD64" s="8903"/>
      <c r="AE64" s="8903"/>
      <c r="AF64" s="8903"/>
      <c r="AG64" s="8903"/>
      <c r="AH64" s="8903"/>
      <c r="AI64" s="8903"/>
      <c r="AJ64" s="8903"/>
      <c r="AK64" s="8903"/>
      <c r="AL64" s="8903"/>
      <c r="AM64" s="8903"/>
    </row>
    <row r="65" spans="20:39" ht="33.75" customHeight="1">
      <c r="T65" s="8903"/>
      <c r="U65" s="8903"/>
      <c r="V65" s="8903"/>
      <c r="W65" s="8903"/>
      <c r="X65" s="8903"/>
      <c r="Y65" s="8903"/>
      <c r="Z65" s="8903"/>
      <c r="AA65" s="8903"/>
      <c r="AB65" s="8903"/>
      <c r="AC65" s="8903"/>
      <c r="AD65" s="8903"/>
      <c r="AE65" s="8903"/>
      <c r="AF65" s="8903"/>
      <c r="AG65" s="8903"/>
      <c r="AH65" s="8903"/>
      <c r="AI65" s="8903"/>
      <c r="AJ65" s="8903"/>
      <c r="AK65" s="8903"/>
      <c r="AL65" s="8903"/>
      <c r="AM65" s="8903"/>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812" hidden="1" customWidth="1"/>
    <col min="17" max="18" width="3.7109375" style="265" customWidth="1"/>
    <col min="19" max="19" width="12.7109375" style="1814"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8883">
        <v>1</v>
      </c>
      <c r="F2" s="1284"/>
      <c r="G2" s="1284"/>
      <c r="H2" s="1284"/>
      <c r="I2" s="1284"/>
      <c r="J2" s="1284"/>
      <c r="K2" s="1284"/>
      <c r="L2" s="1285"/>
      <c r="M2" s="1286"/>
      <c r="N2" s="1286"/>
      <c r="O2" s="1286"/>
      <c r="P2" s="282"/>
      <c r="Q2" s="281"/>
      <c r="R2" s="276"/>
      <c r="S2" s="1258" t="e">
        <f>INDEX(PT_DIFFERENTIATION_NUM_NTAR,MATCH(A2,PT_DIFFERENTIATION_NTAR_ID,0))</f>
        <v>#N/A</v>
      </c>
      <c r="T2" s="212" t="s">
        <v>211</v>
      </c>
      <c r="U2" s="214"/>
      <c r="V2" s="8869"/>
      <c r="W2" s="8870"/>
      <c r="X2" s="8870"/>
      <c r="Y2" s="8870"/>
      <c r="Z2" s="8870"/>
      <c r="AA2" s="8870"/>
      <c r="AB2" s="8870"/>
      <c r="AC2" s="8871"/>
      <c r="AD2" s="8869" t="e">
        <f>INDEX(PT_DIFFERENTIATION_NTAR,MATCH(A2,PT_DIFFERENTIATION_NTAR_ID,0))</f>
        <v>#N/A</v>
      </c>
      <c r="AE2" s="8870"/>
      <c r="AF2" s="8870"/>
      <c r="AG2" s="8870"/>
      <c r="AH2" s="8870"/>
      <c r="AI2" s="8870"/>
      <c r="AJ2" s="8870"/>
      <c r="AK2" s="8870"/>
      <c r="AL2" s="8871"/>
      <c r="AM2" s="1182" t="s">
        <v>861</v>
      </c>
      <c r="AO2" s="424"/>
      <c r="AP2" s="424" t="str">
        <f t="shared" ref="AP2:AP15" si="0">IF(T2="","",T2)</f>
        <v>Наименование тарифа</v>
      </c>
      <c r="AQ2" s="424"/>
      <c r="AR2" s="424"/>
    </row>
    <row r="3" spans="1:44" ht="21" hidden="1" customHeight="1">
      <c r="A3" s="1284"/>
      <c r="B3" s="1284"/>
      <c r="C3" s="1284"/>
      <c r="D3" s="1284"/>
      <c r="E3" s="8884"/>
      <c r="F3" s="8883">
        <v>1</v>
      </c>
      <c r="G3" s="1284"/>
      <c r="H3" s="1284"/>
      <c r="I3" s="1284"/>
      <c r="J3" s="1284"/>
      <c r="K3" s="1284"/>
      <c r="L3" s="1285"/>
      <c r="M3" s="1286"/>
      <c r="N3" s="1286"/>
      <c r="O3" s="1286"/>
      <c r="P3" s="1254"/>
      <c r="Q3" s="273"/>
      <c r="R3" s="274"/>
      <c r="S3" s="1258" t="e">
        <f>INDEX(PT_DIFFERENTIATION_NUM_TER,MATCH(B3,PT_DIFFERENTIATION_TER_ID,0))</f>
        <v>#N/A</v>
      </c>
      <c r="T3" s="224" t="s">
        <v>862</v>
      </c>
      <c r="U3" s="214"/>
      <c r="V3" s="8869"/>
      <c r="W3" s="8870"/>
      <c r="X3" s="8870"/>
      <c r="Y3" s="8870"/>
      <c r="Z3" s="8870"/>
      <c r="AA3" s="8870"/>
      <c r="AB3" s="8870"/>
      <c r="AC3" s="8871"/>
      <c r="AD3" s="8869" t="e">
        <f>INDEX(PT_DIFFERENTIATION_TER,MATCH(B3,PT_DIFFERENTIATION_TER_ID,0))</f>
        <v>#N/A</v>
      </c>
      <c r="AE3" s="8870"/>
      <c r="AF3" s="8870"/>
      <c r="AG3" s="8870"/>
      <c r="AH3" s="8870"/>
      <c r="AI3" s="8870"/>
      <c r="AJ3" s="8870"/>
      <c r="AK3" s="8870"/>
      <c r="AL3" s="8871"/>
      <c r="AM3" s="1182" t="s">
        <v>863</v>
      </c>
      <c r="AO3" s="424"/>
      <c r="AP3" s="424" t="str">
        <f t="shared" si="0"/>
        <v>Территория действия тарифа</v>
      </c>
      <c r="AQ3" s="424"/>
      <c r="AR3" s="424"/>
    </row>
    <row r="4" spans="1:44" ht="23.25" hidden="1" customHeight="1">
      <c r="A4" s="1284"/>
      <c r="B4" s="1284"/>
      <c r="C4" s="1284"/>
      <c r="D4" s="1284"/>
      <c r="E4" s="8884"/>
      <c r="F4" s="8884"/>
      <c r="G4" s="8883">
        <v>1</v>
      </c>
      <c r="H4" s="1284"/>
      <c r="I4" s="1284"/>
      <c r="J4" s="1284"/>
      <c r="K4" s="1284"/>
      <c r="L4" s="1285"/>
      <c r="M4" s="1286"/>
      <c r="N4" s="1286"/>
      <c r="O4" s="1286"/>
      <c r="P4" s="275"/>
      <c r="Q4" s="273"/>
      <c r="R4" s="274"/>
      <c r="S4" s="1258" t="e">
        <f>INDEX(PT_DIFFERENTIATION_NUM_CS,MATCH(C4,PT_DIFFERENTIATION_CS_ID,0))</f>
        <v>#N/A</v>
      </c>
      <c r="T4" s="225" t="s">
        <v>864</v>
      </c>
      <c r="U4" s="214"/>
      <c r="V4" s="8869"/>
      <c r="W4" s="8870"/>
      <c r="X4" s="8870"/>
      <c r="Y4" s="8870"/>
      <c r="Z4" s="8870"/>
      <c r="AA4" s="8870"/>
      <c r="AB4" s="8870"/>
      <c r="AC4" s="8871"/>
      <c r="AD4" s="8869" t="e">
        <f>INDEX(PT_DIFFERENTIATION_CS,MATCH(C4,PT_DIFFERENTIATION_CS_ID,0))</f>
        <v>#N/A</v>
      </c>
      <c r="AE4" s="8870"/>
      <c r="AF4" s="8870"/>
      <c r="AG4" s="8870"/>
      <c r="AH4" s="8870"/>
      <c r="AI4" s="8870"/>
      <c r="AJ4" s="8870"/>
      <c r="AK4" s="8870"/>
      <c r="AL4" s="8871"/>
      <c r="AM4" s="1182" t="s">
        <v>865</v>
      </c>
      <c r="AO4" s="424"/>
      <c r="AP4" s="424" t="str">
        <f t="shared" si="0"/>
        <v xml:space="preserve">Наименование системы теплоснабжения </v>
      </c>
      <c r="AQ4" s="424"/>
      <c r="AR4" s="424"/>
    </row>
    <row r="5" spans="1:44" ht="21" hidden="1" customHeight="1">
      <c r="A5" s="1284"/>
      <c r="B5" s="1284"/>
      <c r="C5" s="1284"/>
      <c r="D5" s="1284"/>
      <c r="E5" s="8884"/>
      <c r="F5" s="8884"/>
      <c r="G5" s="8884"/>
      <c r="H5" s="8883">
        <v>1</v>
      </c>
      <c r="I5" s="1284"/>
      <c r="J5" s="1284"/>
      <c r="K5" s="1284"/>
      <c r="L5" s="1285"/>
      <c r="M5" s="1286"/>
      <c r="N5" s="1286"/>
      <c r="O5" s="1286"/>
      <c r="P5" s="275"/>
      <c r="Q5" s="273"/>
      <c r="R5" s="274"/>
      <c r="S5" s="1258" t="e">
        <f>INDEX(PT_DIFFERENTIATION_NUM_IST_TE,MATCH(D5,PT_DIFFERENTIATION_IST_TE_ID,0))</f>
        <v>#N/A</v>
      </c>
      <c r="T5" s="226" t="s">
        <v>866</v>
      </c>
      <c r="U5" s="214"/>
      <c r="V5" s="8869"/>
      <c r="W5" s="8870"/>
      <c r="X5" s="8870"/>
      <c r="Y5" s="8870"/>
      <c r="Z5" s="8870"/>
      <c r="AA5" s="8870"/>
      <c r="AB5" s="8870"/>
      <c r="AC5" s="8871"/>
      <c r="AD5" s="8869" t="e">
        <f>INDEX(PT_DIFFERENTIATION_IST_TE,MATCH(D5,PT_DIFFERENTIATION_IST_TE_ID,0))</f>
        <v>#N/A</v>
      </c>
      <c r="AE5" s="8870"/>
      <c r="AF5" s="8870"/>
      <c r="AG5" s="8870"/>
      <c r="AH5" s="8870"/>
      <c r="AI5" s="8870"/>
      <c r="AJ5" s="8870"/>
      <c r="AK5" s="8870"/>
      <c r="AL5" s="8871"/>
      <c r="AM5" s="1182" t="s">
        <v>867</v>
      </c>
      <c r="AO5" s="424"/>
      <c r="AP5" s="424" t="str">
        <f t="shared" si="0"/>
        <v xml:space="preserve">Источник тепловой энергии  </v>
      </c>
      <c r="AQ5" s="424"/>
      <c r="AR5" s="424"/>
    </row>
    <row r="6" spans="1:44" ht="14.25" hidden="1" customHeight="1">
      <c r="A6" s="1284"/>
      <c r="B6" s="1284"/>
      <c r="C6" s="1284"/>
      <c r="D6" s="1284"/>
      <c r="E6" s="8884"/>
      <c r="F6" s="8884"/>
      <c r="G6" s="8884"/>
      <c r="H6" s="8884"/>
      <c r="I6" s="8881" t="e">
        <f>S5&amp;".1"</f>
        <v>#N/A</v>
      </c>
      <c r="J6" s="1284"/>
      <c r="K6" s="1284"/>
      <c r="L6" s="1285" t="s">
        <v>868</v>
      </c>
      <c r="M6" s="460"/>
      <c r="P6" s="8882">
        <v>1</v>
      </c>
      <c r="Q6" s="1253"/>
      <c r="R6" s="277"/>
      <c r="S6" s="953"/>
      <c r="T6" s="1304"/>
      <c r="U6" s="1305"/>
      <c r="V6" s="8910"/>
      <c r="W6" s="8911"/>
      <c r="X6" s="8911"/>
      <c r="Y6" s="8911"/>
      <c r="Z6" s="8911"/>
      <c r="AA6" s="8911"/>
      <c r="AB6" s="8911"/>
      <c r="AC6" s="8912"/>
      <c r="AD6" s="8910"/>
      <c r="AE6" s="8911"/>
      <c r="AF6" s="8911"/>
      <c r="AG6" s="8911"/>
      <c r="AH6" s="8911"/>
      <c r="AI6" s="8911"/>
      <c r="AJ6" s="8911"/>
      <c r="AK6" s="8911"/>
      <c r="AL6" s="8912"/>
      <c r="AM6" s="1306"/>
      <c r="AO6" s="424"/>
      <c r="AP6" s="424" t="str">
        <f t="shared" si="0"/>
        <v/>
      </c>
      <c r="AQ6" s="424"/>
      <c r="AR6" s="424"/>
    </row>
    <row r="7" spans="1:44" ht="21" hidden="1" customHeight="1">
      <c r="A7" s="1284"/>
      <c r="B7" s="1284"/>
      <c r="C7" s="1284"/>
      <c r="D7" s="1284"/>
      <c r="E7" s="8884"/>
      <c r="F7" s="8884"/>
      <c r="G7" s="8884"/>
      <c r="H7" s="8884"/>
      <c r="I7" s="8904"/>
      <c r="J7" s="8881" t="e">
        <f>I6&amp;".1"</f>
        <v>#N/A</v>
      </c>
      <c r="K7" s="1284"/>
      <c r="L7" s="1285" t="s">
        <v>871</v>
      </c>
      <c r="M7" s="460"/>
      <c r="N7" s="1287"/>
      <c r="P7" s="8882"/>
      <c r="Q7" s="8882">
        <v>1</v>
      </c>
      <c r="R7" s="278"/>
      <c r="S7" s="1258" t="e">
        <f>$J7</f>
        <v>#N/A</v>
      </c>
      <c r="T7" s="201" t="s">
        <v>872</v>
      </c>
      <c r="U7" s="214"/>
      <c r="V7" s="8872"/>
      <c r="W7" s="8873"/>
      <c r="X7" s="8873"/>
      <c r="Y7" s="8873"/>
      <c r="Z7" s="8873"/>
      <c r="AA7" s="8873"/>
      <c r="AB7" s="8873"/>
      <c r="AC7" s="8874"/>
      <c r="AD7" s="8872"/>
      <c r="AE7" s="8873"/>
      <c r="AF7" s="8873"/>
      <c r="AG7" s="8873"/>
      <c r="AH7" s="8873"/>
      <c r="AI7" s="8873"/>
      <c r="AJ7" s="8873"/>
      <c r="AK7" s="8873"/>
      <c r="AL7" s="8874"/>
      <c r="AM7" s="1182" t="s">
        <v>873</v>
      </c>
      <c r="AO7" s="424"/>
      <c r="AP7" s="424" t="str">
        <f t="shared" si="0"/>
        <v>Группа потребителей</v>
      </c>
      <c r="AQ7" s="424"/>
      <c r="AR7" s="424"/>
    </row>
    <row r="8" spans="1:44" ht="21" hidden="1" customHeight="1">
      <c r="A8" s="1284"/>
      <c r="B8" s="1284"/>
      <c r="C8" s="1284"/>
      <c r="D8" s="1284"/>
      <c r="E8" s="8884"/>
      <c r="F8" s="8884"/>
      <c r="G8" s="8884"/>
      <c r="H8" s="8884"/>
      <c r="I8" s="8904"/>
      <c r="J8" s="8904"/>
      <c r="K8" s="8881" t="e">
        <f>J7&amp;".1"</f>
        <v>#N/A</v>
      </c>
      <c r="L8" s="1285" t="s">
        <v>874</v>
      </c>
      <c r="M8" s="460"/>
      <c r="N8" s="1287"/>
      <c r="O8" s="1287"/>
      <c r="P8" s="8882"/>
      <c r="Q8" s="8882"/>
      <c r="R8" s="278">
        <v>1</v>
      </c>
      <c r="S8" s="1258" t="e">
        <f>$K8</f>
        <v>#N/A</v>
      </c>
      <c r="T8" s="1269"/>
      <c r="U8" s="214"/>
      <c r="V8" s="666"/>
      <c r="W8" s="246"/>
      <c r="X8" s="666"/>
      <c r="Y8" s="1181"/>
      <c r="Z8" s="8886"/>
      <c r="AA8" s="8734" t="s">
        <v>63</v>
      </c>
      <c r="AB8" s="8886"/>
      <c r="AC8" s="8734" t="s">
        <v>63</v>
      </c>
      <c r="AD8" s="666"/>
      <c r="AE8" s="246"/>
      <c r="AF8" s="666"/>
      <c r="AG8" s="1181"/>
      <c r="AH8" s="8886"/>
      <c r="AI8" s="8734" t="s">
        <v>63</v>
      </c>
      <c r="AJ8" s="8886"/>
      <c r="AK8" s="8734" t="s">
        <v>63</v>
      </c>
      <c r="AL8" s="246"/>
      <c r="AM8" s="8878" t="s">
        <v>875</v>
      </c>
      <c r="AN8" s="435" t="e">
        <f ca="1">STRCHECKDATE(V9:AL9)</f>
        <v>#NAME?</v>
      </c>
      <c r="AO8" s="424"/>
      <c r="AP8" s="424" t="str">
        <f t="shared" si="0"/>
        <v/>
      </c>
      <c r="AQ8" s="424"/>
      <c r="AR8" s="424"/>
    </row>
    <row r="9" spans="1:44" ht="14.25" hidden="1" customHeight="1">
      <c r="A9" s="1284"/>
      <c r="B9" s="1284"/>
      <c r="C9" s="1284"/>
      <c r="D9" s="1284"/>
      <c r="E9" s="8884"/>
      <c r="F9" s="8884"/>
      <c r="G9" s="8884"/>
      <c r="H9" s="8884"/>
      <c r="I9" s="8904"/>
      <c r="J9" s="8904"/>
      <c r="K9" s="8881"/>
      <c r="L9" s="1285"/>
      <c r="M9" s="460"/>
      <c r="N9" s="1287"/>
      <c r="O9" s="1287"/>
      <c r="P9" s="8882"/>
      <c r="Q9" s="8882"/>
      <c r="R9" s="278"/>
      <c r="S9" s="1264"/>
      <c r="T9" s="214"/>
      <c r="U9" s="214"/>
      <c r="V9" s="246"/>
      <c r="W9" s="246"/>
      <c r="X9" s="246"/>
      <c r="Y9" s="250" t="str">
        <f>Z8&amp;"-"&amp;AB8</f>
        <v>-</v>
      </c>
      <c r="Z9" s="8887"/>
      <c r="AA9" s="8734"/>
      <c r="AB9" s="8887"/>
      <c r="AC9" s="8734"/>
      <c r="AD9" s="246"/>
      <c r="AE9" s="246"/>
      <c r="AF9" s="246"/>
      <c r="AG9" s="250" t="str">
        <f>AH8&amp;"-"&amp;AJ8</f>
        <v>-</v>
      </c>
      <c r="AH9" s="8887"/>
      <c r="AI9" s="8734"/>
      <c r="AJ9" s="8887"/>
      <c r="AK9" s="8734"/>
      <c r="AL9" s="246"/>
      <c r="AM9" s="8879"/>
      <c r="AO9" s="424"/>
      <c r="AP9" s="424" t="str">
        <f t="shared" si="0"/>
        <v/>
      </c>
      <c r="AQ9" s="424"/>
      <c r="AR9" s="424"/>
    </row>
    <row r="10" spans="1:44" ht="15" hidden="1" customHeight="1">
      <c r="A10" s="1284"/>
      <c r="B10" s="1284"/>
      <c r="C10" s="1284"/>
      <c r="D10" s="1284"/>
      <c r="E10" s="8884"/>
      <c r="F10" s="8884"/>
      <c r="G10" s="8884"/>
      <c r="H10" s="8884"/>
      <c r="I10" s="8904"/>
      <c r="J10" s="8881"/>
      <c r="K10" s="1284"/>
      <c r="L10" s="1285"/>
      <c r="M10" s="460"/>
      <c r="N10" s="1287"/>
      <c r="P10" s="8882"/>
      <c r="Q10" s="8882"/>
      <c r="R10" s="277"/>
      <c r="S10" s="1203"/>
      <c r="T10" s="202" t="s">
        <v>876</v>
      </c>
      <c r="U10" s="291"/>
      <c r="V10" s="291"/>
      <c r="W10" s="291"/>
      <c r="X10" s="291"/>
      <c r="Y10" s="291"/>
      <c r="Z10" s="291"/>
      <c r="AA10" s="291"/>
      <c r="AB10" s="291"/>
      <c r="AC10" s="291"/>
      <c r="AD10" s="291"/>
      <c r="AE10" s="291"/>
      <c r="AF10" s="291"/>
      <c r="AG10" s="291"/>
      <c r="AH10" s="291"/>
      <c r="AI10" s="291"/>
      <c r="AJ10" s="291"/>
      <c r="AK10" s="291"/>
      <c r="AL10" s="245"/>
      <c r="AM10" s="8880"/>
      <c r="AO10" s="424"/>
      <c r="AP10" s="424" t="str">
        <f t="shared" si="0"/>
        <v>Добавить вид теплоносителя (параметры теплоносителя)</v>
      </c>
      <c r="AQ10" s="424"/>
      <c r="AR10" s="424"/>
    </row>
    <row r="11" spans="1:44" ht="11.25" hidden="1" customHeight="1">
      <c r="A11" s="1284"/>
      <c r="B11" s="1284"/>
      <c r="C11" s="1284"/>
      <c r="D11" s="1284"/>
      <c r="E11" s="8884"/>
      <c r="F11" s="8884"/>
      <c r="G11" s="8884"/>
      <c r="H11" s="8884"/>
      <c r="I11" s="8881"/>
      <c r="J11" s="1284"/>
      <c r="K11" s="1284"/>
      <c r="L11" s="1285"/>
      <c r="M11" s="460"/>
      <c r="P11" s="8882"/>
      <c r="Q11" s="1253"/>
      <c r="R11" s="277"/>
      <c r="S11" s="1203"/>
      <c r="T11" s="288" t="s">
        <v>877</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8884"/>
      <c r="F12" s="8884"/>
      <c r="G12" s="8884"/>
      <c r="H12" s="8883"/>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14.25" hidden="1" customHeight="1">
      <c r="A13" s="1237"/>
      <c r="B13" s="1237"/>
      <c r="C13" s="1237"/>
      <c r="D13" s="1237"/>
      <c r="E13" s="8884"/>
      <c r="F13" s="8884"/>
      <c r="G13" s="8883"/>
      <c r="H13" s="1237"/>
      <c r="I13" s="1237"/>
      <c r="J13" s="1237"/>
      <c r="K13" s="1237"/>
      <c r="L13" s="1261"/>
      <c r="M13" s="1238"/>
      <c r="N13" s="1238"/>
      <c r="P13" s="1239"/>
      <c r="Q13" s="1240"/>
      <c r="R13" s="1239"/>
      <c r="S13" s="1241"/>
      <c r="T13" s="1242" t="s">
        <v>879</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8884"/>
      <c r="F14" s="8883"/>
      <c r="G14" s="1237"/>
      <c r="H14" s="1237"/>
      <c r="I14" s="1237"/>
      <c r="J14" s="1237"/>
      <c r="K14" s="1237"/>
      <c r="L14" s="1261"/>
      <c r="M14" s="1244"/>
      <c r="N14" s="1244"/>
      <c r="P14" s="1239"/>
      <c r="Q14" s="1240"/>
      <c r="R14" s="1239"/>
      <c r="S14" s="1245"/>
      <c r="T14" s="1246" t="s">
        <v>314</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8883"/>
      <c r="F15" s="1237"/>
      <c r="G15" s="1237"/>
      <c r="H15" s="1237"/>
      <c r="I15" s="1237"/>
      <c r="J15" s="1237"/>
      <c r="K15" s="1237"/>
      <c r="L15" s="1261"/>
      <c r="M15" s="1244"/>
      <c r="N15" s="1244"/>
      <c r="P15" s="1239"/>
      <c r="Q15" s="1240"/>
      <c r="R15" s="1239"/>
      <c r="S15" s="1245"/>
      <c r="T15" s="1248" t="s">
        <v>315</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8888"/>
      <c r="AI17" s="8889" t="s">
        <v>63</v>
      </c>
      <c r="AJ17" s="8888"/>
      <c r="AK17" s="8889" t="s">
        <v>63</v>
      </c>
    </row>
    <row r="18" spans="1:44" ht="14.25" hidden="1" customHeight="1">
      <c r="AD18" s="1281"/>
      <c r="AE18" s="1281"/>
      <c r="AF18" s="1281"/>
      <c r="AG18" s="250" t="str">
        <f>AH17&amp;"-"&amp;AJ17</f>
        <v>-</v>
      </c>
      <c r="AH18" s="8889"/>
      <c r="AI18" s="8889"/>
      <c r="AJ18" s="8889"/>
      <c r="AK18" s="8889"/>
    </row>
    <row r="19" spans="1:44" ht="14.25" hidden="1" customHeight="1">
      <c r="AK19" s="249"/>
    </row>
    <row r="20" spans="1:44" s="1287" customFormat="1" ht="22.5" hidden="1" customHeight="1">
      <c r="L20" s="1251"/>
      <c r="M20" s="1283"/>
      <c r="N20" s="1283"/>
      <c r="O20" s="1288" t="s">
        <v>880</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881</v>
      </c>
      <c r="P22" s="1283"/>
      <c r="Q22" s="1292"/>
      <c r="R22" s="1292"/>
      <c r="S22" s="646"/>
      <c r="T22" s="1065" t="s">
        <v>882</v>
      </c>
      <c r="AA22" s="104" t="s">
        <v>883</v>
      </c>
      <c r="AC22" s="104" t="s">
        <v>884</v>
      </c>
      <c r="AD22" s="1065" t="s">
        <v>882</v>
      </c>
      <c r="AI22" s="104" t="s">
        <v>885</v>
      </c>
      <c r="AK22" s="104" t="s">
        <v>884</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 customHeight="1">
      <c r="Q26" s="300"/>
      <c r="R26" s="300"/>
      <c r="S26" s="88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8867"/>
      <c r="U26" s="8867"/>
      <c r="V26" s="8867"/>
      <c r="W26" s="8867"/>
      <c r="X26" s="8867"/>
      <c r="Y26" s="8867"/>
      <c r="Z26" s="8867"/>
      <c r="AA26" s="8867"/>
      <c r="AB26" s="8867"/>
      <c r="AC26" s="8867"/>
      <c r="AD26" s="8867"/>
      <c r="AE26" s="8867"/>
      <c r="AF26" s="8867"/>
      <c r="AG26" s="8867"/>
      <c r="AH26" s="8867"/>
      <c r="AI26" s="8867"/>
      <c r="AJ26" s="8867"/>
      <c r="AK26" s="1157"/>
    </row>
    <row r="27" spans="1:44" ht="14.25" customHeight="1">
      <c r="Q27" s="300"/>
      <c r="R27" s="300"/>
      <c r="S27" s="8814" t="str">
        <f>IF(org=0,"Не определено",org)</f>
        <v>ГУП СК "Ставрополькрайводоканал"</v>
      </c>
      <c r="T27" s="8814"/>
      <c r="U27" s="8814"/>
      <c r="V27" s="8814"/>
      <c r="W27" s="8814"/>
      <c r="X27" s="8814"/>
      <c r="Y27" s="8814"/>
      <c r="Z27" s="8814"/>
      <c r="AA27" s="8814"/>
      <c r="AB27" s="8814"/>
      <c r="AC27" s="8814"/>
      <c r="AD27" s="8814"/>
      <c r="AE27" s="8814"/>
      <c r="AF27" s="8814"/>
      <c r="AG27" s="8814"/>
      <c r="AH27" s="8814"/>
      <c r="AI27" s="8814"/>
      <c r="AJ27" s="8814"/>
      <c r="AK27" s="1157"/>
    </row>
    <row r="28" spans="1:44" ht="14.25" hidden="1"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hidden="1" customHeight="1">
      <c r="A29" s="1289"/>
      <c r="B29" s="1289"/>
      <c r="C29" s="1289"/>
      <c r="D29" s="1289"/>
      <c r="E29" s="1289"/>
      <c r="F29" s="1289"/>
      <c r="G29" s="1289"/>
      <c r="H29" s="1289"/>
      <c r="I29" s="1289"/>
      <c r="J29" s="1289"/>
      <c r="K29" s="1289"/>
      <c r="L29" s="1290"/>
      <c r="M29" s="1289"/>
      <c r="N29" s="1289"/>
      <c r="O29" s="1289"/>
      <c r="S29" s="8875" t="s">
        <v>38</v>
      </c>
      <c r="T29" s="8875"/>
      <c r="U29" s="1293"/>
      <c r="V29" s="8876" t="str">
        <f>IF(TITLE_NAME_OR_PR_CHANGE="",IF(TITLE_NAME_OR_PR="","",TITLE_NAME_OR_PR),TITLE_NAME_OR_PR_CHANGE)</f>
        <v/>
      </c>
      <c r="W29" s="8876"/>
      <c r="X29" s="8876"/>
      <c r="Y29" s="8876"/>
      <c r="Z29" s="8876"/>
      <c r="AA29" s="8876"/>
      <c r="AB29" s="8876"/>
      <c r="AC29" s="248"/>
      <c r="AD29" s="8876" t="str">
        <f>IF(TITLE_NAME_OR_PR_CHANGE="",IF(TITLE_NAME_OR_PR="","",TITLE_NAME_OR_PR),TITLE_NAME_OR_PR_CHANGE)</f>
        <v/>
      </c>
      <c r="AE29" s="8876"/>
      <c r="AF29" s="8876"/>
      <c r="AG29" s="8876"/>
      <c r="AH29" s="8876"/>
      <c r="AI29" s="8876"/>
      <c r="AJ29" s="8876"/>
      <c r="AK29" s="248"/>
      <c r="AL29" s="248"/>
      <c r="AM29" s="196"/>
      <c r="AN29" s="292"/>
      <c r="AO29" s="292"/>
      <c r="AP29" s="292"/>
      <c r="AQ29" s="292"/>
      <c r="AR29" s="292"/>
    </row>
    <row r="30" spans="1:44" s="1771" customFormat="1" ht="18.75" hidden="1" customHeight="1">
      <c r="A30" s="1289"/>
      <c r="B30" s="1289"/>
      <c r="C30" s="1289"/>
      <c r="D30" s="1289"/>
      <c r="E30" s="1289"/>
      <c r="F30" s="1289"/>
      <c r="G30" s="1289"/>
      <c r="H30" s="1289"/>
      <c r="I30" s="1289"/>
      <c r="J30" s="1289"/>
      <c r="K30" s="1289"/>
      <c r="L30" s="1290"/>
      <c r="M30" s="1289"/>
      <c r="N30" s="1289"/>
      <c r="O30" s="1289"/>
      <c r="S30" s="8875" t="s">
        <v>886</v>
      </c>
      <c r="T30" s="8875"/>
      <c r="U30" s="1293"/>
      <c r="V30" s="8885">
        <f>IF(TITLE_DATE_PR_CHANGE="",IF(TITLE_DATE_PR="","",TITLE_DATE_PR),TITLE_DATE_PR_CHANGE)</f>
        <v>45281.411851851852</v>
      </c>
      <c r="W30" s="8885"/>
      <c r="X30" s="8885"/>
      <c r="Y30" s="8885"/>
      <c r="Z30" s="8885"/>
      <c r="AA30" s="8885"/>
      <c r="AB30" s="8885"/>
      <c r="AC30" s="248"/>
      <c r="AD30" s="8885">
        <f>IF(TITLE_DATE_PR_CHANGE="",IF(TITLE_DATE_PR="","",TITLE_DATE_PR),TITLE_DATE_PR_CHANGE)</f>
        <v>45281.411851851852</v>
      </c>
      <c r="AE30" s="8885"/>
      <c r="AF30" s="8885"/>
      <c r="AG30" s="8885"/>
      <c r="AH30" s="8885"/>
      <c r="AI30" s="8885"/>
      <c r="AJ30" s="8885"/>
      <c r="AK30" s="248"/>
      <c r="AL30" s="248"/>
      <c r="AM30" s="196"/>
      <c r="AN30" s="292"/>
      <c r="AO30" s="292"/>
      <c r="AP30" s="292"/>
      <c r="AQ30" s="292"/>
      <c r="AR30" s="292"/>
    </row>
    <row r="31" spans="1:44" s="1771" customFormat="1" ht="18.75" hidden="1" customHeight="1">
      <c r="A31" s="1289"/>
      <c r="B31" s="1289"/>
      <c r="C31" s="1289"/>
      <c r="D31" s="1289"/>
      <c r="E31" s="1289"/>
      <c r="F31" s="1289"/>
      <c r="G31" s="1289"/>
      <c r="H31" s="1289"/>
      <c r="I31" s="1289"/>
      <c r="J31" s="1289"/>
      <c r="K31" s="1289"/>
      <c r="L31" s="1290"/>
      <c r="M31" s="1289"/>
      <c r="N31" s="1289"/>
      <c r="O31" s="1289"/>
      <c r="S31" s="8875" t="s">
        <v>887</v>
      </c>
      <c r="T31" s="8875"/>
      <c r="U31" s="1293"/>
      <c r="V31" s="8876" t="str">
        <f>IF(TITLE_NUMBER_PR_CHANGE="",IF(TITLE_NUMBER_PR="","",TITLE_NUMBER_PR),TITLE_NUMBER_PR_CHANGE)</f>
        <v>06-11/11398</v>
      </c>
      <c r="W31" s="8876"/>
      <c r="X31" s="8876"/>
      <c r="Y31" s="8876"/>
      <c r="Z31" s="8876"/>
      <c r="AA31" s="8876"/>
      <c r="AB31" s="8876"/>
      <c r="AC31" s="248"/>
      <c r="AD31" s="8876" t="str">
        <f>IF(TITLE_NUMBER_PR_CHANGE="",IF(TITLE_NUMBER_PR="","",TITLE_NUMBER_PR),TITLE_NUMBER_PR_CHANGE)</f>
        <v>06-11/11398</v>
      </c>
      <c r="AE31" s="8876"/>
      <c r="AF31" s="8876"/>
      <c r="AG31" s="8876"/>
      <c r="AH31" s="8876"/>
      <c r="AI31" s="8876"/>
      <c r="AJ31" s="8876"/>
      <c r="AK31" s="248"/>
      <c r="AL31" s="248"/>
      <c r="AM31" s="196"/>
      <c r="AN31" s="292"/>
      <c r="AO31" s="292"/>
      <c r="AP31" s="292"/>
      <c r="AQ31" s="292"/>
      <c r="AR31" s="292"/>
    </row>
    <row r="32" spans="1:44" s="1771" customFormat="1" ht="18.75" hidden="1" customHeight="1">
      <c r="A32" s="1289"/>
      <c r="B32" s="1289"/>
      <c r="C32" s="1289"/>
      <c r="D32" s="1289"/>
      <c r="E32" s="1289"/>
      <c r="F32" s="1289"/>
      <c r="G32" s="1289"/>
      <c r="H32" s="1289"/>
      <c r="I32" s="1289"/>
      <c r="J32" s="1289"/>
      <c r="K32" s="1289"/>
      <c r="L32" s="1290"/>
      <c r="M32" s="1289"/>
      <c r="N32" s="1289"/>
      <c r="O32" s="1289"/>
      <c r="S32" s="8875" t="s">
        <v>39</v>
      </c>
      <c r="T32" s="8875"/>
      <c r="U32" s="1293"/>
      <c r="V32" s="8876" t="str">
        <f>IF(TITLE_IST_PUB_CHANGE="",IF(TITLE_IST_PUB="","",TITLE_IST_PUB),TITLE_IST_PUB_CHANGE)</f>
        <v/>
      </c>
      <c r="W32" s="8876"/>
      <c r="X32" s="8876"/>
      <c r="Y32" s="8876"/>
      <c r="Z32" s="8876"/>
      <c r="AA32" s="8876"/>
      <c r="AB32" s="8876"/>
      <c r="AC32" s="248"/>
      <c r="AD32" s="8876" t="str">
        <f>IF(TITLE_IST_PUB_CHANGE="",IF(TITLE_IST_PUB="","",TITLE_IST_PUB),TITLE_IST_PUB_CHANGE)</f>
        <v/>
      </c>
      <c r="AE32" s="8876"/>
      <c r="AF32" s="8876"/>
      <c r="AG32" s="8876"/>
      <c r="AH32" s="8876"/>
      <c r="AI32" s="8876"/>
      <c r="AJ32" s="8876"/>
      <c r="AK32" s="248"/>
      <c r="AL32" s="248"/>
      <c r="AM32" s="196"/>
      <c r="AN32" s="292"/>
      <c r="AO32" s="292"/>
      <c r="AP32" s="292"/>
      <c r="AQ32" s="292"/>
      <c r="AR32" s="292"/>
    </row>
    <row r="33" spans="1:44" ht="14.25"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customHeight="1">
      <c r="A34" s="1289"/>
      <c r="B34" s="1289"/>
      <c r="C34" s="1289"/>
      <c r="D34" s="1289"/>
      <c r="E34" s="1289"/>
      <c r="F34" s="1289"/>
      <c r="G34" s="1289"/>
      <c r="H34" s="1289"/>
      <c r="I34" s="1289"/>
      <c r="J34" s="1289"/>
      <c r="K34" s="1289"/>
      <c r="L34" s="1290"/>
      <c r="M34" s="1289"/>
      <c r="N34" s="1289"/>
      <c r="O34" s="1289"/>
      <c r="S34" s="8875" t="s">
        <v>888</v>
      </c>
      <c r="T34" s="8875"/>
      <c r="U34" s="1293"/>
      <c r="V34" s="8885">
        <f>IF(TITLE_DATE_PR_CHANGE="",IF(TITLE_DATE_PR="","",TITLE_DATE_PR),TITLE_DATE_PR_CHANGE)</f>
        <v>45281.411851851852</v>
      </c>
      <c r="W34" s="8885"/>
      <c r="X34" s="8885"/>
      <c r="Y34" s="8885"/>
      <c r="Z34" s="8885"/>
      <c r="AA34" s="8885"/>
      <c r="AB34" s="8885"/>
      <c r="AC34" s="248"/>
      <c r="AD34" s="8885">
        <f>IF(TITLE_DATE_PR_CHANGE="",IF(TITLE_DATE_PR="","",TITLE_DATE_PR),TITLE_DATE_PR_CHANGE)</f>
        <v>45281.411851851852</v>
      </c>
      <c r="AE34" s="8885"/>
      <c r="AF34" s="8885"/>
      <c r="AG34" s="8885"/>
      <c r="AH34" s="8885"/>
      <c r="AI34" s="8885"/>
      <c r="AJ34" s="8885"/>
      <c r="AK34" s="248"/>
      <c r="AL34" s="248"/>
      <c r="AM34" s="196"/>
      <c r="AN34" s="292"/>
      <c r="AO34" s="292"/>
      <c r="AP34" s="292"/>
      <c r="AQ34" s="292"/>
      <c r="AR34" s="292"/>
    </row>
    <row r="35" spans="1:44" s="1771" customFormat="1" ht="25.5" customHeight="1">
      <c r="A35" s="1289"/>
      <c r="B35" s="1289"/>
      <c r="C35" s="1289"/>
      <c r="D35" s="1289"/>
      <c r="E35" s="1289"/>
      <c r="F35" s="1289"/>
      <c r="G35" s="1289"/>
      <c r="H35" s="1289"/>
      <c r="I35" s="1289"/>
      <c r="J35" s="1289"/>
      <c r="K35" s="1289"/>
      <c r="L35" s="1290"/>
      <c r="M35" s="1289"/>
      <c r="N35" s="1289"/>
      <c r="O35" s="1289"/>
      <c r="S35" s="8875" t="s">
        <v>889</v>
      </c>
      <c r="T35" s="8875"/>
      <c r="U35" s="1293"/>
      <c r="V35" s="8876" t="str">
        <f>IF(TITLE_NUMBER_PR_CHANGE="",IF(TITLE_NUMBER_PR="","",TITLE_NUMBER_PR),TITLE_NUMBER_PR_CHANGE)</f>
        <v>06-11/11398</v>
      </c>
      <c r="W35" s="8876"/>
      <c r="X35" s="8876"/>
      <c r="Y35" s="8876"/>
      <c r="Z35" s="8876"/>
      <c r="AA35" s="8876"/>
      <c r="AB35" s="8876"/>
      <c r="AC35" s="248"/>
      <c r="AD35" s="8876" t="str">
        <f>IF(TITLE_NUMBER_PR_CHANGE="",IF(TITLE_NUMBER_PR="","",TITLE_NUMBER_PR),TITLE_NUMBER_PR_CHANGE)</f>
        <v>06-11/11398</v>
      </c>
      <c r="AE35" s="8876"/>
      <c r="AF35" s="8876"/>
      <c r="AG35" s="8876"/>
      <c r="AH35" s="8876"/>
      <c r="AI35" s="8876"/>
      <c r="AJ35" s="8876"/>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890</v>
      </c>
      <c r="AD36" s="248"/>
      <c r="AE36" s="248"/>
      <c r="AF36" s="248"/>
      <c r="AG36" s="248"/>
      <c r="AH36" s="248"/>
      <c r="AI36" s="248"/>
      <c r="AJ36" s="248"/>
      <c r="AK36" s="194" t="s">
        <v>890</v>
      </c>
      <c r="AN36" s="292"/>
      <c r="AO36" s="292"/>
      <c r="AP36" s="292"/>
      <c r="AQ36" s="292"/>
      <c r="AR36" s="292"/>
    </row>
    <row r="37" spans="1:44" ht="14.25" customHeight="1">
      <c r="Q37" s="300"/>
      <c r="R37" s="300"/>
      <c r="S37" s="1200"/>
      <c r="T37" s="286"/>
      <c r="U37" s="1158"/>
      <c r="V37" s="8877"/>
      <c r="W37" s="8877"/>
      <c r="X37" s="8877"/>
      <c r="Y37" s="8877"/>
      <c r="Z37" s="8877"/>
      <c r="AA37" s="8877"/>
      <c r="AB37" s="8877"/>
      <c r="AC37" s="8877"/>
      <c r="AD37" s="8877"/>
      <c r="AE37" s="8877"/>
      <c r="AF37" s="8877"/>
      <c r="AG37" s="8877"/>
      <c r="AH37" s="8877"/>
      <c r="AI37" s="8877"/>
      <c r="AJ37" s="8877"/>
      <c r="AK37" s="8877"/>
    </row>
    <row r="38" spans="1:44" ht="14.25" customHeight="1">
      <c r="Q38" s="300"/>
      <c r="R38" s="300"/>
      <c r="S38" s="8753" t="s">
        <v>763</v>
      </c>
      <c r="T38" s="8753"/>
      <c r="U38" s="8753"/>
      <c r="V38" s="8753"/>
      <c r="W38" s="8753"/>
      <c r="X38" s="8753"/>
      <c r="Y38" s="8753"/>
      <c r="Z38" s="8753"/>
      <c r="AA38" s="8753"/>
      <c r="AB38" s="8753"/>
      <c r="AC38" s="8753"/>
      <c r="AD38" s="8753"/>
      <c r="AE38" s="8753"/>
      <c r="AF38" s="8753"/>
      <c r="AG38" s="8753"/>
      <c r="AH38" s="8753"/>
      <c r="AI38" s="8753"/>
      <c r="AJ38" s="8753"/>
      <c r="AK38" s="8753"/>
      <c r="AL38" s="8753"/>
      <c r="AM38" s="8753" t="s">
        <v>764</v>
      </c>
    </row>
    <row r="39" spans="1:44" ht="14.25" customHeight="1">
      <c r="Q39" s="300"/>
      <c r="R39" s="300"/>
      <c r="S39" s="8891" t="s">
        <v>84</v>
      </c>
      <c r="T39" s="8843" t="s">
        <v>891</v>
      </c>
      <c r="U39" s="215"/>
      <c r="V39" s="8892" t="s">
        <v>892</v>
      </c>
      <c r="W39" s="8893"/>
      <c r="X39" s="8893"/>
      <c r="Y39" s="8893"/>
      <c r="Z39" s="8893"/>
      <c r="AA39" s="8893"/>
      <c r="AB39" s="8894"/>
      <c r="AC39" s="8895" t="s">
        <v>893</v>
      </c>
      <c r="AD39" s="8892" t="s">
        <v>892</v>
      </c>
      <c r="AE39" s="8893"/>
      <c r="AF39" s="8893"/>
      <c r="AG39" s="8893"/>
      <c r="AH39" s="8893"/>
      <c r="AI39" s="8893"/>
      <c r="AJ39" s="8894"/>
      <c r="AK39" s="8895" t="s">
        <v>894</v>
      </c>
      <c r="AL39" s="8898" t="s">
        <v>895</v>
      </c>
      <c r="AM39" s="8753"/>
    </row>
    <row r="40" spans="1:44" ht="33.75" customHeight="1">
      <c r="Q40" s="300"/>
      <c r="R40" s="300"/>
      <c r="S40" s="8891"/>
      <c r="T40" s="8843"/>
      <c r="U40" s="942"/>
      <c r="V40" s="8813" t="s">
        <v>896</v>
      </c>
      <c r="W40" s="8901"/>
      <c r="X40" s="8724" t="s">
        <v>898</v>
      </c>
      <c r="Y40" s="8723"/>
      <c r="Z40" s="8724" t="s">
        <v>899</v>
      </c>
      <c r="AA40" s="8729"/>
      <c r="AB40" s="8723"/>
      <c r="AC40" s="8896"/>
      <c r="AD40" s="8813" t="s">
        <v>896</v>
      </c>
      <c r="AE40" s="8901"/>
      <c r="AF40" s="8724" t="s">
        <v>898</v>
      </c>
      <c r="AG40" s="8723"/>
      <c r="AH40" s="8724" t="s">
        <v>899</v>
      </c>
      <c r="AI40" s="8729"/>
      <c r="AJ40" s="8723"/>
      <c r="AK40" s="8896"/>
      <c r="AL40" s="8899"/>
      <c r="AM40" s="8753"/>
    </row>
    <row r="41" spans="1:44" ht="33.75" customHeight="1">
      <c r="A41" s="1291"/>
      <c r="B41" s="1291" t="s">
        <v>223</v>
      </c>
      <c r="C41" s="1291" t="s">
        <v>224</v>
      </c>
      <c r="D41" s="1291" t="s">
        <v>225</v>
      </c>
      <c r="E41" s="1285" t="s">
        <v>900</v>
      </c>
      <c r="F41" s="1285" t="s">
        <v>901</v>
      </c>
      <c r="G41" s="1285" t="s">
        <v>902</v>
      </c>
      <c r="H41" s="1285" t="s">
        <v>903</v>
      </c>
      <c r="I41" s="1285" t="s">
        <v>904</v>
      </c>
      <c r="J41" s="1285" t="s">
        <v>905</v>
      </c>
      <c r="K41" s="1285" t="s">
        <v>906</v>
      </c>
      <c r="L41" s="1285" t="s">
        <v>881</v>
      </c>
      <c r="Q41" s="300"/>
      <c r="R41" s="300"/>
      <c r="S41" s="8891"/>
      <c r="T41" s="8843"/>
      <c r="U41" s="216"/>
      <c r="V41" s="8862"/>
      <c r="W41" s="8902"/>
      <c r="X41" s="1133" t="s">
        <v>907</v>
      </c>
      <c r="Y41" s="1133" t="s">
        <v>908</v>
      </c>
      <c r="Z41" s="1260" t="s">
        <v>909</v>
      </c>
      <c r="AA41" s="8851" t="s">
        <v>910</v>
      </c>
      <c r="AB41" s="8853"/>
      <c r="AC41" s="8897"/>
      <c r="AD41" s="8862"/>
      <c r="AE41" s="8902"/>
      <c r="AF41" s="1133" t="s">
        <v>907</v>
      </c>
      <c r="AG41" s="1133" t="s">
        <v>908</v>
      </c>
      <c r="AH41" s="1260" t="s">
        <v>909</v>
      </c>
      <c r="AI41" s="8851" t="s">
        <v>910</v>
      </c>
      <c r="AJ41" s="8853"/>
      <c r="AK41" s="8897"/>
      <c r="AL41" s="8900"/>
      <c r="AM41" s="875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95</v>
      </c>
      <c r="T42" s="1177" t="s">
        <v>99</v>
      </c>
      <c r="U42" s="1159" t="str">
        <f ca="1">OFFSET(U42,0,-1)</f>
        <v>2</v>
      </c>
      <c r="V42" s="1257">
        <f ca="1">OFFSET(V42,0,-1)+1</f>
        <v>3</v>
      </c>
      <c r="W42" s="1257"/>
      <c r="X42" s="1257">
        <f ca="1">OFFSET(X42,0,-1)+1</f>
        <v>1</v>
      </c>
      <c r="Y42" s="1257">
        <f ca="1">OFFSET(Y42,0,-1)+1</f>
        <v>2</v>
      </c>
      <c r="Z42" s="1257">
        <f ca="1">OFFSET(Z42,0,-1)+1</f>
        <v>3</v>
      </c>
      <c r="AA42" s="8890">
        <f ca="1">OFFSET(AA42,0,-1)+1</f>
        <v>4</v>
      </c>
      <c r="AB42" s="8890"/>
      <c r="AC42" s="1257">
        <f ca="1">OFFSET(AC42,0,-2)+1</f>
        <v>5</v>
      </c>
      <c r="AD42" s="1257">
        <f ca="1">OFFSET(AD42,0,-1)+1</f>
        <v>6</v>
      </c>
      <c r="AE42" s="1257"/>
      <c r="AF42" s="1257">
        <f ca="1">OFFSET(AF42,0,-1)+1</f>
        <v>1</v>
      </c>
      <c r="AG42" s="1257">
        <f ca="1">OFFSET(AG42,0,-1)+1</f>
        <v>2</v>
      </c>
      <c r="AH42" s="1257">
        <f ca="1">OFFSET(AH42,0,-1)+1</f>
        <v>3</v>
      </c>
      <c r="AI42" s="8890">
        <f ca="1">OFFSET(AI42,0,-1)+1</f>
        <v>4</v>
      </c>
      <c r="AJ42" s="8890"/>
      <c r="AK42" s="1257">
        <f ca="1">OFFSET(AK42,0,-2)+1</f>
        <v>5</v>
      </c>
      <c r="AL42" s="1159">
        <f ca="1">OFFSET(AL42,0,-1)</f>
        <v>5</v>
      </c>
      <c r="AM42" s="1257">
        <f ca="1">OFFSET(AM42,0,-1)+1</f>
        <v>6</v>
      </c>
      <c r="AN42" s="435"/>
      <c r="AO42" s="435"/>
      <c r="AP42" s="435"/>
      <c r="AQ42" s="435"/>
      <c r="AR42" s="435"/>
    </row>
    <row r="43" spans="1:44" ht="21" customHeight="1">
      <c r="A43" s="1284" t="s">
        <v>268</v>
      </c>
      <c r="B43" s="1284"/>
      <c r="C43" s="1284"/>
      <c r="D43" s="1284"/>
      <c r="E43" s="8883">
        <v>1</v>
      </c>
      <c r="F43" s="1284"/>
      <c r="G43" s="1284"/>
      <c r="H43" s="1284"/>
      <c r="I43" s="1284"/>
      <c r="J43" s="1284"/>
      <c r="K43" s="1284"/>
      <c r="L43" s="1285"/>
      <c r="M43" s="1286"/>
      <c r="N43" s="1286"/>
      <c r="O43" s="1286"/>
      <c r="P43" s="282"/>
      <c r="Q43" s="281"/>
      <c r="R43" s="276"/>
      <c r="S43" s="1258">
        <f>INDEX(PT_DIFFERENTIATION_NUM_NTAR,MATCH(A43,PT_DIFFERENTIATION_NTAR_ID,0))</f>
        <v>0</v>
      </c>
      <c r="T43" s="212" t="s">
        <v>211</v>
      </c>
      <c r="U43" s="214"/>
      <c r="V43" s="8869"/>
      <c r="W43" s="8870"/>
      <c r="X43" s="8870"/>
      <c r="Y43" s="8870"/>
      <c r="Z43" s="8870"/>
      <c r="AA43" s="8870"/>
      <c r="AB43" s="8870"/>
      <c r="AC43" s="8871"/>
      <c r="AD43" s="8869" t="str">
        <f>INDEX(PT_DIFFERENTIATION_NTAR,MATCH(A43,PT_DIFFERENTIATION_NTAR_ID,0))</f>
        <v/>
      </c>
      <c r="AE43" s="8870"/>
      <c r="AF43" s="8870"/>
      <c r="AG43" s="8870"/>
      <c r="AH43" s="8870"/>
      <c r="AI43" s="8870"/>
      <c r="AJ43" s="8870"/>
      <c r="AK43" s="8870"/>
      <c r="AL43" s="887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4"/>
      <c r="AP43" s="424" t="str">
        <f t="shared" ref="AP43:AP57" si="1">IF(T43="","",T43)</f>
        <v>Наименование тарифа</v>
      </c>
      <c r="AQ43" s="424"/>
      <c r="AR43" s="424"/>
    </row>
    <row r="44" spans="1:44" ht="21" customHeight="1">
      <c r="A44" s="1284" t="s">
        <v>268</v>
      </c>
      <c r="B44" s="1284" t="s">
        <v>269</v>
      </c>
      <c r="C44" s="1284"/>
      <c r="D44" s="1284"/>
      <c r="E44" s="8884"/>
      <c r="F44" s="8883">
        <v>1</v>
      </c>
      <c r="G44" s="1284"/>
      <c r="H44" s="1284"/>
      <c r="I44" s="1284"/>
      <c r="J44" s="1284"/>
      <c r="K44" s="1284"/>
      <c r="L44" s="1285"/>
      <c r="M44" s="1286"/>
      <c r="N44" s="1286"/>
      <c r="O44" s="1286"/>
      <c r="P44" s="1254"/>
      <c r="Q44" s="273"/>
      <c r="R44" s="274"/>
      <c r="S44" s="1258" t="str">
        <f>INDEX(PT_DIFFERENTIATION_NUM_TER,MATCH(B44,PT_DIFFERENTIATION_TER_ID,0))</f>
        <v>.</v>
      </c>
      <c r="T44" s="224" t="s">
        <v>862</v>
      </c>
      <c r="U44" s="214"/>
      <c r="V44" s="8869"/>
      <c r="W44" s="8870"/>
      <c r="X44" s="8870"/>
      <c r="Y44" s="8870"/>
      <c r="Z44" s="8870"/>
      <c r="AA44" s="8870"/>
      <c r="AB44" s="8870"/>
      <c r="AC44" s="8871"/>
      <c r="AD44" s="8869" t="str">
        <f>INDEX(PT_DIFFERENTIATION_TER,MATCH(B44,PT_DIFFERENTIATION_TER_ID,0))</f>
        <v/>
      </c>
      <c r="AE44" s="8870"/>
      <c r="AF44" s="8870"/>
      <c r="AG44" s="8870"/>
      <c r="AH44" s="8870"/>
      <c r="AI44" s="8870"/>
      <c r="AJ44" s="8870"/>
      <c r="AK44" s="8870"/>
      <c r="AL44" s="8871"/>
      <c r="AM44" s="1182" t="s">
        <v>863</v>
      </c>
      <c r="AO44" s="424"/>
      <c r="AP44" s="424" t="str">
        <f t="shared" si="1"/>
        <v>Территория действия тарифа</v>
      </c>
      <c r="AQ44" s="424"/>
      <c r="AR44" s="424"/>
    </row>
    <row r="45" spans="1:44" ht="23.25" customHeight="1">
      <c r="A45" s="1284" t="s">
        <v>268</v>
      </c>
      <c r="B45" s="1284" t="s">
        <v>269</v>
      </c>
      <c r="C45" s="1284" t="s">
        <v>270</v>
      </c>
      <c r="D45" s="1284"/>
      <c r="E45" s="8884"/>
      <c r="F45" s="8884"/>
      <c r="G45" s="8883">
        <v>1</v>
      </c>
      <c r="H45" s="1284"/>
      <c r="I45" s="1284"/>
      <c r="J45" s="1284"/>
      <c r="K45" s="1284"/>
      <c r="L45" s="1285"/>
      <c r="M45" s="1286"/>
      <c r="N45" s="1286"/>
      <c r="O45" s="1286"/>
      <c r="P45" s="275"/>
      <c r="Q45" s="273"/>
      <c r="R45" s="274"/>
      <c r="S45" s="1258" t="str">
        <f>INDEX(PT_DIFFERENTIATION_NUM_CS,MATCH(C45,PT_DIFFERENTIATION_CS_ID,0))</f>
        <v>..</v>
      </c>
      <c r="T45" s="225" t="s">
        <v>864</v>
      </c>
      <c r="U45" s="214"/>
      <c r="V45" s="8869"/>
      <c r="W45" s="8870"/>
      <c r="X45" s="8870"/>
      <c r="Y45" s="8870"/>
      <c r="Z45" s="8870"/>
      <c r="AA45" s="8870"/>
      <c r="AB45" s="8870"/>
      <c r="AC45" s="8871"/>
      <c r="AD45" s="8869" t="str">
        <f>INDEX(PT_DIFFERENTIATION_CS,MATCH(C45,PT_DIFFERENTIATION_CS_ID,0))</f>
        <v/>
      </c>
      <c r="AE45" s="8870"/>
      <c r="AF45" s="8870"/>
      <c r="AG45" s="8870"/>
      <c r="AH45" s="8870"/>
      <c r="AI45" s="8870"/>
      <c r="AJ45" s="8870"/>
      <c r="AK45" s="8870"/>
      <c r="AL45" s="8871"/>
      <c r="AM45" s="1182" t="s">
        <v>865</v>
      </c>
      <c r="AO45" s="424"/>
      <c r="AP45" s="424" t="str">
        <f t="shared" si="1"/>
        <v xml:space="preserve">Наименование системы теплоснабжения </v>
      </c>
      <c r="AQ45" s="424"/>
      <c r="AR45" s="424"/>
    </row>
    <row r="46" spans="1:44" ht="21" customHeight="1">
      <c r="A46" s="1284" t="s">
        <v>268</v>
      </c>
      <c r="B46" s="1284" t="s">
        <v>269</v>
      </c>
      <c r="C46" s="1284" t="s">
        <v>270</v>
      </c>
      <c r="D46" s="1284" t="s">
        <v>271</v>
      </c>
      <c r="E46" s="8884"/>
      <c r="F46" s="8884"/>
      <c r="G46" s="8884"/>
      <c r="H46" s="8883">
        <v>1</v>
      </c>
      <c r="I46" s="1284"/>
      <c r="J46" s="1284"/>
      <c r="K46" s="1284"/>
      <c r="L46" s="1285"/>
      <c r="M46" s="1286"/>
      <c r="N46" s="1286"/>
      <c r="O46" s="1286"/>
      <c r="P46" s="275"/>
      <c r="Q46" s="273"/>
      <c r="R46" s="274"/>
      <c r="S46" s="1258" t="str">
        <f>INDEX(PT_DIFFERENTIATION_NUM_IST_TE,MATCH(D46,PT_DIFFERENTIATION_IST_TE_ID,0))</f>
        <v>...</v>
      </c>
      <c r="T46" s="226" t="s">
        <v>866</v>
      </c>
      <c r="U46" s="214"/>
      <c r="V46" s="8869"/>
      <c r="W46" s="8870"/>
      <c r="X46" s="8870"/>
      <c r="Y46" s="8870"/>
      <c r="Z46" s="8870"/>
      <c r="AA46" s="8870"/>
      <c r="AB46" s="8870"/>
      <c r="AC46" s="8871"/>
      <c r="AD46" s="8869" t="str">
        <f>INDEX(PT_DIFFERENTIATION_IST_TE,MATCH(D46,PT_DIFFERENTIATION_IST_TE_ID,0))</f>
        <v/>
      </c>
      <c r="AE46" s="8870"/>
      <c r="AF46" s="8870"/>
      <c r="AG46" s="8870"/>
      <c r="AH46" s="8870"/>
      <c r="AI46" s="8870"/>
      <c r="AJ46" s="8870"/>
      <c r="AK46" s="8870"/>
      <c r="AL46" s="8871"/>
      <c r="AM46" s="1182" t="s">
        <v>867</v>
      </c>
      <c r="AO46" s="424"/>
      <c r="AP46" s="424" t="str">
        <f t="shared" si="1"/>
        <v xml:space="preserve">Источник тепловой энергии  </v>
      </c>
      <c r="AQ46" s="424"/>
      <c r="AR46" s="424"/>
    </row>
    <row r="47" spans="1:44" s="1562" customFormat="1" ht="0" hidden="1" customHeight="1">
      <c r="A47" s="1265" t="s">
        <v>268</v>
      </c>
      <c r="B47" s="1265" t="s">
        <v>269</v>
      </c>
      <c r="C47" s="1265" t="s">
        <v>270</v>
      </c>
      <c r="D47" s="1265" t="s">
        <v>271</v>
      </c>
      <c r="E47" s="8884"/>
      <c r="F47" s="8884"/>
      <c r="G47" s="8884"/>
      <c r="H47" s="8884"/>
      <c r="I47" s="8881" t="str">
        <f>S46&amp;".1"</f>
        <v>....1</v>
      </c>
      <c r="J47" s="1265"/>
      <c r="K47" s="1265"/>
      <c r="L47" s="1268" t="s">
        <v>868</v>
      </c>
      <c r="M47" s="434"/>
      <c r="N47" s="434"/>
      <c r="O47" s="434"/>
      <c r="P47" s="8882">
        <v>1</v>
      </c>
      <c r="Q47" s="1253"/>
      <c r="R47" s="277"/>
      <c r="S47" s="953"/>
      <c r="T47" s="1304"/>
      <c r="U47" s="1305"/>
      <c r="V47" s="8910"/>
      <c r="W47" s="8911"/>
      <c r="X47" s="8911"/>
      <c r="Y47" s="8911"/>
      <c r="Z47" s="8911"/>
      <c r="AA47" s="8911"/>
      <c r="AB47" s="8911"/>
      <c r="AC47" s="8912"/>
      <c r="AD47" s="8910"/>
      <c r="AE47" s="8911"/>
      <c r="AF47" s="8911"/>
      <c r="AG47" s="8911"/>
      <c r="AH47" s="8911"/>
      <c r="AI47" s="8911"/>
      <c r="AJ47" s="8911"/>
      <c r="AK47" s="8911"/>
      <c r="AL47" s="8912"/>
      <c r="AM47" s="1306"/>
      <c r="AO47" s="424"/>
      <c r="AP47" s="424" t="str">
        <f t="shared" si="1"/>
        <v/>
      </c>
      <c r="AQ47" s="424"/>
      <c r="AR47" s="424"/>
    </row>
    <row r="48" spans="1:44" ht="21" customHeight="1">
      <c r="A48" s="1284" t="s">
        <v>268</v>
      </c>
      <c r="B48" s="1284" t="s">
        <v>269</v>
      </c>
      <c r="C48" s="1284" t="s">
        <v>270</v>
      </c>
      <c r="D48" s="1284" t="s">
        <v>271</v>
      </c>
      <c r="E48" s="8884"/>
      <c r="F48" s="8884"/>
      <c r="G48" s="8884"/>
      <c r="H48" s="8884"/>
      <c r="I48" s="8904"/>
      <c r="J48" s="8881" t="str">
        <f>S46&amp;".1"</f>
        <v>....1</v>
      </c>
      <c r="K48" s="1284"/>
      <c r="L48" s="1285" t="s">
        <v>871</v>
      </c>
      <c r="P48" s="8882"/>
      <c r="Q48" s="8882">
        <v>1</v>
      </c>
      <c r="R48" s="278"/>
      <c r="S48" s="1258" t="str">
        <f>$J48</f>
        <v>....1</v>
      </c>
      <c r="T48" s="201" t="s">
        <v>872</v>
      </c>
      <c r="U48" s="214"/>
      <c r="V48" s="8872"/>
      <c r="W48" s="8873"/>
      <c r="X48" s="8873"/>
      <c r="Y48" s="8873"/>
      <c r="Z48" s="8873"/>
      <c r="AA48" s="8873"/>
      <c r="AB48" s="8873"/>
      <c r="AC48" s="8874"/>
      <c r="AD48" s="8872"/>
      <c r="AE48" s="8873"/>
      <c r="AF48" s="8873"/>
      <c r="AG48" s="8873"/>
      <c r="AH48" s="8873"/>
      <c r="AI48" s="8873"/>
      <c r="AJ48" s="8873"/>
      <c r="AK48" s="8873"/>
      <c r="AL48" s="8874"/>
      <c r="AM48" s="1182" t="s">
        <v>873</v>
      </c>
      <c r="AO48" s="424"/>
      <c r="AP48" s="424" t="str">
        <f t="shared" si="1"/>
        <v>Группа потребителей</v>
      </c>
      <c r="AQ48" s="424"/>
      <c r="AR48" s="424"/>
    </row>
    <row r="49" spans="1:44" ht="21" customHeight="1">
      <c r="A49" s="1284" t="s">
        <v>268</v>
      </c>
      <c r="B49" s="1284" t="s">
        <v>269</v>
      </c>
      <c r="C49" s="1284" t="s">
        <v>270</v>
      </c>
      <c r="D49" s="1284" t="s">
        <v>271</v>
      </c>
      <c r="E49" s="8884"/>
      <c r="F49" s="8884"/>
      <c r="G49" s="8884"/>
      <c r="H49" s="8884"/>
      <c r="I49" s="8904"/>
      <c r="J49" s="8904"/>
      <c r="K49" s="8881" t="str">
        <f>J48&amp;".1"</f>
        <v>....1.1</v>
      </c>
      <c r="L49" s="1285" t="s">
        <v>874</v>
      </c>
      <c r="P49" s="8882"/>
      <c r="Q49" s="8882"/>
      <c r="R49" s="278">
        <v>1</v>
      </c>
      <c r="S49" s="1258" t="str">
        <f>$K49</f>
        <v>....1.1</v>
      </c>
      <c r="T49" s="1269"/>
      <c r="U49" s="214"/>
      <c r="V49" s="666"/>
      <c r="W49" s="246"/>
      <c r="X49" s="666"/>
      <c r="Y49" s="1181"/>
      <c r="Z49" s="8886"/>
      <c r="AA49" s="8734" t="s">
        <v>63</v>
      </c>
      <c r="AB49" s="8886"/>
      <c r="AC49" s="8734" t="s">
        <v>63</v>
      </c>
      <c r="AD49" s="666"/>
      <c r="AE49" s="246"/>
      <c r="AF49" s="666"/>
      <c r="AG49" s="1181"/>
      <c r="AH49" s="8886"/>
      <c r="AI49" s="8734" t="s">
        <v>63</v>
      </c>
      <c r="AJ49" s="8905"/>
      <c r="AK49" s="8734" t="s">
        <v>63</v>
      </c>
      <c r="AL49" s="1270"/>
      <c r="AM49" s="8878" t="s">
        <v>912</v>
      </c>
      <c r="AN49" s="435" t="e">
        <f ca="1">STRCHECKDATE(V50:AL50)</f>
        <v>#NAME?</v>
      </c>
      <c r="AO49" s="424"/>
      <c r="AP49" s="424" t="str">
        <f t="shared" si="1"/>
        <v/>
      </c>
      <c r="AQ49" s="424"/>
      <c r="AR49" s="424"/>
    </row>
    <row r="50" spans="1:44" ht="0" hidden="1" customHeight="1">
      <c r="A50" s="1284" t="s">
        <v>268</v>
      </c>
      <c r="B50" s="1284" t="s">
        <v>269</v>
      </c>
      <c r="C50" s="1284" t="s">
        <v>270</v>
      </c>
      <c r="D50" s="1284" t="s">
        <v>271</v>
      </c>
      <c r="E50" s="8884"/>
      <c r="F50" s="8884"/>
      <c r="G50" s="8884"/>
      <c r="H50" s="8884"/>
      <c r="I50" s="8904"/>
      <c r="J50" s="8904"/>
      <c r="K50" s="8881"/>
      <c r="L50" s="1285"/>
      <c r="P50" s="8882"/>
      <c r="Q50" s="8882"/>
      <c r="R50" s="278"/>
      <c r="S50" s="1264"/>
      <c r="T50" s="214"/>
      <c r="U50" s="214"/>
      <c r="V50" s="246"/>
      <c r="W50" s="246"/>
      <c r="X50" s="246"/>
      <c r="Y50" s="250" t="str">
        <f>Z49&amp;"-"&amp;AB49</f>
        <v>-</v>
      </c>
      <c r="Z50" s="8887"/>
      <c r="AA50" s="8734"/>
      <c r="AB50" s="8887"/>
      <c r="AC50" s="8734"/>
      <c r="AD50" s="246"/>
      <c r="AE50" s="246"/>
      <c r="AF50" s="246"/>
      <c r="AG50" s="250" t="str">
        <f>AH49&amp;"-"&amp;AJ49</f>
        <v>-</v>
      </c>
      <c r="AH50" s="8887"/>
      <c r="AI50" s="8734"/>
      <c r="AJ50" s="8906"/>
      <c r="AK50" s="8734"/>
      <c r="AL50" s="1271"/>
      <c r="AM50" s="8879"/>
      <c r="AO50" s="424"/>
      <c r="AP50" s="424" t="str">
        <f t="shared" si="1"/>
        <v/>
      </c>
      <c r="AQ50" s="424"/>
      <c r="AR50" s="424"/>
    </row>
    <row r="51" spans="1:44" ht="11.25" customHeight="1">
      <c r="A51" s="1284" t="s">
        <v>268</v>
      </c>
      <c r="B51" s="1284" t="s">
        <v>269</v>
      </c>
      <c r="C51" s="1284" t="s">
        <v>270</v>
      </c>
      <c r="D51" s="1284" t="s">
        <v>271</v>
      </c>
      <c r="E51" s="8884"/>
      <c r="F51" s="8884"/>
      <c r="G51" s="8884"/>
      <c r="H51" s="8884"/>
      <c r="I51" s="8904"/>
      <c r="J51" s="8881"/>
      <c r="K51" s="1284"/>
      <c r="L51" s="1285"/>
      <c r="P51" s="8882"/>
      <c r="Q51" s="8882"/>
      <c r="R51" s="277"/>
      <c r="S51" s="1203"/>
      <c r="T51" s="202" t="s">
        <v>876</v>
      </c>
      <c r="U51" s="291"/>
      <c r="V51" s="291"/>
      <c r="W51" s="291"/>
      <c r="X51" s="291"/>
      <c r="Y51" s="291"/>
      <c r="Z51" s="291"/>
      <c r="AA51" s="291"/>
      <c r="AB51" s="291"/>
      <c r="AC51" s="291"/>
      <c r="AD51" s="291"/>
      <c r="AE51" s="291"/>
      <c r="AF51" s="291"/>
      <c r="AG51" s="291"/>
      <c r="AH51" s="291"/>
      <c r="AI51" s="291"/>
      <c r="AJ51" s="291"/>
      <c r="AK51" s="291"/>
      <c r="AL51" s="245"/>
      <c r="AM51" s="8880"/>
      <c r="AO51" s="424"/>
      <c r="AP51" s="424" t="str">
        <f t="shared" si="1"/>
        <v>Добавить вид теплоносителя (параметры теплоносителя)</v>
      </c>
      <c r="AQ51" s="424"/>
      <c r="AR51" s="424"/>
    </row>
    <row r="52" spans="1:44" ht="11.25" customHeight="1">
      <c r="A52" s="1284" t="s">
        <v>268</v>
      </c>
      <c r="B52" s="1284" t="s">
        <v>269</v>
      </c>
      <c r="C52" s="1284" t="s">
        <v>270</v>
      </c>
      <c r="D52" s="1284" t="s">
        <v>271</v>
      </c>
      <c r="E52" s="8884"/>
      <c r="F52" s="8884"/>
      <c r="G52" s="8884"/>
      <c r="H52" s="8884"/>
      <c r="I52" s="8881"/>
      <c r="J52" s="1284"/>
      <c r="K52" s="1284"/>
      <c r="L52" s="1285"/>
      <c r="P52" s="8882"/>
      <c r="Q52" s="1253"/>
      <c r="R52" s="277"/>
      <c r="S52" s="1203"/>
      <c r="T52" s="288" t="s">
        <v>877</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268</v>
      </c>
      <c r="B53" s="1284" t="s">
        <v>269</v>
      </c>
      <c r="C53" s="1284" t="s">
        <v>270</v>
      </c>
      <c r="D53" s="1284" t="s">
        <v>271</v>
      </c>
      <c r="E53" s="8884"/>
      <c r="F53" s="8884"/>
      <c r="G53" s="8884"/>
      <c r="H53" s="8883"/>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 hidden="1" customHeight="1">
      <c r="A54" s="1265" t="s">
        <v>268</v>
      </c>
      <c r="B54" s="1265" t="s">
        <v>269</v>
      </c>
      <c r="C54" s="1265" t="s">
        <v>270</v>
      </c>
      <c r="D54" s="1237"/>
      <c r="E54" s="8884"/>
      <c r="F54" s="8884"/>
      <c r="G54" s="8883"/>
      <c r="H54" s="1237"/>
      <c r="I54" s="1237"/>
      <c r="J54" s="1237"/>
      <c r="K54" s="1237"/>
      <c r="L54" s="1261"/>
      <c r="M54" s="1238"/>
      <c r="N54" s="1238"/>
      <c r="P54" s="1239"/>
      <c r="Q54" s="1240"/>
      <c r="R54" s="1239"/>
      <c r="S54" s="1245"/>
      <c r="T54" s="1248" t="s">
        <v>879</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 hidden="1" customHeight="1">
      <c r="A55" s="1265" t="s">
        <v>268</v>
      </c>
      <c r="B55" s="1265" t="s">
        <v>269</v>
      </c>
      <c r="C55" s="1237"/>
      <c r="D55" s="1237"/>
      <c r="E55" s="8884"/>
      <c r="F55" s="8883"/>
      <c r="G55" s="1237"/>
      <c r="H55" s="1237"/>
      <c r="I55" s="1237"/>
      <c r="J55" s="1237"/>
      <c r="K55" s="1237"/>
      <c r="L55" s="1261"/>
      <c r="M55" s="1244"/>
      <c r="N55" s="1244"/>
      <c r="P55" s="1239"/>
      <c r="Q55" s="1240"/>
      <c r="R55" s="1239"/>
      <c r="S55" s="1245"/>
      <c r="T55" s="1248" t="s">
        <v>314</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 hidden="1" customHeight="1">
      <c r="A56" s="1265" t="s">
        <v>268</v>
      </c>
      <c r="B56" s="1265"/>
      <c r="C56" s="1265"/>
      <c r="D56" s="1265"/>
      <c r="E56" s="8883"/>
      <c r="F56" s="1265"/>
      <c r="G56" s="1265"/>
      <c r="H56" s="1265"/>
      <c r="I56" s="1265"/>
      <c r="J56" s="1265"/>
      <c r="K56" s="1265"/>
      <c r="L56" s="1268"/>
      <c r="M56" s="1244"/>
      <c r="N56" s="1244"/>
      <c r="O56" s="442"/>
      <c r="P56" s="308"/>
      <c r="Q56" s="1266"/>
      <c r="R56" s="308"/>
      <c r="S56" s="1245"/>
      <c r="T56" s="1248" t="s">
        <v>315</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5.25" customHeight="1">
      <c r="A57" s="1237"/>
      <c r="B57" s="1237"/>
      <c r="C57" s="1237"/>
      <c r="D57" s="1237"/>
      <c r="E57" s="1265"/>
      <c r="F57" s="1237"/>
      <c r="G57" s="1237"/>
      <c r="H57" s="1237"/>
      <c r="I57" s="1237"/>
      <c r="J57" s="1237"/>
      <c r="K57" s="1237"/>
      <c r="L57" s="1261"/>
      <c r="M57" s="1244"/>
      <c r="N57" s="1244"/>
      <c r="P57" s="1239"/>
      <c r="Q57" s="1240"/>
      <c r="R57" s="1239"/>
      <c r="S57" s="1245"/>
      <c r="T57" s="1248" t="s">
        <v>706</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14.25" customHeight="1">
      <c r="O59" s="460"/>
      <c r="S59" s="1169"/>
      <c r="T59" s="8903"/>
      <c r="U59" s="8903"/>
      <c r="V59" s="8903"/>
      <c r="W59" s="8903"/>
      <c r="X59" s="8903"/>
      <c r="Y59" s="8903"/>
      <c r="Z59" s="8903"/>
      <c r="AA59" s="8903"/>
      <c r="AB59" s="8903"/>
      <c r="AC59" s="8903"/>
      <c r="AD59" s="8903"/>
      <c r="AE59" s="8903"/>
      <c r="AF59" s="8903"/>
      <c r="AG59" s="8903"/>
      <c r="AH59" s="8903"/>
      <c r="AI59" s="8903"/>
      <c r="AJ59" s="8903"/>
      <c r="AK59" s="8903"/>
      <c r="AL59" s="8903"/>
      <c r="AM59" s="8903"/>
    </row>
    <row r="60" spans="1:44" ht="14.25" customHeight="1">
      <c r="O60" s="460"/>
      <c r="T60" s="8903"/>
      <c r="U60" s="8903"/>
      <c r="V60" s="8903"/>
      <c r="W60" s="8903"/>
      <c r="X60" s="8903"/>
      <c r="Y60" s="8903"/>
      <c r="Z60" s="8903"/>
      <c r="AA60" s="8903"/>
      <c r="AB60" s="8903"/>
      <c r="AC60" s="8903"/>
      <c r="AD60" s="8903"/>
      <c r="AE60" s="8903"/>
      <c r="AF60" s="8903"/>
      <c r="AG60" s="8903"/>
      <c r="AH60" s="8903"/>
      <c r="AI60" s="8903"/>
      <c r="AJ60" s="8903"/>
      <c r="AK60" s="8903"/>
      <c r="AL60" s="8903"/>
      <c r="AM60" s="8903"/>
    </row>
    <row r="61" spans="1:44" ht="14.25" customHeight="1">
      <c r="O61" s="460"/>
      <c r="T61" s="8903"/>
      <c r="U61" s="8903"/>
      <c r="V61" s="8903"/>
      <c r="W61" s="8903"/>
      <c r="X61" s="8903"/>
      <c r="Y61" s="8903"/>
      <c r="Z61" s="8903"/>
      <c r="AA61" s="8903"/>
      <c r="AB61" s="8903"/>
      <c r="AC61" s="8903"/>
      <c r="AD61" s="8903"/>
      <c r="AE61" s="8903"/>
      <c r="AF61" s="8903"/>
      <c r="AG61" s="8903"/>
      <c r="AH61" s="8903"/>
      <c r="AI61" s="8903"/>
      <c r="AJ61" s="8903"/>
      <c r="AK61" s="8903"/>
      <c r="AL61" s="8903"/>
      <c r="AM61" s="8903"/>
    </row>
    <row r="62" spans="1:44" ht="14.25" customHeight="1">
      <c r="O62" s="460"/>
    </row>
    <row r="63" spans="1:44" ht="14.25" customHeight="1">
      <c r="O63" s="460"/>
      <c r="S63" s="1169"/>
      <c r="T63" s="8803"/>
      <c r="U63" s="8903"/>
      <c r="V63" s="8903"/>
      <c r="W63" s="8903"/>
      <c r="X63" s="8903"/>
      <c r="Y63" s="8903"/>
      <c r="Z63" s="8903"/>
      <c r="AA63" s="8903"/>
      <c r="AB63" s="8903"/>
      <c r="AC63" s="8903"/>
      <c r="AD63" s="8903"/>
      <c r="AE63" s="8903"/>
      <c r="AF63" s="8903"/>
      <c r="AG63" s="8903"/>
      <c r="AH63" s="8903"/>
      <c r="AI63" s="8903"/>
      <c r="AJ63" s="8903"/>
      <c r="AK63" s="8903"/>
      <c r="AL63" s="8903"/>
      <c r="AM63" s="8903"/>
    </row>
    <row r="64" spans="1:44" ht="14.25" customHeight="1">
      <c r="O64" s="460"/>
      <c r="T64" s="8903"/>
      <c r="U64" s="8903"/>
      <c r="V64" s="8903"/>
      <c r="W64" s="8903"/>
      <c r="X64" s="8903"/>
      <c r="Y64" s="8903"/>
      <c r="Z64" s="8903"/>
      <c r="AA64" s="8903"/>
      <c r="AB64" s="8903"/>
      <c r="AC64" s="8903"/>
      <c r="AD64" s="8903"/>
      <c r="AE64" s="8903"/>
      <c r="AF64" s="8903"/>
      <c r="AG64" s="8903"/>
      <c r="AH64" s="8903"/>
      <c r="AI64" s="8903"/>
      <c r="AJ64" s="8903"/>
      <c r="AK64" s="8903"/>
      <c r="AL64" s="8903"/>
      <c r="AM64" s="8903"/>
    </row>
    <row r="65" spans="20:39" ht="14.25" customHeight="1">
      <c r="T65" s="8903"/>
      <c r="U65" s="8903"/>
      <c r="V65" s="8903"/>
      <c r="W65" s="8903"/>
      <c r="X65" s="8903"/>
      <c r="Y65" s="8903"/>
      <c r="Z65" s="8903"/>
      <c r="AA65" s="8903"/>
      <c r="AB65" s="8903"/>
      <c r="AC65" s="8903"/>
      <c r="AD65" s="8903"/>
      <c r="AE65" s="8903"/>
      <c r="AF65" s="8903"/>
      <c r="AG65" s="8903"/>
      <c r="AH65" s="8903"/>
      <c r="AI65" s="8903"/>
      <c r="AJ65" s="8903"/>
      <c r="AK65" s="8903"/>
      <c r="AL65" s="8903"/>
      <c r="AM65" s="8903"/>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555" hidden="1"/>
    <col min="2" max="2" width="11" style="1555" hidden="1" customWidth="1"/>
    <col min="3" max="3" width="10.5703125" style="1555" hidden="1"/>
    <col min="4" max="4" width="11.85546875" style="1555" hidden="1" customWidth="1"/>
    <col min="5" max="5" width="10" style="1555" hidden="1" customWidth="1"/>
    <col min="6" max="6" width="8.7109375" style="1555" hidden="1" customWidth="1"/>
    <col min="7" max="7" width="7.5703125" style="1555" hidden="1" customWidth="1"/>
    <col min="8" max="8" width="11.42578125" style="1555" hidden="1" customWidth="1"/>
    <col min="9" max="9" width="12" style="1555" hidden="1" customWidth="1"/>
    <col min="10" max="10" width="9.85546875" style="1555" hidden="1" customWidth="1"/>
    <col min="11" max="12" width="11.42578125" style="1555" hidden="1" customWidth="1"/>
    <col min="13" max="13" width="19.140625" style="1807" hidden="1" customWidth="1"/>
    <col min="14" max="15" width="12.28515625" style="1812" hidden="1" customWidth="1"/>
    <col min="16" max="16" width="23.42578125" style="1812" hidden="1" customWidth="1"/>
    <col min="17" max="17" width="3.7109375" style="1812" hidden="1" customWidth="1"/>
    <col min="18" max="20" width="3.7109375" style="265" customWidth="1"/>
    <col min="21" max="21" width="12.7109375" style="1814" customWidth="1"/>
    <col min="22" max="22" width="32" style="1555" customWidth="1"/>
    <col min="23" max="23" width="0.140625" style="1555" customWidth="1"/>
    <col min="24" max="28" width="21.7109375" style="1555" hidden="1" customWidth="1"/>
    <col min="29" max="29" width="11.7109375" style="1555" hidden="1" customWidth="1"/>
    <col min="30" max="30" width="3.7109375" style="1555" hidden="1" customWidth="1"/>
    <col min="31" max="31" width="11.7109375" style="1555" hidden="1" customWidth="1"/>
    <col min="32" max="32" width="8.5703125" style="1555" hidden="1" customWidth="1"/>
    <col min="33" max="37" width="21.7109375" style="1555" customWidth="1"/>
    <col min="38" max="38" width="11.7109375" style="1555" customWidth="1"/>
    <col min="39" max="39" width="3.7109375" style="1555" customWidth="1"/>
    <col min="40" max="40" width="11.7109375" style="1555" customWidth="1"/>
    <col min="41" max="41" width="8.5703125" style="1555" customWidth="1"/>
    <col min="42" max="42" width="4.7109375" style="1555" customWidth="1"/>
    <col min="43" max="43" width="115.7109375" style="1555" customWidth="1"/>
    <col min="44" max="45" width="10.5703125" style="1562"/>
    <col min="46" max="46" width="11.140625" style="1562" customWidth="1"/>
    <col min="47" max="48" width="10.5703125" style="1562"/>
  </cols>
  <sheetData>
    <row r="1" spans="1:48" ht="14.25" hidden="1" customHeight="1">
      <c r="AB1" s="249"/>
      <c r="AC1" s="249"/>
      <c r="AK1" s="249"/>
      <c r="AL1" s="249"/>
    </row>
    <row r="2" spans="1:48" ht="21" hidden="1" customHeight="1">
      <c r="A2" s="1191"/>
      <c r="B2" s="1191"/>
      <c r="C2" s="1191"/>
      <c r="D2" s="1191"/>
      <c r="E2" s="8913">
        <v>1</v>
      </c>
      <c r="F2" s="1191"/>
      <c r="G2" s="1191"/>
      <c r="H2" s="1191"/>
      <c r="I2" s="1191"/>
      <c r="J2" s="1191"/>
      <c r="K2" s="1191"/>
      <c r="L2" s="1191"/>
      <c r="M2" s="1233"/>
      <c r="N2" s="606"/>
      <c r="O2" s="606"/>
      <c r="P2" s="606"/>
      <c r="Q2" s="282"/>
      <c r="R2" s="281"/>
      <c r="S2" s="281"/>
      <c r="T2" s="276"/>
      <c r="U2" s="1258" t="e">
        <f>INDEX(PT_DIFFERENTIATION_NUM_NTAR,MATCH(A2,PT_DIFFERENTIATION_NTAR_ID,0))</f>
        <v>#N/A</v>
      </c>
      <c r="V2" s="212" t="s">
        <v>211</v>
      </c>
      <c r="W2" s="214"/>
      <c r="X2" s="8869"/>
      <c r="Y2" s="8870"/>
      <c r="Z2" s="8870"/>
      <c r="AA2" s="8870"/>
      <c r="AB2" s="8870"/>
      <c r="AC2" s="8870"/>
      <c r="AD2" s="8870"/>
      <c r="AE2" s="8870"/>
      <c r="AF2" s="8871"/>
      <c r="AG2" s="8869" t="e">
        <f>INDEX(PT_DIFFERENTIATION_NTAR,MATCH(A2,PT_DIFFERENTIATION_NTAR_ID,0))</f>
        <v>#N/A</v>
      </c>
      <c r="AH2" s="8870"/>
      <c r="AI2" s="8870"/>
      <c r="AJ2" s="8870"/>
      <c r="AK2" s="8870"/>
      <c r="AL2" s="8870"/>
      <c r="AM2" s="8870"/>
      <c r="AN2" s="8870"/>
      <c r="AO2" s="8870"/>
      <c r="AP2" s="8871"/>
      <c r="AQ2" s="1182" t="s">
        <v>861</v>
      </c>
      <c r="AS2" s="424"/>
      <c r="AT2" s="424" t="str">
        <f t="shared" ref="AT2:AT8" si="0">IF(V2="","",V2)</f>
        <v>Наименование тарифа</v>
      </c>
      <c r="AU2" s="424"/>
      <c r="AV2" s="424"/>
    </row>
    <row r="3" spans="1:48" ht="21" hidden="1" customHeight="1">
      <c r="A3" s="1191"/>
      <c r="B3" s="1191"/>
      <c r="C3" s="1191"/>
      <c r="D3" s="1191"/>
      <c r="E3" s="8914"/>
      <c r="F3" s="8913">
        <v>1</v>
      </c>
      <c r="G3" s="1191"/>
      <c r="H3" s="1191"/>
      <c r="I3" s="1191"/>
      <c r="J3" s="1191"/>
      <c r="K3" s="1191"/>
      <c r="L3" s="1191"/>
      <c r="M3" s="1233"/>
      <c r="N3" s="606"/>
      <c r="O3" s="606"/>
      <c r="P3" s="606"/>
      <c r="Q3" s="1254"/>
      <c r="R3" s="273"/>
      <c r="S3" s="433"/>
      <c r="T3" s="274"/>
      <c r="U3" s="1258" t="e">
        <f>INDEX(PT_DIFFERENTIATION_NUM_TER,MATCH(B3,PT_DIFFERENTIATION_TER_ID,0))</f>
        <v>#N/A</v>
      </c>
      <c r="V3" s="224" t="s">
        <v>862</v>
      </c>
      <c r="W3" s="214"/>
      <c r="X3" s="8869"/>
      <c r="Y3" s="8870"/>
      <c r="Z3" s="8870"/>
      <c r="AA3" s="8870"/>
      <c r="AB3" s="8870"/>
      <c r="AC3" s="8870"/>
      <c r="AD3" s="8870"/>
      <c r="AE3" s="8870"/>
      <c r="AF3" s="8871"/>
      <c r="AG3" s="8869" t="e">
        <f>INDEX(PT_DIFFERENTIATION_TER,MATCH(B3,PT_DIFFERENTIATION_TER_ID,0))</f>
        <v>#N/A</v>
      </c>
      <c r="AH3" s="8870"/>
      <c r="AI3" s="8870"/>
      <c r="AJ3" s="8870"/>
      <c r="AK3" s="8870"/>
      <c r="AL3" s="8870"/>
      <c r="AM3" s="8870"/>
      <c r="AN3" s="8870"/>
      <c r="AO3" s="8870"/>
      <c r="AP3" s="8871"/>
      <c r="AQ3" s="1182" t="s">
        <v>863</v>
      </c>
      <c r="AS3" s="424"/>
      <c r="AT3" s="424" t="str">
        <f t="shared" si="0"/>
        <v>Территория действия тарифа</v>
      </c>
      <c r="AU3" s="424"/>
      <c r="AV3" s="424"/>
    </row>
    <row r="4" spans="1:48" ht="22.5" hidden="1" customHeight="1">
      <c r="A4" s="1191"/>
      <c r="B4" s="1191"/>
      <c r="C4" s="1191"/>
      <c r="D4" s="1191"/>
      <c r="E4" s="8914"/>
      <c r="F4" s="8914"/>
      <c r="G4" s="8913">
        <v>1</v>
      </c>
      <c r="H4" s="1191"/>
      <c r="I4" s="1191"/>
      <c r="J4" s="1191"/>
      <c r="K4" s="1191"/>
      <c r="L4" s="1191"/>
      <c r="M4" s="1233"/>
      <c r="N4" s="606"/>
      <c r="O4" s="606"/>
      <c r="P4" s="606"/>
      <c r="Q4" s="275"/>
      <c r="R4" s="273"/>
      <c r="S4" s="433"/>
      <c r="T4" s="274"/>
      <c r="U4" s="1258" t="e">
        <f>INDEX(PT_DIFFERENTIATION_NUM_CS,MATCH(C4,PT_DIFFERENTIATION_CS_ID,0))</f>
        <v>#N/A</v>
      </c>
      <c r="V4" s="225" t="s">
        <v>864</v>
      </c>
      <c r="W4" s="214"/>
      <c r="X4" s="8869"/>
      <c r="Y4" s="8870"/>
      <c r="Z4" s="8870"/>
      <c r="AA4" s="8870"/>
      <c r="AB4" s="8870"/>
      <c r="AC4" s="8870"/>
      <c r="AD4" s="8870"/>
      <c r="AE4" s="8870"/>
      <c r="AF4" s="8871"/>
      <c r="AG4" s="8869" t="e">
        <f>INDEX(PT_DIFFERENTIATION_CS,MATCH(C4,PT_DIFFERENTIATION_CS_ID,0))</f>
        <v>#N/A</v>
      </c>
      <c r="AH4" s="8870"/>
      <c r="AI4" s="8870"/>
      <c r="AJ4" s="8870"/>
      <c r="AK4" s="8870"/>
      <c r="AL4" s="8870"/>
      <c r="AM4" s="8870"/>
      <c r="AN4" s="8870"/>
      <c r="AO4" s="8870"/>
      <c r="AP4" s="8871"/>
      <c r="AQ4" s="1182" t="s">
        <v>865</v>
      </c>
      <c r="AS4" s="424"/>
      <c r="AT4" s="424" t="str">
        <f t="shared" si="0"/>
        <v xml:space="preserve">Наименование системы теплоснабжения </v>
      </c>
      <c r="AU4" s="424"/>
      <c r="AV4" s="424"/>
    </row>
    <row r="5" spans="1:48" ht="21" hidden="1" customHeight="1">
      <c r="A5" s="1191"/>
      <c r="B5" s="1191"/>
      <c r="C5" s="1191"/>
      <c r="D5" s="1191"/>
      <c r="E5" s="8914"/>
      <c r="F5" s="8914"/>
      <c r="G5" s="8914"/>
      <c r="H5" s="8913">
        <v>1</v>
      </c>
      <c r="I5" s="1191"/>
      <c r="J5" s="1191"/>
      <c r="K5" s="1191"/>
      <c r="L5" s="1191"/>
      <c r="M5" s="1233"/>
      <c r="N5" s="606"/>
      <c r="O5" s="606"/>
      <c r="P5" s="606"/>
      <c r="Q5" s="275"/>
      <c r="R5" s="273"/>
      <c r="S5" s="433"/>
      <c r="T5" s="274"/>
      <c r="U5" s="1258" t="e">
        <f>INDEX(PT_DIFFERENTIATION_NUM_IST_TE,MATCH(D5,PT_DIFFERENTIATION_IST_TE_ID,0))</f>
        <v>#N/A</v>
      </c>
      <c r="V5" s="226" t="s">
        <v>866</v>
      </c>
      <c r="W5" s="214"/>
      <c r="X5" s="8869"/>
      <c r="Y5" s="8870"/>
      <c r="Z5" s="8870"/>
      <c r="AA5" s="8870"/>
      <c r="AB5" s="8870"/>
      <c r="AC5" s="8870"/>
      <c r="AD5" s="8870"/>
      <c r="AE5" s="8870"/>
      <c r="AF5" s="8871"/>
      <c r="AG5" s="8869" t="e">
        <f>INDEX(PT_DIFFERENTIATION_IST_TE,MATCH(D5,PT_DIFFERENTIATION_IST_TE_ID,0))</f>
        <v>#N/A</v>
      </c>
      <c r="AH5" s="8870"/>
      <c r="AI5" s="8870"/>
      <c r="AJ5" s="8870"/>
      <c r="AK5" s="8870"/>
      <c r="AL5" s="8870"/>
      <c r="AM5" s="8870"/>
      <c r="AN5" s="8870"/>
      <c r="AO5" s="8870"/>
      <c r="AP5" s="8871"/>
      <c r="AQ5" s="1182" t="s">
        <v>867</v>
      </c>
      <c r="AS5" s="424"/>
      <c r="AT5" s="424" t="str">
        <f t="shared" si="0"/>
        <v xml:space="preserve">Источник тепловой энергии  </v>
      </c>
      <c r="AU5" s="424"/>
      <c r="AV5" s="424"/>
    </row>
    <row r="6" spans="1:48" ht="14.25" hidden="1" customHeight="1">
      <c r="A6" s="1191"/>
      <c r="B6" s="1191"/>
      <c r="C6" s="1191"/>
      <c r="D6" s="1191"/>
      <c r="E6" s="8914"/>
      <c r="F6" s="8914"/>
      <c r="G6" s="8914"/>
      <c r="H6" s="8914"/>
      <c r="I6" s="8753" t="e">
        <f>U5&amp;".1"</f>
        <v>#N/A</v>
      </c>
      <c r="J6" s="1191"/>
      <c r="K6" s="1191"/>
      <c r="L6" s="1191"/>
      <c r="M6" s="1233" t="s">
        <v>868</v>
      </c>
      <c r="N6" s="433"/>
      <c r="Q6" s="8882">
        <v>1</v>
      </c>
      <c r="R6" s="1253"/>
      <c r="S6" s="1253"/>
      <c r="T6" s="277"/>
      <c r="U6" s="953"/>
      <c r="V6" s="1304"/>
      <c r="W6" s="1305"/>
      <c r="X6" s="8910"/>
      <c r="Y6" s="8911"/>
      <c r="Z6" s="8911"/>
      <c r="AA6" s="8911"/>
      <c r="AB6" s="8911"/>
      <c r="AC6" s="8911"/>
      <c r="AD6" s="8911"/>
      <c r="AE6" s="8911"/>
      <c r="AF6" s="8912"/>
      <c r="AG6" s="8910"/>
      <c r="AH6" s="8911"/>
      <c r="AI6" s="8911"/>
      <c r="AJ6" s="8911"/>
      <c r="AK6" s="8911"/>
      <c r="AL6" s="8911"/>
      <c r="AM6" s="8911"/>
      <c r="AN6" s="8911"/>
      <c r="AO6" s="8911"/>
      <c r="AP6" s="8912"/>
      <c r="AQ6" s="1306"/>
      <c r="AS6" s="424"/>
      <c r="AT6" s="424" t="str">
        <f t="shared" si="0"/>
        <v/>
      </c>
      <c r="AU6" s="424"/>
      <c r="AV6" s="424"/>
    </row>
    <row r="7" spans="1:48" ht="21" hidden="1" customHeight="1">
      <c r="A7" s="1191"/>
      <c r="B7" s="1191"/>
      <c r="C7" s="1191"/>
      <c r="D7" s="1191"/>
      <c r="E7" s="8914"/>
      <c r="F7" s="8914"/>
      <c r="G7" s="8914"/>
      <c r="H7" s="8914"/>
      <c r="I7" s="8724"/>
      <c r="J7" s="8753" t="e">
        <f>I6&amp;".1"</f>
        <v>#N/A</v>
      </c>
      <c r="K7" s="1191"/>
      <c r="L7" s="1191"/>
      <c r="M7" s="1233" t="s">
        <v>871</v>
      </c>
      <c r="N7" s="433"/>
      <c r="O7" s="249"/>
      <c r="Q7" s="8882"/>
      <c r="R7" s="8882">
        <v>1</v>
      </c>
      <c r="S7" s="442"/>
      <c r="T7" s="278"/>
      <c r="U7" s="1258" t="e">
        <f>$J7</f>
        <v>#N/A</v>
      </c>
      <c r="V7" s="201" t="s">
        <v>872</v>
      </c>
      <c r="W7" s="214"/>
      <c r="X7" s="8872"/>
      <c r="Y7" s="8873"/>
      <c r="Z7" s="8873"/>
      <c r="AA7" s="8873"/>
      <c r="AB7" s="8873"/>
      <c r="AC7" s="8865"/>
      <c r="AD7" s="8865"/>
      <c r="AE7" s="8865"/>
      <c r="AF7" s="8915"/>
      <c r="AG7" s="8872"/>
      <c r="AH7" s="8873"/>
      <c r="AI7" s="8873"/>
      <c r="AJ7" s="8873"/>
      <c r="AK7" s="8873"/>
      <c r="AL7" s="8873"/>
      <c r="AM7" s="8873"/>
      <c r="AN7" s="8873"/>
      <c r="AO7" s="8873"/>
      <c r="AP7" s="8874"/>
      <c r="AQ7" s="1182" t="s">
        <v>873</v>
      </c>
      <c r="AS7" s="424"/>
      <c r="AT7" s="424" t="str">
        <f t="shared" si="0"/>
        <v>Группа потребителей</v>
      </c>
      <c r="AU7" s="424"/>
      <c r="AV7" s="424"/>
    </row>
    <row r="8" spans="1:48" ht="21" hidden="1" customHeight="1">
      <c r="A8" s="1191"/>
      <c r="B8" s="1191"/>
      <c r="C8" s="1191"/>
      <c r="D8" s="1191"/>
      <c r="E8" s="8914"/>
      <c r="F8" s="8914"/>
      <c r="G8" s="8914"/>
      <c r="H8" s="8914"/>
      <c r="I8" s="8724"/>
      <c r="J8" s="8724"/>
      <c r="K8" s="8753" t="e">
        <f>J7&amp;".1"</f>
        <v>#N/A</v>
      </c>
      <c r="L8" s="61"/>
      <c r="M8" s="1233" t="s">
        <v>874</v>
      </c>
      <c r="N8" s="433"/>
      <c r="O8" s="249"/>
      <c r="P8" s="249"/>
      <c r="Q8" s="8882"/>
      <c r="R8" s="8882"/>
      <c r="S8" s="8882">
        <v>1</v>
      </c>
      <c r="T8" s="278"/>
      <c r="U8" s="1258" t="e">
        <f>$K8</f>
        <v>#N/A</v>
      </c>
      <c r="V8" s="1269"/>
      <c r="W8" s="214"/>
      <c r="X8" s="666"/>
      <c r="Y8" s="666"/>
      <c r="Z8" s="666"/>
      <c r="AA8" s="666"/>
      <c r="AB8" s="1326"/>
      <c r="AC8" s="8886"/>
      <c r="AD8" s="8734" t="s">
        <v>63</v>
      </c>
      <c r="AE8" s="8886"/>
      <c r="AF8" s="8734" t="s">
        <v>63</v>
      </c>
      <c r="AG8" s="1328"/>
      <c r="AH8" s="666"/>
      <c r="AI8" s="666"/>
      <c r="AJ8" s="666"/>
      <c r="AK8" s="1181"/>
      <c r="AL8" s="8886"/>
      <c r="AM8" s="8734" t="s">
        <v>63</v>
      </c>
      <c r="AN8" s="8886"/>
      <c r="AO8" s="8734" t="s">
        <v>63</v>
      </c>
      <c r="AP8" s="246"/>
      <c r="AQ8" s="1231" t="s">
        <v>913</v>
      </c>
      <c r="AR8" s="435" t="e">
        <f ca="1">STRCHECKDATE(X10:AP10)</f>
        <v>#NAME?</v>
      </c>
      <c r="AS8" s="424"/>
      <c r="AT8" s="424" t="str">
        <f t="shared" si="0"/>
        <v/>
      </c>
      <c r="AU8" s="424"/>
      <c r="AV8" s="424"/>
    </row>
    <row r="9" spans="1:48" ht="21" hidden="1" customHeight="1">
      <c r="A9" s="1191"/>
      <c r="B9" s="1191"/>
      <c r="C9" s="1191"/>
      <c r="D9" s="1191"/>
      <c r="E9" s="8914"/>
      <c r="F9" s="8914"/>
      <c r="G9" s="8914"/>
      <c r="H9" s="8914"/>
      <c r="I9" s="8724"/>
      <c r="J9" s="8724"/>
      <c r="K9" s="8724"/>
      <c r="L9" s="8753" t="e">
        <f>K8&amp;".1"</f>
        <v>#N/A</v>
      </c>
      <c r="M9" s="1233"/>
      <c r="N9" s="433"/>
      <c r="O9" s="249"/>
      <c r="P9" s="249"/>
      <c r="Q9" s="8882"/>
      <c r="R9" s="8882"/>
      <c r="S9" s="8882"/>
      <c r="T9" s="278"/>
      <c r="U9" s="1258" t="e">
        <f>$L9</f>
        <v>#N/A</v>
      </c>
      <c r="V9" s="1312"/>
      <c r="W9" s="214"/>
      <c r="X9" s="246"/>
      <c r="Y9" s="666"/>
      <c r="Z9" s="666"/>
      <c r="AA9" s="666"/>
      <c r="AB9" s="1326"/>
      <c r="AC9" s="8887"/>
      <c r="AD9" s="8734"/>
      <c r="AE9" s="8887"/>
      <c r="AF9" s="8734"/>
      <c r="AG9" s="1328"/>
      <c r="AH9" s="666"/>
      <c r="AI9" s="666"/>
      <c r="AJ9" s="666"/>
      <c r="AK9" s="1181"/>
      <c r="AL9" s="8887"/>
      <c r="AM9" s="8734"/>
      <c r="AN9" s="8887"/>
      <c r="AO9" s="8734"/>
      <c r="AP9" s="246"/>
      <c r="AQ9" s="8878" t="s">
        <v>914</v>
      </c>
      <c r="AS9" s="424"/>
      <c r="AT9" s="424"/>
      <c r="AU9" s="424"/>
      <c r="AV9" s="424"/>
    </row>
    <row r="10" spans="1:48" ht="14.25" hidden="1" customHeight="1">
      <c r="A10" s="1191"/>
      <c r="B10" s="1191"/>
      <c r="C10" s="1191"/>
      <c r="D10" s="1191"/>
      <c r="E10" s="8914"/>
      <c r="F10" s="8914"/>
      <c r="G10" s="8914"/>
      <c r="H10" s="8914"/>
      <c r="I10" s="8724"/>
      <c r="J10" s="8724"/>
      <c r="K10" s="8724"/>
      <c r="L10" s="8753"/>
      <c r="M10" s="1233"/>
      <c r="N10" s="433"/>
      <c r="O10" s="249"/>
      <c r="P10" s="249"/>
      <c r="Q10" s="8882"/>
      <c r="R10" s="8882"/>
      <c r="S10" s="8882"/>
      <c r="T10" s="278"/>
      <c r="U10" s="1264"/>
      <c r="V10" s="214"/>
      <c r="W10" s="214"/>
      <c r="X10" s="246"/>
      <c r="Y10" s="246"/>
      <c r="Z10" s="246"/>
      <c r="AA10" s="246"/>
      <c r="AB10" s="1327" t="str">
        <f>AC8&amp;"-"&amp;AE8</f>
        <v>-</v>
      </c>
      <c r="AC10" s="8887"/>
      <c r="AD10" s="8734"/>
      <c r="AE10" s="8887"/>
      <c r="AF10" s="8734"/>
      <c r="AG10" s="1303"/>
      <c r="AH10" s="246"/>
      <c r="AI10" s="246"/>
      <c r="AJ10" s="246"/>
      <c r="AK10" s="250" t="str">
        <f>AL8&amp;"-"&amp;AN8</f>
        <v>-</v>
      </c>
      <c r="AL10" s="8887"/>
      <c r="AM10" s="8734"/>
      <c r="AN10" s="8887"/>
      <c r="AO10" s="8734"/>
      <c r="AP10" s="246"/>
      <c r="AQ10" s="8879"/>
      <c r="AS10" s="424"/>
      <c r="AT10" s="424" t="str">
        <f>IF(V10="","",V10)</f>
        <v/>
      </c>
      <c r="AU10" s="424"/>
      <c r="AV10" s="424"/>
    </row>
    <row r="11" spans="1:48" ht="11.25" hidden="1" customHeight="1">
      <c r="A11" s="1191"/>
      <c r="B11" s="1191"/>
      <c r="C11" s="1191"/>
      <c r="D11" s="1191"/>
      <c r="E11" s="8914"/>
      <c r="F11" s="8914"/>
      <c r="G11" s="8914"/>
      <c r="H11" s="8914"/>
      <c r="I11" s="8724"/>
      <c r="J11" s="8724"/>
      <c r="K11" s="8753"/>
      <c r="L11" s="1191"/>
      <c r="M11" s="1233"/>
      <c r="N11" s="433"/>
      <c r="O11" s="249"/>
      <c r="P11" s="249"/>
      <c r="Q11" s="8882"/>
      <c r="R11" s="8882"/>
      <c r="S11" s="8882"/>
      <c r="T11" s="278"/>
      <c r="U11" s="1203"/>
      <c r="V11" s="203" t="s">
        <v>915</v>
      </c>
      <c r="W11" s="1313"/>
      <c r="X11" s="1314"/>
      <c r="Y11" s="1314"/>
      <c r="Z11" s="1314"/>
      <c r="AA11" s="1314"/>
      <c r="AB11" s="1315"/>
      <c r="AC11" s="8887"/>
      <c r="AD11" s="8734"/>
      <c r="AE11" s="8887"/>
      <c r="AF11" s="8734"/>
      <c r="AG11" s="1314"/>
      <c r="AH11" s="1314"/>
      <c r="AI11" s="1314"/>
      <c r="AJ11" s="1314"/>
      <c r="AK11" s="1315"/>
      <c r="AL11" s="8887"/>
      <c r="AM11" s="8734"/>
      <c r="AN11" s="8887"/>
      <c r="AO11" s="8734"/>
      <c r="AP11" s="1316"/>
      <c r="AQ11" s="8879"/>
      <c r="AS11" s="424"/>
      <c r="AT11" s="424"/>
      <c r="AU11" s="424"/>
      <c r="AV11" s="424"/>
    </row>
    <row r="12" spans="1:48" ht="15" hidden="1" customHeight="1">
      <c r="A12" s="1191"/>
      <c r="B12" s="1191"/>
      <c r="C12" s="1191"/>
      <c r="D12" s="1191"/>
      <c r="E12" s="8914"/>
      <c r="F12" s="8914"/>
      <c r="G12" s="8914"/>
      <c r="H12" s="8914"/>
      <c r="I12" s="8724"/>
      <c r="J12" s="8753"/>
      <c r="K12" s="1191"/>
      <c r="L12" s="1191"/>
      <c r="M12" s="1233"/>
      <c r="N12" s="433"/>
      <c r="O12" s="249"/>
      <c r="Q12" s="8882"/>
      <c r="R12" s="8882"/>
      <c r="S12" s="1253"/>
      <c r="T12" s="277"/>
      <c r="U12" s="1203"/>
      <c r="V12" s="202" t="s">
        <v>876</v>
      </c>
      <c r="W12" s="291"/>
      <c r="X12" s="291"/>
      <c r="Y12" s="291"/>
      <c r="Z12" s="291"/>
      <c r="AA12" s="291"/>
      <c r="AB12" s="291"/>
      <c r="AC12" s="1329"/>
      <c r="AD12" s="1329"/>
      <c r="AE12" s="1329"/>
      <c r="AF12" s="1329"/>
      <c r="AG12" s="291"/>
      <c r="AH12" s="291"/>
      <c r="AI12" s="291"/>
      <c r="AJ12" s="291"/>
      <c r="AK12" s="291"/>
      <c r="AL12" s="291"/>
      <c r="AM12" s="291"/>
      <c r="AN12" s="291"/>
      <c r="AO12" s="291"/>
      <c r="AP12" s="245"/>
      <c r="AQ12" s="8880"/>
      <c r="AS12" s="424"/>
      <c r="AT12" s="424" t="str">
        <f t="shared" ref="AT12:AT17" si="1">IF(V12="","",V12)</f>
        <v>Добавить вид теплоносителя (параметры теплоносителя)</v>
      </c>
      <c r="AU12" s="424"/>
      <c r="AV12" s="424"/>
    </row>
    <row r="13" spans="1:48" ht="11.25" hidden="1" customHeight="1">
      <c r="A13" s="1191"/>
      <c r="B13" s="1191"/>
      <c r="C13" s="1191"/>
      <c r="D13" s="1191"/>
      <c r="E13" s="8914"/>
      <c r="F13" s="8914"/>
      <c r="G13" s="8914"/>
      <c r="H13" s="8914"/>
      <c r="I13" s="8753"/>
      <c r="J13" s="1191"/>
      <c r="K13" s="1191"/>
      <c r="L13" s="1191"/>
      <c r="M13" s="1233"/>
      <c r="N13" s="433"/>
      <c r="Q13" s="8882"/>
      <c r="R13" s="1253"/>
      <c r="S13" s="1253"/>
      <c r="T13" s="277"/>
      <c r="U13" s="1203"/>
      <c r="V13" s="288" t="s">
        <v>877</v>
      </c>
      <c r="W13" s="291"/>
      <c r="X13" s="291"/>
      <c r="Y13" s="291"/>
      <c r="Z13" s="291"/>
      <c r="AA13" s="291"/>
      <c r="AB13" s="291"/>
      <c r="AC13" s="291"/>
      <c r="AD13" s="291"/>
      <c r="AE13" s="291"/>
      <c r="AF13" s="290"/>
      <c r="AG13" s="291"/>
      <c r="AH13" s="291"/>
      <c r="AI13" s="291"/>
      <c r="AJ13" s="291"/>
      <c r="AK13" s="291"/>
      <c r="AL13" s="291"/>
      <c r="AM13" s="291"/>
      <c r="AN13" s="291"/>
      <c r="AO13" s="290"/>
      <c r="AP13" s="291"/>
      <c r="AQ13" s="217"/>
      <c r="AS13" s="424"/>
      <c r="AT13" s="424" t="str">
        <f t="shared" si="1"/>
        <v>Добавить группу потребителей</v>
      </c>
      <c r="AU13" s="424"/>
      <c r="AV13" s="424"/>
    </row>
    <row r="14" spans="1:48" ht="14.25" hidden="1" customHeight="1">
      <c r="A14" s="1191"/>
      <c r="B14" s="1191"/>
      <c r="C14" s="1191"/>
      <c r="D14" s="1191"/>
      <c r="E14" s="8914"/>
      <c r="F14" s="8914"/>
      <c r="G14" s="8914"/>
      <c r="H14" s="8913"/>
      <c r="I14" s="1191"/>
      <c r="J14" s="1191"/>
      <c r="K14" s="1191"/>
      <c r="L14" s="1191"/>
      <c r="M14" s="1233"/>
      <c r="N14" s="606"/>
      <c r="O14" s="606"/>
      <c r="P14" s="433"/>
      <c r="Q14" s="281"/>
      <c r="R14" s="299"/>
      <c r="S14" s="276"/>
      <c r="T14" s="281"/>
      <c r="U14" s="1307"/>
      <c r="V14" s="1308"/>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10"/>
      <c r="AS14" s="424"/>
      <c r="AT14" s="424" t="str">
        <f t="shared" si="1"/>
        <v/>
      </c>
      <c r="AU14" s="424"/>
      <c r="AV14" s="424"/>
    </row>
    <row r="15" spans="1:48" s="1562" customFormat="1" ht="14.25" hidden="1" customHeight="1">
      <c r="A15" s="1295"/>
      <c r="B15" s="1295"/>
      <c r="C15" s="1295"/>
      <c r="D15" s="1295"/>
      <c r="E15" s="8914"/>
      <c r="F15" s="8914"/>
      <c r="G15" s="8913"/>
      <c r="H15" s="1295"/>
      <c r="I15" s="1295"/>
      <c r="J15" s="1295"/>
      <c r="K15" s="1295"/>
      <c r="L15" s="1295"/>
      <c r="M15" s="1298"/>
      <c r="N15" s="1299"/>
      <c r="O15" s="1299"/>
      <c r="P15" s="272"/>
      <c r="Q15" s="1239"/>
      <c r="R15" s="1240"/>
      <c r="S15" s="1239"/>
      <c r="T15" s="1239"/>
      <c r="U15" s="1241"/>
      <c r="V15" s="1242" t="s">
        <v>879</v>
      </c>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S15" s="703"/>
      <c r="AT15" s="703" t="str">
        <f t="shared" si="1"/>
        <v>Добавить источник для дифференциации</v>
      </c>
      <c r="AU15" s="703"/>
      <c r="AV15" s="703"/>
    </row>
    <row r="16" spans="1:48" s="1562" customFormat="1" ht="14.25" hidden="1" customHeight="1">
      <c r="A16" s="1295"/>
      <c r="B16" s="1295"/>
      <c r="C16" s="1295"/>
      <c r="D16" s="1295"/>
      <c r="E16" s="8914"/>
      <c r="F16" s="8913"/>
      <c r="G16" s="1295"/>
      <c r="H16" s="1295"/>
      <c r="I16" s="1295"/>
      <c r="J16" s="1295"/>
      <c r="K16" s="1295"/>
      <c r="L16" s="1295"/>
      <c r="M16" s="1298"/>
      <c r="N16" s="1300"/>
      <c r="O16" s="1300"/>
      <c r="P16" s="272"/>
      <c r="Q16" s="1239"/>
      <c r="R16" s="1240"/>
      <c r="S16" s="1239"/>
      <c r="T16" s="1239"/>
      <c r="U16" s="1245"/>
      <c r="V16" s="1246" t="s">
        <v>314</v>
      </c>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S16" s="703"/>
      <c r="AT16" s="703" t="str">
        <f t="shared" si="1"/>
        <v>Добавить централизованную систему для дифференциации</v>
      </c>
      <c r="AU16" s="703"/>
      <c r="AV16" s="703"/>
    </row>
    <row r="17" spans="1:48" s="1562" customFormat="1" ht="14.25" hidden="1" customHeight="1">
      <c r="A17" s="1295"/>
      <c r="B17" s="1295"/>
      <c r="C17" s="1295"/>
      <c r="D17" s="1295"/>
      <c r="E17" s="8913"/>
      <c r="F17" s="1295"/>
      <c r="G17" s="1295"/>
      <c r="H17" s="1295"/>
      <c r="I17" s="1295"/>
      <c r="J17" s="1295"/>
      <c r="K17" s="1295"/>
      <c r="L17" s="1295"/>
      <c r="M17" s="1298"/>
      <c r="N17" s="1300"/>
      <c r="O17" s="1300"/>
      <c r="P17" s="272"/>
      <c r="Q17" s="1239"/>
      <c r="R17" s="1240"/>
      <c r="S17" s="1239"/>
      <c r="T17" s="1239"/>
      <c r="U17" s="1245"/>
      <c r="V17" s="1248" t="s">
        <v>315</v>
      </c>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S17" s="703"/>
      <c r="AT17" s="703" t="str">
        <f t="shared" si="1"/>
        <v>Добавить территорию для дифференциации</v>
      </c>
      <c r="AU17" s="703"/>
      <c r="AV17" s="703"/>
    </row>
    <row r="18" spans="1:48" ht="14.25" hidden="1" customHeight="1">
      <c r="AF18" s="249"/>
      <c r="AO18" s="249"/>
    </row>
    <row r="19" spans="1:48" ht="14.25" hidden="1" customHeight="1">
      <c r="AG19" s="1281"/>
      <c r="AH19" s="1281"/>
      <c r="AI19" s="1281"/>
      <c r="AJ19" s="1281"/>
      <c r="AK19" s="1282"/>
      <c r="AL19" s="8888"/>
      <c r="AM19" s="8889" t="s">
        <v>63</v>
      </c>
      <c r="AN19" s="8888"/>
      <c r="AO19" s="8889" t="s">
        <v>63</v>
      </c>
    </row>
    <row r="20" spans="1:48" ht="14.25" hidden="1" customHeight="1">
      <c r="AG20" s="1281"/>
      <c r="AH20" s="1281"/>
      <c r="AI20" s="1281"/>
      <c r="AJ20" s="1281"/>
      <c r="AK20" s="1282"/>
      <c r="AL20" s="8888"/>
      <c r="AM20" s="8889"/>
      <c r="AN20" s="8888"/>
      <c r="AO20" s="8889"/>
    </row>
    <row r="21" spans="1:48" ht="14.25" hidden="1" customHeight="1">
      <c r="AG21" s="1281"/>
      <c r="AH21" s="1281"/>
      <c r="AI21" s="1281"/>
      <c r="AJ21" s="1281"/>
      <c r="AK21" s="1282"/>
      <c r="AL21" s="8888"/>
      <c r="AM21" s="8889"/>
      <c r="AN21" s="8888"/>
      <c r="AO21" s="8889"/>
    </row>
    <row r="22" spans="1:48" ht="14.25" hidden="1" customHeight="1">
      <c r="AG22" s="1281"/>
      <c r="AH22" s="1281"/>
      <c r="AI22" s="1281"/>
      <c r="AJ22" s="1281"/>
      <c r="AK22" s="250" t="str">
        <f>AL19&amp;"-"&amp;AN19</f>
        <v>-</v>
      </c>
      <c r="AL22" s="8889"/>
      <c r="AM22" s="8889"/>
      <c r="AN22" s="8889"/>
      <c r="AO22" s="8889"/>
    </row>
    <row r="23" spans="1:48" ht="14.25" hidden="1" customHeight="1">
      <c r="AO23" s="249"/>
    </row>
    <row r="24" spans="1:48" s="1287" customFormat="1" ht="22.5" hidden="1" customHeight="1">
      <c r="A24" s="1060"/>
      <c r="B24" s="1060"/>
      <c r="C24" s="1060"/>
      <c r="D24" s="1060"/>
      <c r="E24" s="1060"/>
      <c r="F24" s="1060"/>
      <c r="G24" s="1060"/>
      <c r="H24" s="1060"/>
      <c r="I24" s="1060"/>
      <c r="J24" s="1060"/>
      <c r="K24" s="1060"/>
      <c r="L24" s="1060"/>
      <c r="M24" s="1249"/>
      <c r="N24" s="1250"/>
      <c r="O24" s="1250"/>
      <c r="P24" s="1267" t="s">
        <v>880</v>
      </c>
      <c r="Q24" s="1283"/>
      <c r="R24" s="1292"/>
      <c r="S24" s="1292"/>
      <c r="T24" s="1292"/>
      <c r="U24" s="646"/>
      <c r="AC24" s="1288"/>
      <c r="AE24" s="1288"/>
      <c r="AL24" s="1288"/>
      <c r="AN24" s="1288"/>
      <c r="AR24" s="435"/>
      <c r="AS24" s="435"/>
      <c r="AT24" s="435"/>
      <c r="AU24" s="435"/>
      <c r="AV24" s="435"/>
    </row>
    <row r="25" spans="1:48" s="1287" customFormat="1" ht="14.25" hidden="1" customHeight="1">
      <c r="A25" s="1060"/>
      <c r="B25" s="1060"/>
      <c r="C25" s="1060"/>
      <c r="D25" s="1060"/>
      <c r="E25" s="1060"/>
      <c r="F25" s="1060"/>
      <c r="G25" s="1060"/>
      <c r="H25" s="1060"/>
      <c r="I25" s="1060"/>
      <c r="J25" s="1060"/>
      <c r="K25" s="1060"/>
      <c r="L25" s="1060"/>
      <c r="M25" s="1249"/>
      <c r="N25" s="1250"/>
      <c r="O25" s="1250"/>
      <c r="P25" s="1250"/>
      <c r="Q25" s="1283"/>
      <c r="R25" s="1292"/>
      <c r="S25" s="1292"/>
      <c r="T25" s="1292"/>
      <c r="U25" s="646"/>
      <c r="AR25" s="435"/>
      <c r="AS25" s="435"/>
      <c r="AT25" s="435"/>
      <c r="AU25" s="435"/>
      <c r="AV25" s="435"/>
    </row>
    <row r="26" spans="1:48" s="1287" customFormat="1" ht="14.25" hidden="1" customHeight="1">
      <c r="A26" s="1060"/>
      <c r="B26" s="1060"/>
      <c r="C26" s="1060"/>
      <c r="D26" s="1060"/>
      <c r="E26" s="1060"/>
      <c r="F26" s="1060"/>
      <c r="G26" s="1060"/>
      <c r="H26" s="1060"/>
      <c r="I26" s="1060"/>
      <c r="J26" s="1060"/>
      <c r="K26" s="1060"/>
      <c r="L26" s="1060"/>
      <c r="M26" s="1249"/>
      <c r="N26" s="1250"/>
      <c r="O26" s="1250"/>
      <c r="P26" s="1233" t="s">
        <v>881</v>
      </c>
      <c r="Q26" s="1283"/>
      <c r="R26" s="1292"/>
      <c r="S26" s="1292"/>
      <c r="T26" s="1292"/>
      <c r="U26" s="646"/>
      <c r="V26" s="1065" t="s">
        <v>882</v>
      </c>
      <c r="AD26" s="104" t="s">
        <v>883</v>
      </c>
      <c r="AF26" s="104" t="s">
        <v>884</v>
      </c>
      <c r="AG26" s="1065" t="s">
        <v>882</v>
      </c>
      <c r="AM26" s="104" t="s">
        <v>885</v>
      </c>
      <c r="AO26" s="104" t="s">
        <v>884</v>
      </c>
      <c r="AR26" s="435"/>
      <c r="AS26" s="435"/>
      <c r="AT26" s="435"/>
      <c r="AU26" s="435"/>
      <c r="AV26" s="435"/>
    </row>
    <row r="27" spans="1:48" ht="14.25" hidden="1" customHeight="1">
      <c r="P27" s="1233"/>
    </row>
    <row r="28" spans="1:48" ht="14.25" hidden="1" customHeight="1">
      <c r="P28" s="1233"/>
    </row>
    <row r="29" spans="1:48" ht="14.25" customHeight="1">
      <c r="R29" s="300"/>
      <c r="S29" s="300"/>
      <c r="T29" s="300"/>
      <c r="U29" s="1200"/>
      <c r="V29" s="286"/>
      <c r="W29" s="286"/>
      <c r="X29" s="433"/>
      <c r="Y29" s="433"/>
      <c r="Z29" s="433"/>
      <c r="AA29" s="433"/>
      <c r="AB29" s="433"/>
      <c r="AC29" s="433"/>
      <c r="AD29" s="433"/>
      <c r="AE29" s="433"/>
      <c r="AF29" s="433"/>
      <c r="AG29" s="433"/>
      <c r="AH29" s="433"/>
      <c r="AI29" s="433"/>
      <c r="AJ29" s="433"/>
      <c r="AK29" s="433"/>
      <c r="AL29" s="433"/>
      <c r="AM29" s="433"/>
      <c r="AN29" s="433"/>
      <c r="AO29" s="433"/>
    </row>
    <row r="30" spans="1:48" ht="54" customHeight="1">
      <c r="R30" s="300"/>
      <c r="S30" s="300"/>
      <c r="T30" s="300"/>
      <c r="U30" s="88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8867"/>
      <c r="W30" s="8867"/>
      <c r="X30" s="8867"/>
      <c r="Y30" s="8867"/>
      <c r="Z30" s="8867"/>
      <c r="AA30" s="8867"/>
      <c r="AB30" s="8867"/>
      <c r="AC30" s="8867"/>
      <c r="AD30" s="8867"/>
      <c r="AE30" s="8867"/>
      <c r="AF30" s="8867"/>
      <c r="AG30" s="8867"/>
      <c r="AH30" s="8867"/>
      <c r="AI30" s="8867"/>
      <c r="AJ30" s="8867"/>
      <c r="AK30" s="8867"/>
      <c r="AL30" s="8867"/>
      <c r="AM30" s="8867"/>
      <c r="AN30" s="8867"/>
      <c r="AO30" s="1157"/>
    </row>
    <row r="31" spans="1:48" ht="14.25" customHeight="1">
      <c r="R31" s="300"/>
      <c r="S31" s="300"/>
      <c r="T31" s="300"/>
      <c r="U31" s="8814" t="str">
        <f>IF(org=0,"Не определено",org)</f>
        <v>ГУП СК "Ставрополькрайводоканал"</v>
      </c>
      <c r="V31" s="8814"/>
      <c r="W31" s="8814"/>
      <c r="X31" s="8814"/>
      <c r="Y31" s="8814"/>
      <c r="Z31" s="8814"/>
      <c r="AA31" s="8814"/>
      <c r="AB31" s="8814"/>
      <c r="AC31" s="8814"/>
      <c r="AD31" s="8814"/>
      <c r="AE31" s="8814"/>
      <c r="AF31" s="8814"/>
      <c r="AG31" s="8814"/>
      <c r="AH31" s="8814"/>
      <c r="AI31" s="8814"/>
      <c r="AJ31" s="8814"/>
      <c r="AK31" s="8814"/>
      <c r="AL31" s="8814"/>
      <c r="AM31" s="8814"/>
      <c r="AN31" s="8814"/>
      <c r="AO31" s="1157"/>
    </row>
    <row r="32" spans="1:48" ht="14.25" hidden="1" customHeight="1">
      <c r="R32" s="300"/>
      <c r="S32" s="300"/>
      <c r="T32" s="300"/>
      <c r="U32" s="1200"/>
      <c r="V32" s="286"/>
      <c r="W32" s="286"/>
      <c r="X32" s="242"/>
      <c r="Y32" s="242"/>
      <c r="Z32" s="242"/>
      <c r="AA32" s="242"/>
      <c r="AB32" s="242"/>
      <c r="AC32" s="242"/>
      <c r="AD32" s="242"/>
      <c r="AE32" s="242"/>
      <c r="AF32" s="242"/>
      <c r="AG32" s="242"/>
      <c r="AH32" s="242"/>
      <c r="AI32" s="242"/>
      <c r="AJ32" s="242"/>
      <c r="AK32" s="242"/>
      <c r="AL32" s="242"/>
      <c r="AM32" s="242"/>
      <c r="AN32" s="242"/>
      <c r="AO32" s="242"/>
      <c r="AP32" s="433"/>
    </row>
    <row r="33" spans="1:48" s="1771" customFormat="1" ht="25.5" hidden="1" customHeight="1">
      <c r="A33" s="1163"/>
      <c r="B33" s="1163"/>
      <c r="C33" s="1163"/>
      <c r="D33" s="1163"/>
      <c r="E33" s="1163"/>
      <c r="F33" s="1163"/>
      <c r="G33" s="1163"/>
      <c r="H33" s="1163"/>
      <c r="I33" s="1163"/>
      <c r="J33" s="1163"/>
      <c r="K33" s="1163"/>
      <c r="L33" s="1163"/>
      <c r="M33" s="1301"/>
      <c r="N33" s="1163"/>
      <c r="O33" s="1163"/>
      <c r="P33" s="1163"/>
      <c r="U33" s="8875" t="s">
        <v>38</v>
      </c>
      <c r="V33" s="8875"/>
      <c r="W33" s="1293"/>
      <c r="X33" s="8876" t="str">
        <f>IF(TITLE_NAME_OR_PR_CHANGE="",IF(TITLE_NAME_OR_PR="","",TITLE_NAME_OR_PR),TITLE_NAME_OR_PR_CHANGE)</f>
        <v/>
      </c>
      <c r="Y33" s="8876"/>
      <c r="Z33" s="8876"/>
      <c r="AA33" s="8876"/>
      <c r="AB33" s="8876"/>
      <c r="AC33" s="8876"/>
      <c r="AD33" s="8876"/>
      <c r="AE33" s="8876"/>
      <c r="AF33" s="248"/>
      <c r="AG33" s="8876" t="str">
        <f>IF(TITLE_NAME_OR_PR_CHANGE="",IF(TITLE_NAME_OR_PR="","",TITLE_NAME_OR_PR),TITLE_NAME_OR_PR_CHANGE)</f>
        <v/>
      </c>
      <c r="AH33" s="8876"/>
      <c r="AI33" s="8876"/>
      <c r="AJ33" s="8876"/>
      <c r="AK33" s="8876"/>
      <c r="AL33" s="8876"/>
      <c r="AM33" s="8876"/>
      <c r="AN33" s="8876"/>
      <c r="AO33" s="248"/>
      <c r="AP33" s="248"/>
      <c r="AQ33" s="196"/>
      <c r="AR33" s="292"/>
      <c r="AS33" s="292"/>
      <c r="AT33" s="292"/>
      <c r="AU33" s="292"/>
      <c r="AV33" s="292"/>
    </row>
    <row r="34" spans="1:48" s="1771" customFormat="1" ht="18.75" hidden="1" customHeight="1">
      <c r="A34" s="1163"/>
      <c r="B34" s="1163"/>
      <c r="C34" s="1163"/>
      <c r="D34" s="1163"/>
      <c r="E34" s="1163"/>
      <c r="F34" s="1163"/>
      <c r="G34" s="1163"/>
      <c r="H34" s="1163"/>
      <c r="I34" s="1163"/>
      <c r="J34" s="1163"/>
      <c r="K34" s="1163"/>
      <c r="L34" s="1163"/>
      <c r="M34" s="1301"/>
      <c r="N34" s="1163"/>
      <c r="O34" s="1163"/>
      <c r="P34" s="1163"/>
      <c r="U34" s="8875" t="s">
        <v>886</v>
      </c>
      <c r="V34" s="8875"/>
      <c r="W34" s="1293"/>
      <c r="X34" s="8885">
        <f>IF(TITLE_DATE_PR_CHANGE="",IF(TITLE_DATE_PR="","",TITLE_DATE_PR),TITLE_DATE_PR_CHANGE)</f>
        <v>45281.411851851852</v>
      </c>
      <c r="Y34" s="8885"/>
      <c r="Z34" s="8885"/>
      <c r="AA34" s="8885"/>
      <c r="AB34" s="8885"/>
      <c r="AC34" s="8885"/>
      <c r="AD34" s="8885"/>
      <c r="AE34" s="8885"/>
      <c r="AF34" s="248"/>
      <c r="AG34" s="8885">
        <f>IF(TITLE_DATE_PR_CHANGE="",IF(TITLE_DATE_PR="","",TITLE_DATE_PR),TITLE_DATE_PR_CHANGE)</f>
        <v>45281.411851851852</v>
      </c>
      <c r="AH34" s="8885"/>
      <c r="AI34" s="8885"/>
      <c r="AJ34" s="8885"/>
      <c r="AK34" s="8885"/>
      <c r="AL34" s="8885"/>
      <c r="AM34" s="8885"/>
      <c r="AN34" s="8885"/>
      <c r="AO34" s="248"/>
      <c r="AP34" s="248"/>
      <c r="AQ34" s="196"/>
      <c r="AR34" s="292"/>
      <c r="AS34" s="292"/>
      <c r="AT34" s="292"/>
      <c r="AU34" s="292"/>
      <c r="AV34" s="292"/>
    </row>
    <row r="35" spans="1:48" s="1771" customFormat="1" ht="18.75" hidden="1" customHeight="1">
      <c r="A35" s="1163"/>
      <c r="B35" s="1163"/>
      <c r="C35" s="1163"/>
      <c r="D35" s="1163"/>
      <c r="E35" s="1163"/>
      <c r="F35" s="1163"/>
      <c r="G35" s="1163"/>
      <c r="H35" s="1163"/>
      <c r="I35" s="1163"/>
      <c r="J35" s="1163"/>
      <c r="K35" s="1163"/>
      <c r="L35" s="1163"/>
      <c r="M35" s="1301"/>
      <c r="N35" s="1163"/>
      <c r="O35" s="1163"/>
      <c r="P35" s="1163"/>
      <c r="U35" s="8875" t="s">
        <v>887</v>
      </c>
      <c r="V35" s="8875"/>
      <c r="W35" s="1293"/>
      <c r="X35" s="8876" t="str">
        <f>IF(TITLE_NUMBER_PR_CHANGE="",IF(TITLE_NUMBER_PR="","",TITLE_NUMBER_PR),TITLE_NUMBER_PR_CHANGE)</f>
        <v>06-11/11398</v>
      </c>
      <c r="Y35" s="8876"/>
      <c r="Z35" s="8876"/>
      <c r="AA35" s="8876"/>
      <c r="AB35" s="8876"/>
      <c r="AC35" s="8876"/>
      <c r="AD35" s="8876"/>
      <c r="AE35" s="8876"/>
      <c r="AF35" s="248"/>
      <c r="AG35" s="8876" t="str">
        <f>IF(TITLE_NUMBER_PR_CHANGE="",IF(TITLE_NUMBER_PR="","",TITLE_NUMBER_PR),TITLE_NUMBER_PR_CHANGE)</f>
        <v>06-11/11398</v>
      </c>
      <c r="AH35" s="8876"/>
      <c r="AI35" s="8876"/>
      <c r="AJ35" s="8876"/>
      <c r="AK35" s="8876"/>
      <c r="AL35" s="8876"/>
      <c r="AM35" s="8876"/>
      <c r="AN35" s="8876"/>
      <c r="AO35" s="248"/>
      <c r="AP35" s="248"/>
      <c r="AQ35" s="196"/>
      <c r="AR35" s="292"/>
      <c r="AS35" s="292"/>
      <c r="AT35" s="292"/>
      <c r="AU35" s="292"/>
      <c r="AV35" s="292"/>
    </row>
    <row r="36" spans="1:48" s="1771" customFormat="1" ht="18.75" hidden="1" customHeight="1">
      <c r="A36" s="1163"/>
      <c r="B36" s="1163"/>
      <c r="C36" s="1163"/>
      <c r="D36" s="1163"/>
      <c r="E36" s="1163"/>
      <c r="F36" s="1163"/>
      <c r="G36" s="1163"/>
      <c r="H36" s="1163"/>
      <c r="I36" s="1163"/>
      <c r="J36" s="1163"/>
      <c r="K36" s="1163"/>
      <c r="L36" s="1163"/>
      <c r="M36" s="1301"/>
      <c r="N36" s="1163"/>
      <c r="O36" s="1163"/>
      <c r="P36" s="1163"/>
      <c r="U36" s="8875" t="s">
        <v>39</v>
      </c>
      <c r="V36" s="8875"/>
      <c r="W36" s="1293"/>
      <c r="X36" s="8876" t="str">
        <f>IF(TITLE_IST_PUB_CHANGE="",IF(TITLE_IST_PUB="","",TITLE_IST_PUB),TITLE_IST_PUB_CHANGE)</f>
        <v/>
      </c>
      <c r="Y36" s="8876"/>
      <c r="Z36" s="8876"/>
      <c r="AA36" s="8876"/>
      <c r="AB36" s="8876"/>
      <c r="AC36" s="8876"/>
      <c r="AD36" s="8876"/>
      <c r="AE36" s="8876"/>
      <c r="AF36" s="248"/>
      <c r="AG36" s="8876" t="str">
        <f>IF(TITLE_IST_PUB_CHANGE="",IF(TITLE_IST_PUB="","",TITLE_IST_PUB),TITLE_IST_PUB_CHANGE)</f>
        <v/>
      </c>
      <c r="AH36" s="8876"/>
      <c r="AI36" s="8876"/>
      <c r="AJ36" s="8876"/>
      <c r="AK36" s="8876"/>
      <c r="AL36" s="8876"/>
      <c r="AM36" s="8876"/>
      <c r="AN36" s="8876"/>
      <c r="AO36" s="248"/>
      <c r="AP36" s="248"/>
      <c r="AQ36" s="196"/>
      <c r="AR36" s="292"/>
      <c r="AS36" s="292"/>
      <c r="AT36" s="292"/>
      <c r="AU36" s="292"/>
      <c r="AV36" s="292"/>
    </row>
    <row r="37" spans="1:48" ht="14.25" customHeight="1">
      <c r="R37" s="300"/>
      <c r="S37" s="300"/>
      <c r="T37" s="300"/>
      <c r="U37" s="1200"/>
      <c r="V37" s="286"/>
      <c r="W37" s="286"/>
      <c r="X37" s="242"/>
      <c r="Y37" s="242"/>
      <c r="Z37" s="242"/>
      <c r="AA37" s="242"/>
      <c r="AB37" s="242"/>
      <c r="AC37" s="242"/>
      <c r="AD37" s="242"/>
      <c r="AE37" s="242"/>
      <c r="AF37" s="242"/>
      <c r="AG37" s="242"/>
      <c r="AH37" s="242"/>
      <c r="AI37" s="242"/>
      <c r="AJ37" s="242"/>
      <c r="AK37" s="242"/>
      <c r="AL37" s="242"/>
      <c r="AM37" s="242"/>
      <c r="AN37" s="242"/>
      <c r="AO37" s="242"/>
      <c r="AP37" s="433"/>
    </row>
    <row r="38" spans="1:48" s="1771" customFormat="1" ht="18.75" customHeight="1">
      <c r="A38" s="1163"/>
      <c r="B38" s="1163"/>
      <c r="C38" s="1163"/>
      <c r="D38" s="1163"/>
      <c r="E38" s="1163"/>
      <c r="F38" s="1163"/>
      <c r="G38" s="1163"/>
      <c r="H38" s="1163"/>
      <c r="I38" s="1163"/>
      <c r="J38" s="1163"/>
      <c r="K38" s="1163"/>
      <c r="L38" s="1163"/>
      <c r="M38" s="1301"/>
      <c r="N38" s="1163"/>
      <c r="O38" s="1163"/>
      <c r="P38" s="1163"/>
      <c r="U38" s="8875" t="s">
        <v>888</v>
      </c>
      <c r="V38" s="8875"/>
      <c r="W38" s="1293"/>
      <c r="X38" s="8885">
        <f>IF(TITLE_DATE_PR_CHANGE="",IF(TITLE_DATE_PR="","",TITLE_DATE_PR),TITLE_DATE_PR_CHANGE)</f>
        <v>45281.411851851852</v>
      </c>
      <c r="Y38" s="8885"/>
      <c r="Z38" s="8885"/>
      <c r="AA38" s="8885"/>
      <c r="AB38" s="8885"/>
      <c r="AC38" s="8885"/>
      <c r="AD38" s="8885"/>
      <c r="AE38" s="8885"/>
      <c r="AF38" s="248"/>
      <c r="AG38" s="8885">
        <f>IF(TITLE_DATE_PR_CHANGE="",IF(TITLE_DATE_PR="","",TITLE_DATE_PR),TITLE_DATE_PR_CHANGE)</f>
        <v>45281.411851851852</v>
      </c>
      <c r="AH38" s="8885"/>
      <c r="AI38" s="8885"/>
      <c r="AJ38" s="8885"/>
      <c r="AK38" s="8885"/>
      <c r="AL38" s="8885"/>
      <c r="AM38" s="8885"/>
      <c r="AN38" s="8885"/>
      <c r="AO38" s="248"/>
      <c r="AP38" s="248"/>
      <c r="AQ38" s="196"/>
      <c r="AR38" s="292"/>
      <c r="AS38" s="292"/>
      <c r="AT38" s="292"/>
      <c r="AU38" s="292"/>
      <c r="AV38" s="292"/>
    </row>
    <row r="39" spans="1:48" s="1771" customFormat="1" ht="18.75" customHeight="1">
      <c r="A39" s="1163"/>
      <c r="B39" s="1163"/>
      <c r="C39" s="1163"/>
      <c r="D39" s="1163"/>
      <c r="E39" s="1163"/>
      <c r="F39" s="1163"/>
      <c r="G39" s="1163"/>
      <c r="H39" s="1163"/>
      <c r="I39" s="1163"/>
      <c r="J39" s="1163"/>
      <c r="K39" s="1163"/>
      <c r="L39" s="1163"/>
      <c r="M39" s="1301"/>
      <c r="N39" s="1163"/>
      <c r="O39" s="1163"/>
      <c r="P39" s="1163"/>
      <c r="U39" s="8875" t="s">
        <v>889</v>
      </c>
      <c r="V39" s="8875"/>
      <c r="W39" s="1293"/>
      <c r="X39" s="8876" t="str">
        <f>IF(TITLE_NUMBER_PR_CHANGE="",IF(TITLE_NUMBER_PR="","",TITLE_NUMBER_PR),TITLE_NUMBER_PR_CHANGE)</f>
        <v>06-11/11398</v>
      </c>
      <c r="Y39" s="8876"/>
      <c r="Z39" s="8876"/>
      <c r="AA39" s="8876"/>
      <c r="AB39" s="8876"/>
      <c r="AC39" s="8876"/>
      <c r="AD39" s="8876"/>
      <c r="AE39" s="8876"/>
      <c r="AF39" s="248"/>
      <c r="AG39" s="8876" t="str">
        <f>IF(TITLE_NUMBER_PR_CHANGE="",IF(TITLE_NUMBER_PR="","",TITLE_NUMBER_PR),TITLE_NUMBER_PR_CHANGE)</f>
        <v>06-11/11398</v>
      </c>
      <c r="AH39" s="8876"/>
      <c r="AI39" s="8876"/>
      <c r="AJ39" s="8876"/>
      <c r="AK39" s="8876"/>
      <c r="AL39" s="8876"/>
      <c r="AM39" s="8876"/>
      <c r="AN39" s="8876"/>
      <c r="AO39" s="248"/>
      <c r="AP39" s="248"/>
      <c r="AQ39" s="196"/>
      <c r="AR39" s="292"/>
      <c r="AS39" s="292"/>
      <c r="AT39" s="292"/>
      <c r="AU39" s="292"/>
      <c r="AV39" s="292"/>
    </row>
    <row r="40" spans="1:48" s="1771" customFormat="1" ht="0" hidden="1" customHeight="1">
      <c r="A40" s="1163"/>
      <c r="B40" s="1163"/>
      <c r="C40" s="1163"/>
      <c r="D40" s="1163"/>
      <c r="E40" s="1163"/>
      <c r="F40" s="1163"/>
      <c r="G40" s="1163"/>
      <c r="H40" s="1163"/>
      <c r="I40" s="1163"/>
      <c r="J40" s="1163"/>
      <c r="K40" s="1163"/>
      <c r="L40" s="1163"/>
      <c r="M40" s="1301"/>
      <c r="N40" s="1163"/>
      <c r="O40" s="1163"/>
      <c r="P40" s="1163"/>
      <c r="U40" s="244"/>
      <c r="V40" s="244"/>
      <c r="W40" s="1262"/>
      <c r="X40" s="248"/>
      <c r="Y40" s="248"/>
      <c r="Z40" s="248"/>
      <c r="AA40" s="248"/>
      <c r="AB40" s="248"/>
      <c r="AC40" s="248"/>
      <c r="AD40" s="248"/>
      <c r="AE40" s="248"/>
      <c r="AF40" s="194" t="s">
        <v>890</v>
      </c>
      <c r="AG40" s="248"/>
      <c r="AH40" s="248"/>
      <c r="AI40" s="248"/>
      <c r="AJ40" s="248"/>
      <c r="AK40" s="248"/>
      <c r="AL40" s="248"/>
      <c r="AM40" s="248"/>
      <c r="AN40" s="248"/>
      <c r="AO40" s="194" t="s">
        <v>890</v>
      </c>
      <c r="AR40" s="292"/>
      <c r="AS40" s="292"/>
      <c r="AT40" s="292"/>
      <c r="AU40" s="292"/>
      <c r="AV40" s="292"/>
    </row>
    <row r="41" spans="1:48" ht="14.25" customHeight="1">
      <c r="R41" s="300"/>
      <c r="S41" s="300"/>
      <c r="T41" s="300"/>
      <c r="U41" s="1200"/>
      <c r="V41" s="286"/>
      <c r="W41" s="1158"/>
      <c r="X41" s="8877"/>
      <c r="Y41" s="8877"/>
      <c r="Z41" s="8877"/>
      <c r="AA41" s="8877"/>
      <c r="AB41" s="8877"/>
      <c r="AC41" s="8877"/>
      <c r="AD41" s="8877"/>
      <c r="AE41" s="8877"/>
      <c r="AF41" s="8877"/>
      <c r="AG41" s="8877"/>
      <c r="AH41" s="8877"/>
      <c r="AI41" s="8877"/>
      <c r="AJ41" s="8877"/>
      <c r="AK41" s="8877"/>
      <c r="AL41" s="8877"/>
      <c r="AM41" s="8877"/>
      <c r="AN41" s="8877"/>
      <c r="AO41" s="8877"/>
    </row>
    <row r="42" spans="1:48" ht="14.25" customHeight="1">
      <c r="R42" s="300"/>
      <c r="S42" s="300"/>
      <c r="T42" s="300"/>
      <c r="U42" s="8753" t="s">
        <v>763</v>
      </c>
      <c r="V42" s="8753"/>
      <c r="W42" s="8753"/>
      <c r="X42" s="8753"/>
      <c r="Y42" s="8753"/>
      <c r="Z42" s="8753"/>
      <c r="AA42" s="8753"/>
      <c r="AB42" s="8753"/>
      <c r="AC42" s="8753"/>
      <c r="AD42" s="8753"/>
      <c r="AE42" s="8753"/>
      <c r="AF42" s="8753"/>
      <c r="AG42" s="8753"/>
      <c r="AH42" s="8753"/>
      <c r="AI42" s="8753"/>
      <c r="AJ42" s="8753"/>
      <c r="AK42" s="8753"/>
      <c r="AL42" s="8753"/>
      <c r="AM42" s="8753"/>
      <c r="AN42" s="8753"/>
      <c r="AO42" s="8753"/>
      <c r="AP42" s="8753"/>
      <c r="AQ42" s="8753" t="s">
        <v>764</v>
      </c>
    </row>
    <row r="43" spans="1:48" ht="14.25" customHeight="1">
      <c r="R43" s="300"/>
      <c r="S43" s="300"/>
      <c r="T43" s="300"/>
      <c r="U43" s="8891" t="s">
        <v>84</v>
      </c>
      <c r="V43" s="8843" t="s">
        <v>891</v>
      </c>
      <c r="W43" s="215"/>
      <c r="X43" s="8892" t="s">
        <v>892</v>
      </c>
      <c r="Y43" s="8907"/>
      <c r="Z43" s="8907"/>
      <c r="AA43" s="8907"/>
      <c r="AB43" s="8907"/>
      <c r="AC43" s="8893"/>
      <c r="AD43" s="8893"/>
      <c r="AE43" s="8894"/>
      <c r="AF43" s="8895" t="s">
        <v>893</v>
      </c>
      <c r="AG43" s="8892" t="s">
        <v>892</v>
      </c>
      <c r="AH43" s="8907"/>
      <c r="AI43" s="8907"/>
      <c r="AJ43" s="8907"/>
      <c r="AK43" s="8907"/>
      <c r="AL43" s="8893"/>
      <c r="AM43" s="8893"/>
      <c r="AN43" s="8894"/>
      <c r="AO43" s="8895" t="s">
        <v>894</v>
      </c>
      <c r="AP43" s="8898" t="s">
        <v>895</v>
      </c>
      <c r="AQ43" s="8753"/>
    </row>
    <row r="44" spans="1:48" ht="33.75" customHeight="1">
      <c r="R44" s="300"/>
      <c r="S44" s="300"/>
      <c r="T44" s="300"/>
      <c r="U44" s="8891"/>
      <c r="V44" s="8843"/>
      <c r="W44" s="942"/>
      <c r="X44" s="8828" t="s">
        <v>916</v>
      </c>
      <c r="Y44" s="8753" t="s">
        <v>917</v>
      </c>
      <c r="Z44" s="8753"/>
      <c r="AA44" s="8753"/>
      <c r="AB44" s="8753"/>
      <c r="AC44" s="8828" t="s">
        <v>899</v>
      </c>
      <c r="AD44" s="8916"/>
      <c r="AE44" s="8829"/>
      <c r="AF44" s="8896"/>
      <c r="AG44" s="8828" t="s">
        <v>916</v>
      </c>
      <c r="AH44" s="8753" t="s">
        <v>917</v>
      </c>
      <c r="AI44" s="8753"/>
      <c r="AJ44" s="8753"/>
      <c r="AK44" s="8753"/>
      <c r="AL44" s="8828" t="s">
        <v>899</v>
      </c>
      <c r="AM44" s="8916"/>
      <c r="AN44" s="8829"/>
      <c r="AO44" s="8896"/>
      <c r="AP44" s="8899"/>
      <c r="AQ44" s="8753"/>
    </row>
    <row r="45" spans="1:48" ht="14.25" customHeight="1">
      <c r="R45" s="300"/>
      <c r="S45" s="300"/>
      <c r="T45" s="300"/>
      <c r="U45" s="8891"/>
      <c r="V45" s="8843"/>
      <c r="W45" s="942"/>
      <c r="X45" s="8830"/>
      <c r="Y45" s="8856" t="s">
        <v>918</v>
      </c>
      <c r="Z45" s="8851" t="s">
        <v>919</v>
      </c>
      <c r="AA45" s="8852"/>
      <c r="AB45" s="8853"/>
      <c r="AC45" s="8833"/>
      <c r="AD45" s="8917"/>
      <c r="AE45" s="8834"/>
      <c r="AF45" s="8896"/>
      <c r="AG45" s="8830"/>
      <c r="AH45" s="8856" t="s">
        <v>918</v>
      </c>
      <c r="AI45" s="8851" t="s">
        <v>919</v>
      </c>
      <c r="AJ45" s="8852"/>
      <c r="AK45" s="8853"/>
      <c r="AL45" s="8833"/>
      <c r="AM45" s="8917"/>
      <c r="AN45" s="8834"/>
      <c r="AO45" s="8896"/>
      <c r="AP45" s="8899"/>
      <c r="AQ45" s="8753"/>
    </row>
    <row r="46" spans="1:48" ht="25.5" customHeight="1">
      <c r="R46" s="300"/>
      <c r="S46" s="300"/>
      <c r="T46" s="300"/>
      <c r="U46" s="8891"/>
      <c r="V46" s="8843"/>
      <c r="W46" s="942"/>
      <c r="X46" s="8830"/>
      <c r="Y46" s="8918"/>
      <c r="Z46" s="8856" t="s">
        <v>920</v>
      </c>
      <c r="AA46" s="8851" t="s">
        <v>921</v>
      </c>
      <c r="AB46" s="8853"/>
      <c r="AC46" s="8856" t="s">
        <v>909</v>
      </c>
      <c r="AD46" s="8858" t="s">
        <v>910</v>
      </c>
      <c r="AE46" s="8860"/>
      <c r="AF46" s="8896"/>
      <c r="AG46" s="8830"/>
      <c r="AH46" s="8918"/>
      <c r="AI46" s="8856" t="s">
        <v>920</v>
      </c>
      <c r="AJ46" s="8851" t="s">
        <v>921</v>
      </c>
      <c r="AK46" s="8853"/>
      <c r="AL46" s="8856" t="s">
        <v>909</v>
      </c>
      <c r="AM46" s="8858" t="s">
        <v>910</v>
      </c>
      <c r="AN46" s="8860"/>
      <c r="AO46" s="8896"/>
      <c r="AP46" s="8899"/>
      <c r="AQ46" s="8753"/>
    </row>
    <row r="47" spans="1:48" ht="62.25" customHeight="1">
      <c r="A47" s="1184"/>
      <c r="B47" s="1184" t="s">
        <v>223</v>
      </c>
      <c r="C47" s="1184" t="s">
        <v>224</v>
      </c>
      <c r="D47" s="1184" t="s">
        <v>225</v>
      </c>
      <c r="E47" s="1233" t="s">
        <v>900</v>
      </c>
      <c r="F47" s="1233" t="s">
        <v>901</v>
      </c>
      <c r="G47" s="1233" t="s">
        <v>902</v>
      </c>
      <c r="H47" s="1233" t="s">
        <v>903</v>
      </c>
      <c r="I47" s="1233" t="s">
        <v>904</v>
      </c>
      <c r="J47" s="1233" t="s">
        <v>905</v>
      </c>
      <c r="K47" s="1233" t="s">
        <v>906</v>
      </c>
      <c r="L47" s="1233" t="s">
        <v>922</v>
      </c>
      <c r="M47" s="1233" t="s">
        <v>881</v>
      </c>
      <c r="R47" s="300"/>
      <c r="S47" s="300"/>
      <c r="T47" s="300"/>
      <c r="U47" s="8891"/>
      <c r="V47" s="8843"/>
      <c r="W47" s="216"/>
      <c r="X47" s="8833"/>
      <c r="Y47" s="8857"/>
      <c r="Z47" s="8857"/>
      <c r="AA47" s="1133" t="s">
        <v>923</v>
      </c>
      <c r="AB47" s="1133" t="s">
        <v>924</v>
      </c>
      <c r="AC47" s="8857"/>
      <c r="AD47" s="8859"/>
      <c r="AE47" s="8861"/>
      <c r="AF47" s="8897"/>
      <c r="AG47" s="8833"/>
      <c r="AH47" s="8857"/>
      <c r="AI47" s="8857"/>
      <c r="AJ47" s="1133" t="s">
        <v>923</v>
      </c>
      <c r="AK47" s="1133" t="s">
        <v>924</v>
      </c>
      <c r="AL47" s="8857"/>
      <c r="AM47" s="8859"/>
      <c r="AN47" s="8861"/>
      <c r="AO47" s="8897"/>
      <c r="AP47" s="8900"/>
      <c r="AQ47" s="8753"/>
    </row>
    <row r="48" spans="1:48" s="1561" customFormat="1" ht="11.25" hidden="1" customHeight="1">
      <c r="A48" s="1184"/>
      <c r="B48" s="1184"/>
      <c r="C48" s="1184"/>
      <c r="D48" s="1184"/>
      <c r="E48" s="1184"/>
      <c r="F48" s="1184"/>
      <c r="G48" s="1184"/>
      <c r="H48" s="1184"/>
      <c r="I48" s="1184"/>
      <c r="J48" s="1184"/>
      <c r="K48" s="1184"/>
      <c r="L48" s="1184"/>
      <c r="M48" s="1233"/>
      <c r="N48" s="1250"/>
      <c r="O48" s="1250"/>
      <c r="P48" s="1250"/>
      <c r="Q48" s="1160"/>
      <c r="R48" s="1161"/>
      <c r="S48" s="1176">
        <v>1</v>
      </c>
      <c r="T48" s="1176"/>
      <c r="U48" s="1202" t="s">
        <v>95</v>
      </c>
      <c r="V48" s="1177" t="s">
        <v>99</v>
      </c>
      <c r="W48" s="1159" t="str">
        <f ca="1">OFFSET(W48,0,-1)</f>
        <v>2</v>
      </c>
      <c r="X48" s="1257">
        <f ca="1">OFFSET(X48,0,-1)+1</f>
        <v>3</v>
      </c>
      <c r="Y48" s="1263"/>
      <c r="Z48" s="1263"/>
      <c r="AA48" s="1263">
        <f ca="1">OFFSET(AA48,0,-1)+1</f>
        <v>1</v>
      </c>
      <c r="AB48" s="1263">
        <f ca="1">OFFSET(AB48,0,-1)+1</f>
        <v>2</v>
      </c>
      <c r="AC48" s="1257">
        <f ca="1">OFFSET(AC48,0,-1)+1</f>
        <v>3</v>
      </c>
      <c r="AD48" s="8890">
        <f ca="1">OFFSET(AD48,0,-1)+1</f>
        <v>4</v>
      </c>
      <c r="AE48" s="8890"/>
      <c r="AF48" s="1257">
        <f ca="1">OFFSET(AF48,0,-2)+1</f>
        <v>5</v>
      </c>
      <c r="AG48" s="1257">
        <f ca="1">OFFSET(AG48,0,-1)+1</f>
        <v>6</v>
      </c>
      <c r="AH48" s="1257"/>
      <c r="AI48" s="1257"/>
      <c r="AJ48" s="1257">
        <f ca="1">OFFSET(AJ48,0,-1)+1</f>
        <v>1</v>
      </c>
      <c r="AK48" s="1257">
        <f ca="1">OFFSET(AK48,0,-1)+1</f>
        <v>2</v>
      </c>
      <c r="AL48" s="1257">
        <f ca="1">OFFSET(AL48,0,-1)+1</f>
        <v>3</v>
      </c>
      <c r="AM48" s="8890">
        <f ca="1">OFFSET(AM48,0,-1)+1</f>
        <v>4</v>
      </c>
      <c r="AN48" s="8890"/>
      <c r="AO48" s="1257">
        <f ca="1">OFFSET(AO48,0,-2)+1</f>
        <v>5</v>
      </c>
      <c r="AP48" s="1159">
        <f ca="1">OFFSET(AP48,0,-1)</f>
        <v>5</v>
      </c>
      <c r="AQ48" s="1257">
        <f ca="1">OFFSET(AQ48,0,-1)+1</f>
        <v>6</v>
      </c>
      <c r="AR48" s="435"/>
      <c r="AS48" s="435"/>
      <c r="AT48" s="435"/>
      <c r="AU48" s="435"/>
      <c r="AV48" s="435"/>
    </row>
    <row r="49" spans="1:48" ht="21" customHeight="1">
      <c r="A49" s="1191" t="s">
        <v>256</v>
      </c>
      <c r="B49" s="1191"/>
      <c r="C49" s="1191"/>
      <c r="D49" s="1191"/>
      <c r="E49" s="8913">
        <v>1</v>
      </c>
      <c r="F49" s="1191"/>
      <c r="G49" s="1191"/>
      <c r="H49" s="1191"/>
      <c r="I49" s="1191"/>
      <c r="J49" s="1191"/>
      <c r="K49" s="1191"/>
      <c r="L49" s="1191"/>
      <c r="M49" s="1233"/>
      <c r="N49" s="606"/>
      <c r="O49" s="606"/>
      <c r="P49" s="606"/>
      <c r="Q49" s="282"/>
      <c r="R49" s="281"/>
      <c r="S49" s="281"/>
      <c r="T49" s="276"/>
      <c r="U49" s="1258">
        <f>INDEX(PT_DIFFERENTIATION_NUM_NTAR,MATCH(A49,PT_DIFFERENTIATION_NTAR_ID,0))</f>
        <v>0</v>
      </c>
      <c r="V49" s="212" t="s">
        <v>211</v>
      </c>
      <c r="W49" s="214"/>
      <c r="X49" s="8869"/>
      <c r="Y49" s="8870"/>
      <c r="Z49" s="8870"/>
      <c r="AA49" s="8870"/>
      <c r="AB49" s="8870"/>
      <c r="AC49" s="8870"/>
      <c r="AD49" s="8870"/>
      <c r="AE49" s="8870"/>
      <c r="AF49" s="8871"/>
      <c r="AG49" s="8869" t="str">
        <f>INDEX(PT_DIFFERENTIATION_NTAR,MATCH(A49,PT_DIFFERENTIATION_NTAR_ID,0))</f>
        <v/>
      </c>
      <c r="AH49" s="8870"/>
      <c r="AI49" s="8870"/>
      <c r="AJ49" s="8870"/>
      <c r="AK49" s="8870"/>
      <c r="AL49" s="8870"/>
      <c r="AM49" s="8870"/>
      <c r="AN49" s="8870"/>
      <c r="AO49" s="8870"/>
      <c r="AP49" s="8871"/>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24"/>
      <c r="AT49" s="424" t="str">
        <f t="shared" ref="AT49:AT65" si="2">IF(V49="","",V49)</f>
        <v>Наименование тарифа</v>
      </c>
      <c r="AU49" s="424"/>
      <c r="AV49" s="424"/>
    </row>
    <row r="50" spans="1:48" ht="21" customHeight="1">
      <c r="A50" s="1191" t="s">
        <v>256</v>
      </c>
      <c r="B50" s="1191" t="s">
        <v>257</v>
      </c>
      <c r="C50" s="1191"/>
      <c r="D50" s="1191"/>
      <c r="E50" s="8914"/>
      <c r="F50" s="8913">
        <v>1</v>
      </c>
      <c r="G50" s="1191"/>
      <c r="H50" s="1191"/>
      <c r="I50" s="1191"/>
      <c r="J50" s="1191"/>
      <c r="K50" s="1191"/>
      <c r="L50" s="1191"/>
      <c r="M50" s="1233"/>
      <c r="N50" s="606"/>
      <c r="O50" s="606"/>
      <c r="P50" s="606"/>
      <c r="Q50" s="1254"/>
      <c r="R50" s="273"/>
      <c r="S50" s="433"/>
      <c r="T50" s="274"/>
      <c r="U50" s="1258" t="str">
        <f>INDEX(PT_DIFFERENTIATION_NUM_TER,MATCH(B50,PT_DIFFERENTIATION_TER_ID,0))</f>
        <v>.</v>
      </c>
      <c r="V50" s="224" t="s">
        <v>862</v>
      </c>
      <c r="W50" s="214"/>
      <c r="X50" s="8869"/>
      <c r="Y50" s="8870"/>
      <c r="Z50" s="8870"/>
      <c r="AA50" s="8870"/>
      <c r="AB50" s="8870"/>
      <c r="AC50" s="8870"/>
      <c r="AD50" s="8870"/>
      <c r="AE50" s="8870"/>
      <c r="AF50" s="8871"/>
      <c r="AG50" s="8869" t="str">
        <f>INDEX(PT_DIFFERENTIATION_TER,MATCH(B50,PT_DIFFERENTIATION_TER_ID,0))</f>
        <v/>
      </c>
      <c r="AH50" s="8870"/>
      <c r="AI50" s="8870"/>
      <c r="AJ50" s="8870"/>
      <c r="AK50" s="8870"/>
      <c r="AL50" s="8870"/>
      <c r="AM50" s="8870"/>
      <c r="AN50" s="8870"/>
      <c r="AO50" s="8870"/>
      <c r="AP50" s="8871"/>
      <c r="AQ50" s="1182" t="s">
        <v>863</v>
      </c>
      <c r="AS50" s="424"/>
      <c r="AT50" s="424" t="str">
        <f t="shared" si="2"/>
        <v>Территория действия тарифа</v>
      </c>
      <c r="AU50" s="424"/>
      <c r="AV50" s="424"/>
    </row>
    <row r="51" spans="1:48" ht="22.5" customHeight="1">
      <c r="A51" s="1191" t="s">
        <v>256</v>
      </c>
      <c r="B51" s="1191" t="s">
        <v>257</v>
      </c>
      <c r="C51" s="1191" t="s">
        <v>258</v>
      </c>
      <c r="D51" s="1191"/>
      <c r="E51" s="8914"/>
      <c r="F51" s="8914"/>
      <c r="G51" s="8913">
        <v>1</v>
      </c>
      <c r="H51" s="1191"/>
      <c r="I51" s="1191"/>
      <c r="J51" s="1191"/>
      <c r="K51" s="1191"/>
      <c r="L51" s="1191"/>
      <c r="M51" s="1233"/>
      <c r="N51" s="606"/>
      <c r="O51" s="606"/>
      <c r="P51" s="606"/>
      <c r="Q51" s="275"/>
      <c r="R51" s="273"/>
      <c r="S51" s="433"/>
      <c r="T51" s="274"/>
      <c r="U51" s="1258" t="str">
        <f>INDEX(PT_DIFFERENTIATION_NUM_CS,MATCH(C51,PT_DIFFERENTIATION_CS_ID,0))</f>
        <v>..</v>
      </c>
      <c r="V51" s="225" t="s">
        <v>864</v>
      </c>
      <c r="W51" s="214"/>
      <c r="X51" s="8869"/>
      <c r="Y51" s="8870"/>
      <c r="Z51" s="8870"/>
      <c r="AA51" s="8870"/>
      <c r="AB51" s="8870"/>
      <c r="AC51" s="8870"/>
      <c r="AD51" s="8870"/>
      <c r="AE51" s="8870"/>
      <c r="AF51" s="8871"/>
      <c r="AG51" s="8869" t="str">
        <f>INDEX(PT_DIFFERENTIATION_CS,MATCH(C51,PT_DIFFERENTIATION_CS_ID,0))</f>
        <v/>
      </c>
      <c r="AH51" s="8870"/>
      <c r="AI51" s="8870"/>
      <c r="AJ51" s="8870"/>
      <c r="AK51" s="8870"/>
      <c r="AL51" s="8870"/>
      <c r="AM51" s="8870"/>
      <c r="AN51" s="8870"/>
      <c r="AO51" s="8870"/>
      <c r="AP51" s="8871"/>
      <c r="AQ51" s="1182" t="s">
        <v>865</v>
      </c>
      <c r="AS51" s="424"/>
      <c r="AT51" s="424" t="str">
        <f t="shared" si="2"/>
        <v xml:space="preserve">Наименование системы теплоснабжения </v>
      </c>
      <c r="AU51" s="424"/>
      <c r="AV51" s="424"/>
    </row>
    <row r="52" spans="1:48" ht="21" customHeight="1">
      <c r="A52" s="1191" t="s">
        <v>256</v>
      </c>
      <c r="B52" s="1191" t="s">
        <v>257</v>
      </c>
      <c r="C52" s="1191" t="s">
        <v>258</v>
      </c>
      <c r="D52" s="1191" t="s">
        <v>259</v>
      </c>
      <c r="E52" s="8914"/>
      <c r="F52" s="8914"/>
      <c r="G52" s="8914"/>
      <c r="H52" s="8913">
        <v>1</v>
      </c>
      <c r="I52" s="1191"/>
      <c r="J52" s="1191"/>
      <c r="K52" s="1191"/>
      <c r="L52" s="1191"/>
      <c r="M52" s="1233"/>
      <c r="N52" s="606"/>
      <c r="O52" s="606"/>
      <c r="P52" s="606"/>
      <c r="Q52" s="275"/>
      <c r="R52" s="273"/>
      <c r="S52" s="433"/>
      <c r="T52" s="274"/>
      <c r="U52" s="1258" t="str">
        <f>INDEX(PT_DIFFERENTIATION_NUM_IST_TE,MATCH(D52,PT_DIFFERENTIATION_IST_TE_ID,0))</f>
        <v>...</v>
      </c>
      <c r="V52" s="226" t="s">
        <v>866</v>
      </c>
      <c r="W52" s="214"/>
      <c r="X52" s="8869"/>
      <c r="Y52" s="8870"/>
      <c r="Z52" s="8870"/>
      <c r="AA52" s="8870"/>
      <c r="AB52" s="8870"/>
      <c r="AC52" s="8870"/>
      <c r="AD52" s="8870"/>
      <c r="AE52" s="8870"/>
      <c r="AF52" s="8871"/>
      <c r="AG52" s="8869" t="str">
        <f>INDEX(PT_DIFFERENTIATION_IST_TE,MATCH(D52,PT_DIFFERENTIATION_IST_TE_ID,0))</f>
        <v/>
      </c>
      <c r="AH52" s="8870"/>
      <c r="AI52" s="8870"/>
      <c r="AJ52" s="8870"/>
      <c r="AK52" s="8870"/>
      <c r="AL52" s="8870"/>
      <c r="AM52" s="8870"/>
      <c r="AN52" s="8870"/>
      <c r="AO52" s="8870"/>
      <c r="AP52" s="8871"/>
      <c r="AQ52" s="1182" t="s">
        <v>867</v>
      </c>
      <c r="AS52" s="424"/>
      <c r="AT52" s="424" t="str">
        <f t="shared" si="2"/>
        <v xml:space="preserve">Источник тепловой энергии  </v>
      </c>
      <c r="AU52" s="424"/>
      <c r="AV52" s="424"/>
    </row>
    <row r="53" spans="1:48" s="1562" customFormat="1" ht="0" hidden="1" customHeight="1">
      <c r="A53" s="1296" t="s">
        <v>256</v>
      </c>
      <c r="B53" s="1296" t="s">
        <v>257</v>
      </c>
      <c r="C53" s="1296" t="s">
        <v>258</v>
      </c>
      <c r="D53" s="1296" t="s">
        <v>259</v>
      </c>
      <c r="E53" s="8914"/>
      <c r="F53" s="8914"/>
      <c r="G53" s="8914"/>
      <c r="H53" s="8914"/>
      <c r="I53" s="8753" t="str">
        <f>U52&amp;".1"</f>
        <v>....1</v>
      </c>
      <c r="J53" s="1296"/>
      <c r="K53" s="1296"/>
      <c r="L53" s="1296"/>
      <c r="M53" s="1302" t="s">
        <v>868</v>
      </c>
      <c r="N53" s="1160"/>
      <c r="O53" s="1160"/>
      <c r="P53" s="1160"/>
      <c r="Q53" s="8882">
        <v>1</v>
      </c>
      <c r="R53" s="1253"/>
      <c r="S53" s="1253"/>
      <c r="T53" s="277"/>
      <c r="U53" s="953"/>
      <c r="V53" s="1304"/>
      <c r="W53" s="1305"/>
      <c r="X53" s="8910"/>
      <c r="Y53" s="8911"/>
      <c r="Z53" s="8911"/>
      <c r="AA53" s="8911"/>
      <c r="AB53" s="8911"/>
      <c r="AC53" s="8911"/>
      <c r="AD53" s="8911"/>
      <c r="AE53" s="8911"/>
      <c r="AF53" s="8912"/>
      <c r="AG53" s="8910"/>
      <c r="AH53" s="8911"/>
      <c r="AI53" s="8911"/>
      <c r="AJ53" s="8911"/>
      <c r="AK53" s="8911"/>
      <c r="AL53" s="8911"/>
      <c r="AM53" s="8911"/>
      <c r="AN53" s="8911"/>
      <c r="AO53" s="8911"/>
      <c r="AP53" s="8912"/>
      <c r="AQ53" s="1306"/>
      <c r="AS53" s="424"/>
      <c r="AT53" s="424" t="str">
        <f t="shared" si="2"/>
        <v/>
      </c>
      <c r="AU53" s="424"/>
      <c r="AV53" s="424"/>
    </row>
    <row r="54" spans="1:48" ht="21" customHeight="1">
      <c r="A54" s="1191" t="s">
        <v>256</v>
      </c>
      <c r="B54" s="1191" t="s">
        <v>257</v>
      </c>
      <c r="C54" s="1191" t="s">
        <v>258</v>
      </c>
      <c r="D54" s="1191" t="s">
        <v>259</v>
      </c>
      <c r="E54" s="8914"/>
      <c r="F54" s="8914"/>
      <c r="G54" s="8914"/>
      <c r="H54" s="8914"/>
      <c r="I54" s="8724"/>
      <c r="J54" s="8753" t="str">
        <f>I53&amp;".1"</f>
        <v>....1.1</v>
      </c>
      <c r="K54" s="1191"/>
      <c r="L54" s="1191"/>
      <c r="M54" s="1233" t="s">
        <v>871</v>
      </c>
      <c r="Q54" s="8882"/>
      <c r="R54" s="8882">
        <v>1</v>
      </c>
      <c r="S54" s="442"/>
      <c r="T54" s="278"/>
      <c r="U54" s="1258" t="str">
        <f>$J54</f>
        <v>....1.1</v>
      </c>
      <c r="V54" s="201" t="s">
        <v>872</v>
      </c>
      <c r="W54" s="214"/>
      <c r="X54" s="8872"/>
      <c r="Y54" s="8873"/>
      <c r="Z54" s="8873"/>
      <c r="AA54" s="8873"/>
      <c r="AB54" s="8873"/>
      <c r="AC54" s="8865"/>
      <c r="AD54" s="8865"/>
      <c r="AE54" s="8865"/>
      <c r="AF54" s="8915"/>
      <c r="AG54" s="8872"/>
      <c r="AH54" s="8873"/>
      <c r="AI54" s="8873"/>
      <c r="AJ54" s="8873"/>
      <c r="AK54" s="8873"/>
      <c r="AL54" s="8873"/>
      <c r="AM54" s="8873"/>
      <c r="AN54" s="8873"/>
      <c r="AO54" s="8873"/>
      <c r="AP54" s="8874"/>
      <c r="AQ54" s="1182" t="s">
        <v>873</v>
      </c>
      <c r="AS54" s="424"/>
      <c r="AT54" s="424" t="str">
        <f t="shared" si="2"/>
        <v>Группа потребителей</v>
      </c>
      <c r="AU54" s="424"/>
      <c r="AV54" s="424"/>
    </row>
    <row r="55" spans="1:48" ht="21" customHeight="1">
      <c r="A55" s="1191" t="s">
        <v>256</v>
      </c>
      <c r="B55" s="1191" t="s">
        <v>257</v>
      </c>
      <c r="C55" s="1191" t="s">
        <v>258</v>
      </c>
      <c r="D55" s="1191" t="s">
        <v>259</v>
      </c>
      <c r="E55" s="8914"/>
      <c r="F55" s="8914"/>
      <c r="G55" s="8914"/>
      <c r="H55" s="8914"/>
      <c r="I55" s="8724"/>
      <c r="J55" s="8724"/>
      <c r="K55" s="8753" t="str">
        <f>J54&amp;".1"</f>
        <v>....1.1.1</v>
      </c>
      <c r="L55" s="61"/>
      <c r="M55" s="1233" t="s">
        <v>874</v>
      </c>
      <c r="Q55" s="8882"/>
      <c r="R55" s="8882"/>
      <c r="S55" s="442">
        <v>1</v>
      </c>
      <c r="T55" s="278"/>
      <c r="U55" s="1258" t="str">
        <f>$K55</f>
        <v>....1.1.1</v>
      </c>
      <c r="V55" s="1269"/>
      <c r="W55" s="214"/>
      <c r="X55" s="666"/>
      <c r="Y55" s="666"/>
      <c r="Z55" s="666"/>
      <c r="AA55" s="666"/>
      <c r="AB55" s="1326"/>
      <c r="AC55" s="8886"/>
      <c r="AD55" s="8734" t="s">
        <v>63</v>
      </c>
      <c r="AE55" s="8886"/>
      <c r="AF55" s="8734" t="s">
        <v>63</v>
      </c>
      <c r="AG55" s="1328"/>
      <c r="AH55" s="666"/>
      <c r="AI55" s="666"/>
      <c r="AJ55" s="666"/>
      <c r="AK55" s="1181"/>
      <c r="AL55" s="8886"/>
      <c r="AM55" s="8734" t="s">
        <v>63</v>
      </c>
      <c r="AN55" s="8886"/>
      <c r="AO55" s="8734" t="s">
        <v>63</v>
      </c>
      <c r="AP55" s="1270"/>
      <c r="AQ55" s="1231" t="s">
        <v>913</v>
      </c>
      <c r="AR55" s="435" t="e">
        <f ca="1">STRCHECKDATE(X57:AP57)</f>
        <v>#NAME?</v>
      </c>
      <c r="AS55" s="424"/>
      <c r="AT55" s="424" t="str">
        <f t="shared" si="2"/>
        <v/>
      </c>
      <c r="AU55" s="424"/>
      <c r="AV55" s="424"/>
    </row>
    <row r="56" spans="1:48" ht="11.25" customHeight="1">
      <c r="A56" s="1191" t="s">
        <v>256</v>
      </c>
      <c r="B56" s="1191" t="s">
        <v>257</v>
      </c>
      <c r="C56" s="1191" t="s">
        <v>258</v>
      </c>
      <c r="D56" s="1191" t="s">
        <v>259</v>
      </c>
      <c r="E56" s="8914"/>
      <c r="F56" s="8914"/>
      <c r="G56" s="8914"/>
      <c r="H56" s="8914"/>
      <c r="I56" s="8724"/>
      <c r="J56" s="8724"/>
      <c r="K56" s="8724"/>
      <c r="L56" s="8753" t="str">
        <f>K55&amp;".1"</f>
        <v>....1.1.1.1</v>
      </c>
      <c r="M56" s="1233"/>
      <c r="Q56" s="8882"/>
      <c r="R56" s="8882"/>
      <c r="S56" s="442">
        <v>1</v>
      </c>
      <c r="T56" s="278"/>
      <c r="U56" s="1258" t="str">
        <f>$L56</f>
        <v>....1.1.1.1</v>
      </c>
      <c r="V56" s="1312"/>
      <c r="W56" s="214"/>
      <c r="X56" s="246"/>
      <c r="Y56" s="666"/>
      <c r="Z56" s="666"/>
      <c r="AA56" s="666"/>
      <c r="AB56" s="1326"/>
      <c r="AC56" s="8887"/>
      <c r="AD56" s="8734"/>
      <c r="AE56" s="8887"/>
      <c r="AF56" s="8734"/>
      <c r="AG56" s="1328"/>
      <c r="AH56" s="666"/>
      <c r="AI56" s="666"/>
      <c r="AJ56" s="666"/>
      <c r="AK56" s="1181"/>
      <c r="AL56" s="8887"/>
      <c r="AM56" s="8734"/>
      <c r="AN56" s="8887"/>
      <c r="AO56" s="8734"/>
      <c r="AP56" s="1270"/>
      <c r="AQ56" s="8878" t="s">
        <v>914</v>
      </c>
      <c r="AR56" s="435" t="e">
        <f ca="1">STRCHECKDATE(X58:AP58)</f>
        <v>#NAME?</v>
      </c>
      <c r="AS56" s="424"/>
      <c r="AT56" s="424" t="str">
        <f t="shared" si="2"/>
        <v/>
      </c>
      <c r="AU56" s="424"/>
      <c r="AV56" s="424"/>
    </row>
    <row r="57" spans="1:48" ht="0" hidden="1" customHeight="1">
      <c r="A57" s="1191" t="s">
        <v>256</v>
      </c>
      <c r="B57" s="1191" t="s">
        <v>257</v>
      </c>
      <c r="C57" s="1191" t="s">
        <v>258</v>
      </c>
      <c r="D57" s="1191" t="s">
        <v>259</v>
      </c>
      <c r="E57" s="8914"/>
      <c r="F57" s="8914"/>
      <c r="G57" s="8914"/>
      <c r="H57" s="8914"/>
      <c r="I57" s="8724"/>
      <c r="J57" s="8724"/>
      <c r="K57" s="8724"/>
      <c r="L57" s="8753"/>
      <c r="M57" s="1233"/>
      <c r="Q57" s="8882"/>
      <c r="R57" s="8882"/>
      <c r="S57" s="442"/>
      <c r="T57" s="278"/>
      <c r="U57" s="1264"/>
      <c r="V57" s="214"/>
      <c r="W57" s="214"/>
      <c r="X57" s="246"/>
      <c r="Y57" s="246"/>
      <c r="Z57" s="246"/>
      <c r="AA57" s="246"/>
      <c r="AB57" s="1327" t="str">
        <f>AC55&amp;"-"&amp;AE55</f>
        <v>-</v>
      </c>
      <c r="AC57" s="8887"/>
      <c r="AD57" s="8734"/>
      <c r="AE57" s="8887"/>
      <c r="AF57" s="8734"/>
      <c r="AG57" s="1303"/>
      <c r="AH57" s="246"/>
      <c r="AI57" s="246"/>
      <c r="AJ57" s="246"/>
      <c r="AK57" s="250" t="str">
        <f>AL55&amp;"-"&amp;AN55</f>
        <v>-</v>
      </c>
      <c r="AL57" s="8887"/>
      <c r="AM57" s="8734"/>
      <c r="AN57" s="8887"/>
      <c r="AO57" s="8734"/>
      <c r="AP57" s="1271"/>
      <c r="AQ57" s="8879"/>
      <c r="AS57" s="424"/>
      <c r="AT57" s="424" t="str">
        <f t="shared" si="2"/>
        <v/>
      </c>
      <c r="AU57" s="424"/>
      <c r="AV57" s="424"/>
    </row>
    <row r="58" spans="1:48" ht="11.25" customHeight="1">
      <c r="A58" s="1191" t="s">
        <v>256</v>
      </c>
      <c r="B58" s="1191" t="s">
        <v>257</v>
      </c>
      <c r="C58" s="1191" t="s">
        <v>258</v>
      </c>
      <c r="D58" s="1191" t="s">
        <v>259</v>
      </c>
      <c r="E58" s="8914"/>
      <c r="F58" s="8914"/>
      <c r="G58" s="8914"/>
      <c r="H58" s="8914"/>
      <c r="I58" s="8724"/>
      <c r="J58" s="8724"/>
      <c r="K58" s="8753"/>
      <c r="L58" s="1191"/>
      <c r="M58" s="1233"/>
      <c r="Q58" s="8882"/>
      <c r="R58" s="8882"/>
      <c r="S58" s="1253"/>
      <c r="T58" s="277"/>
      <c r="U58" s="1203"/>
      <c r="V58" s="203" t="s">
        <v>915</v>
      </c>
      <c r="W58" s="291"/>
      <c r="X58" s="291"/>
      <c r="Y58" s="291"/>
      <c r="Z58" s="291"/>
      <c r="AA58" s="291"/>
      <c r="AB58" s="291"/>
      <c r="AC58" s="8887"/>
      <c r="AD58" s="8734"/>
      <c r="AE58" s="8887"/>
      <c r="AF58" s="8734"/>
      <c r="AG58" s="291"/>
      <c r="AH58" s="291"/>
      <c r="AI58" s="291"/>
      <c r="AJ58" s="291"/>
      <c r="AK58" s="291"/>
      <c r="AL58" s="8887"/>
      <c r="AM58" s="8734"/>
      <c r="AN58" s="8887"/>
      <c r="AO58" s="8734"/>
      <c r="AP58" s="245"/>
      <c r="AQ58" s="8879"/>
      <c r="AS58" s="424"/>
      <c r="AT58" s="424" t="str">
        <f t="shared" si="2"/>
        <v>Добавить наименование поставщика</v>
      </c>
      <c r="AU58" s="424"/>
      <c r="AV58" s="424"/>
    </row>
    <row r="59" spans="1:48" ht="11.25" customHeight="1">
      <c r="A59" s="1191" t="s">
        <v>256</v>
      </c>
      <c r="B59" s="1191" t="s">
        <v>257</v>
      </c>
      <c r="C59" s="1191" t="s">
        <v>258</v>
      </c>
      <c r="D59" s="1191" t="s">
        <v>259</v>
      </c>
      <c r="E59" s="8914"/>
      <c r="F59" s="8914"/>
      <c r="G59" s="8914"/>
      <c r="H59" s="8914"/>
      <c r="I59" s="8724"/>
      <c r="J59" s="8753"/>
      <c r="K59" s="1191"/>
      <c r="L59" s="1191"/>
      <c r="M59" s="1233"/>
      <c r="Q59" s="8882"/>
      <c r="R59" s="8882"/>
      <c r="S59" s="1253"/>
      <c r="T59" s="277"/>
      <c r="U59" s="1203"/>
      <c r="V59" s="202" t="s">
        <v>876</v>
      </c>
      <c r="W59" s="291"/>
      <c r="X59" s="291"/>
      <c r="Y59" s="291"/>
      <c r="Z59" s="291"/>
      <c r="AA59" s="291"/>
      <c r="AB59" s="291"/>
      <c r="AC59" s="1329"/>
      <c r="AD59" s="1329"/>
      <c r="AE59" s="1329"/>
      <c r="AF59" s="1329"/>
      <c r="AG59" s="291"/>
      <c r="AH59" s="291"/>
      <c r="AI59" s="291"/>
      <c r="AJ59" s="291"/>
      <c r="AK59" s="291"/>
      <c r="AL59" s="291"/>
      <c r="AM59" s="291"/>
      <c r="AN59" s="291"/>
      <c r="AO59" s="291"/>
      <c r="AP59" s="245"/>
      <c r="AQ59" s="8880"/>
      <c r="AS59" s="424"/>
      <c r="AT59" s="424" t="str">
        <f t="shared" si="2"/>
        <v>Добавить вид теплоносителя (параметры теплоносителя)</v>
      </c>
      <c r="AU59" s="424"/>
      <c r="AV59" s="424"/>
    </row>
    <row r="60" spans="1:48" ht="11.25" customHeight="1">
      <c r="A60" s="1191" t="s">
        <v>256</v>
      </c>
      <c r="B60" s="1191" t="s">
        <v>257</v>
      </c>
      <c r="C60" s="1191" t="s">
        <v>258</v>
      </c>
      <c r="D60" s="1191" t="s">
        <v>259</v>
      </c>
      <c r="E60" s="8914"/>
      <c r="F60" s="8914"/>
      <c r="G60" s="8914"/>
      <c r="H60" s="8914"/>
      <c r="I60" s="8753"/>
      <c r="J60" s="1191"/>
      <c r="K60" s="1191"/>
      <c r="L60" s="1191"/>
      <c r="M60" s="1233"/>
      <c r="Q60" s="8882"/>
      <c r="R60" s="1253"/>
      <c r="S60" s="1253"/>
      <c r="T60" s="277"/>
      <c r="U60" s="1203"/>
      <c r="V60" s="288" t="s">
        <v>877</v>
      </c>
      <c r="W60" s="291"/>
      <c r="X60" s="291"/>
      <c r="Y60" s="291"/>
      <c r="Z60" s="291"/>
      <c r="AA60" s="291"/>
      <c r="AB60" s="291"/>
      <c r="AC60" s="291"/>
      <c r="AD60" s="291"/>
      <c r="AE60" s="291"/>
      <c r="AF60" s="290"/>
      <c r="AG60" s="291"/>
      <c r="AH60" s="291"/>
      <c r="AI60" s="291"/>
      <c r="AJ60" s="291"/>
      <c r="AK60" s="291"/>
      <c r="AL60" s="291"/>
      <c r="AM60" s="291"/>
      <c r="AN60" s="291"/>
      <c r="AO60" s="290"/>
      <c r="AP60" s="291"/>
      <c r="AQ60" s="217"/>
      <c r="AS60" s="424"/>
      <c r="AT60" s="424" t="str">
        <f t="shared" si="2"/>
        <v>Добавить группу потребителей</v>
      </c>
      <c r="AU60" s="424"/>
      <c r="AV60" s="424"/>
    </row>
    <row r="61" spans="1:48" ht="0" hidden="1" customHeight="1">
      <c r="A61" s="1191" t="s">
        <v>256</v>
      </c>
      <c r="B61" s="1191" t="s">
        <v>257</v>
      </c>
      <c r="C61" s="1191" t="s">
        <v>258</v>
      </c>
      <c r="D61" s="1191" t="s">
        <v>259</v>
      </c>
      <c r="E61" s="8914"/>
      <c r="F61" s="8914"/>
      <c r="G61" s="8914"/>
      <c r="H61" s="8913"/>
      <c r="I61" s="1191"/>
      <c r="J61" s="1191"/>
      <c r="K61" s="1191"/>
      <c r="L61" s="1191"/>
      <c r="M61" s="1233"/>
      <c r="N61" s="606"/>
      <c r="O61" s="606"/>
      <c r="P61" s="433"/>
      <c r="Q61" s="281"/>
      <c r="R61" s="299"/>
      <c r="S61" s="276"/>
      <c r="T61" s="281"/>
      <c r="U61" s="1307"/>
      <c r="V61" s="1308"/>
      <c r="W61" s="1309"/>
      <c r="X61" s="1309"/>
      <c r="Y61" s="1309"/>
      <c r="Z61" s="1309"/>
      <c r="AA61" s="1309"/>
      <c r="AB61" s="1309"/>
      <c r="AC61" s="1309"/>
      <c r="AD61" s="1309"/>
      <c r="AE61" s="1309"/>
      <c r="AF61" s="1309"/>
      <c r="AG61" s="1309"/>
      <c r="AH61" s="1309"/>
      <c r="AI61" s="1309"/>
      <c r="AJ61" s="1309"/>
      <c r="AK61" s="1309"/>
      <c r="AL61" s="1309"/>
      <c r="AM61" s="1309"/>
      <c r="AN61" s="1309"/>
      <c r="AO61" s="1309"/>
      <c r="AP61" s="1309"/>
      <c r="AQ61" s="1310"/>
      <c r="AS61" s="424"/>
      <c r="AT61" s="424" t="str">
        <f t="shared" si="2"/>
        <v/>
      </c>
      <c r="AU61" s="424"/>
      <c r="AV61" s="424"/>
    </row>
    <row r="62" spans="1:48" s="1562" customFormat="1" ht="0" hidden="1" customHeight="1">
      <c r="A62" s="1296" t="s">
        <v>256</v>
      </c>
      <c r="B62" s="1296" t="s">
        <v>257</v>
      </c>
      <c r="C62" s="1296" t="s">
        <v>258</v>
      </c>
      <c r="D62" s="1295"/>
      <c r="E62" s="8914"/>
      <c r="F62" s="8914"/>
      <c r="G62" s="8913"/>
      <c r="H62" s="1295"/>
      <c r="I62" s="1295"/>
      <c r="J62" s="1295"/>
      <c r="K62" s="1295"/>
      <c r="L62" s="1295"/>
      <c r="M62" s="1298"/>
      <c r="N62" s="1299"/>
      <c r="O62" s="1299"/>
      <c r="P62" s="272"/>
      <c r="Q62" s="1239"/>
      <c r="R62" s="1240"/>
      <c r="S62" s="1239"/>
      <c r="T62" s="1239"/>
      <c r="U62" s="1245"/>
      <c r="V62" s="1248" t="s">
        <v>879</v>
      </c>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S62" s="703"/>
      <c r="AT62" s="703" t="str">
        <f t="shared" si="2"/>
        <v>Добавить источник для дифференциации</v>
      </c>
      <c r="AU62" s="703"/>
      <c r="AV62" s="703"/>
    </row>
    <row r="63" spans="1:48" s="1562" customFormat="1" ht="0" hidden="1" customHeight="1">
      <c r="A63" s="1296" t="s">
        <v>256</v>
      </c>
      <c r="B63" s="1296" t="s">
        <v>257</v>
      </c>
      <c r="C63" s="1295"/>
      <c r="D63" s="1295"/>
      <c r="E63" s="8914"/>
      <c r="F63" s="8913"/>
      <c r="G63" s="1295"/>
      <c r="H63" s="1295"/>
      <c r="I63" s="1295"/>
      <c r="J63" s="1295"/>
      <c r="K63" s="1295"/>
      <c r="L63" s="1295"/>
      <c r="M63" s="1298"/>
      <c r="N63" s="1300"/>
      <c r="O63" s="1300"/>
      <c r="P63" s="272"/>
      <c r="Q63" s="1239"/>
      <c r="R63" s="1240"/>
      <c r="S63" s="1239"/>
      <c r="T63" s="1239"/>
      <c r="U63" s="1245"/>
      <c r="V63" s="1248" t="s">
        <v>314</v>
      </c>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S63" s="703"/>
      <c r="AT63" s="703" t="str">
        <f t="shared" si="2"/>
        <v>Добавить централизованную систему для дифференциации</v>
      </c>
      <c r="AU63" s="703"/>
      <c r="AV63" s="703"/>
    </row>
    <row r="64" spans="1:48" s="1562" customFormat="1" ht="0" hidden="1" customHeight="1">
      <c r="A64" s="1296" t="s">
        <v>256</v>
      </c>
      <c r="B64" s="1296"/>
      <c r="C64" s="1296"/>
      <c r="D64" s="1296"/>
      <c r="E64" s="8913"/>
      <c r="F64" s="1296"/>
      <c r="G64" s="1296"/>
      <c r="H64" s="1296"/>
      <c r="I64" s="1296"/>
      <c r="J64" s="1296"/>
      <c r="K64" s="1296"/>
      <c r="L64" s="1296"/>
      <c r="M64" s="1302"/>
      <c r="N64" s="1300"/>
      <c r="O64" s="1300"/>
      <c r="P64" s="272"/>
      <c r="Q64" s="308"/>
      <c r="R64" s="1266"/>
      <c r="S64" s="308"/>
      <c r="T64" s="308"/>
      <c r="U64" s="1245"/>
      <c r="V64" s="1248" t="s">
        <v>315</v>
      </c>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S64" s="424"/>
      <c r="AT64" s="424" t="str">
        <f t="shared" si="2"/>
        <v>Добавить территорию для дифференциации</v>
      </c>
      <c r="AU64" s="424"/>
      <c r="AV64" s="424"/>
    </row>
    <row r="65" spans="1:48" s="1562" customFormat="1" ht="5.25" customHeight="1">
      <c r="A65" s="1295"/>
      <c r="B65" s="1295"/>
      <c r="C65" s="1295"/>
      <c r="D65" s="1295"/>
      <c r="E65" s="1296"/>
      <c r="F65" s="1295"/>
      <c r="G65" s="1295"/>
      <c r="H65" s="1295"/>
      <c r="I65" s="1295"/>
      <c r="J65" s="1295"/>
      <c r="K65" s="1295"/>
      <c r="L65" s="1295"/>
      <c r="M65" s="1298"/>
      <c r="N65" s="1300"/>
      <c r="O65" s="1300"/>
      <c r="P65" s="272"/>
      <c r="Q65" s="1239"/>
      <c r="R65" s="1240"/>
      <c r="S65" s="1239"/>
      <c r="T65" s="1239"/>
      <c r="U65" s="1245"/>
      <c r="V65" s="1248" t="s">
        <v>706</v>
      </c>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S65" s="703"/>
      <c r="AT65" s="703" t="str">
        <f t="shared" si="2"/>
        <v>Добавить наименование тарифа</v>
      </c>
      <c r="AU65" s="703"/>
      <c r="AV65" s="703"/>
    </row>
    <row r="66" spans="1:48" ht="11.25" customHeight="1">
      <c r="N66" s="1060"/>
      <c r="O66" s="1060"/>
      <c r="P66" s="433"/>
      <c r="Q66" s="1060"/>
      <c r="R66" s="1060"/>
      <c r="S66" s="1060"/>
      <c r="T66" s="1060"/>
      <c r="U66" s="1060"/>
      <c r="AR66" s="1060"/>
      <c r="AS66" s="1060"/>
      <c r="AT66" s="1060"/>
      <c r="AU66" s="1060"/>
      <c r="AV66" s="1060"/>
    </row>
    <row r="67" spans="1:48" ht="33.75" customHeight="1">
      <c r="P67" s="433"/>
      <c r="U67" s="1169"/>
      <c r="V67" s="8903"/>
      <c r="W67" s="8903"/>
      <c r="X67" s="8903"/>
      <c r="Y67" s="8903"/>
      <c r="Z67" s="8903"/>
      <c r="AA67" s="8903"/>
      <c r="AB67" s="8903"/>
      <c r="AC67" s="8903"/>
      <c r="AD67" s="8903"/>
      <c r="AE67" s="8903"/>
      <c r="AF67" s="8903"/>
      <c r="AG67" s="8903"/>
      <c r="AH67" s="8903"/>
      <c r="AI67" s="8903"/>
      <c r="AJ67" s="8903"/>
      <c r="AK67" s="8903"/>
      <c r="AL67" s="8903"/>
      <c r="AM67" s="8903"/>
      <c r="AN67" s="8903"/>
      <c r="AO67" s="8903"/>
      <c r="AP67" s="8903"/>
      <c r="AQ67" s="8903"/>
    </row>
    <row r="68" spans="1:48" ht="19.5" customHeight="1">
      <c r="P68" s="433"/>
      <c r="V68" s="8903"/>
      <c r="W68" s="8903"/>
      <c r="X68" s="8903"/>
      <c r="Y68" s="8903"/>
      <c r="Z68" s="8903"/>
      <c r="AA68" s="8903"/>
      <c r="AB68" s="8903"/>
      <c r="AC68" s="8903"/>
      <c r="AD68" s="8903"/>
      <c r="AE68" s="8903"/>
      <c r="AF68" s="8903"/>
      <c r="AG68" s="8903"/>
      <c r="AH68" s="8903"/>
      <c r="AI68" s="8903"/>
      <c r="AJ68" s="8903"/>
      <c r="AK68" s="8903"/>
      <c r="AL68" s="8903"/>
      <c r="AM68" s="8903"/>
      <c r="AN68" s="8903"/>
      <c r="AO68" s="8903"/>
      <c r="AP68" s="8903"/>
      <c r="AQ68" s="8903"/>
    </row>
    <row r="69" spans="1:48" ht="14.25" customHeight="1">
      <c r="P69" s="433"/>
    </row>
    <row r="70" spans="1:48" ht="27" customHeight="1">
      <c r="P70" s="433"/>
      <c r="V70" s="8903"/>
      <c r="W70" s="8903"/>
      <c r="X70" s="8903"/>
      <c r="Y70" s="8903"/>
      <c r="Z70" s="8903"/>
      <c r="AA70" s="8903"/>
      <c r="AB70" s="8903"/>
      <c r="AC70" s="8903"/>
      <c r="AD70" s="8903"/>
      <c r="AE70" s="8903"/>
      <c r="AF70" s="8903"/>
      <c r="AG70" s="8903"/>
      <c r="AH70" s="8903"/>
      <c r="AI70" s="8903"/>
      <c r="AJ70" s="8903"/>
      <c r="AK70" s="8903"/>
      <c r="AL70" s="8903"/>
      <c r="AM70" s="8903"/>
      <c r="AN70" s="8903"/>
      <c r="AO70" s="8903"/>
      <c r="AP70" s="8903"/>
      <c r="AQ70" s="8903"/>
    </row>
    <row r="71" spans="1:48" ht="18" customHeight="1">
      <c r="P71" s="433"/>
      <c r="V71" s="8903"/>
      <c r="W71" s="8903"/>
      <c r="X71" s="8903"/>
      <c r="Y71" s="8903"/>
      <c r="Z71" s="8903"/>
      <c r="AA71" s="8903"/>
      <c r="AB71" s="8903"/>
      <c r="AC71" s="8903"/>
      <c r="AD71" s="8903"/>
      <c r="AE71" s="8903"/>
      <c r="AF71" s="8903"/>
      <c r="AG71" s="8903"/>
      <c r="AH71" s="8903"/>
      <c r="AI71" s="8903"/>
      <c r="AJ71" s="8903"/>
      <c r="AK71" s="8903"/>
      <c r="AL71" s="8903"/>
      <c r="AM71" s="8903"/>
      <c r="AN71" s="8903"/>
      <c r="AO71" s="8903"/>
      <c r="AP71" s="8903"/>
      <c r="AQ71" s="8903"/>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4" customWidth="1"/>
    <col min="20" max="20" width="32" style="1555" customWidth="1"/>
    <col min="21" max="21" width="0.140625" style="1555" customWidth="1"/>
    <col min="22" max="23" width="21.7109375" style="1555" hidden="1" customWidth="1"/>
    <col min="24" max="24" width="11.7109375" style="1555" hidden="1" customWidth="1"/>
    <col min="25" max="25" width="3.7109375" style="1555" hidden="1" customWidth="1"/>
    <col min="26" max="26" width="11.7109375" style="1555" hidden="1" customWidth="1"/>
    <col min="27" max="27" width="8.5703125" style="1555" hidden="1" customWidth="1"/>
    <col min="28" max="28" width="5.42578125" style="1555" customWidth="1"/>
    <col min="29" max="30" width="3.7109375" style="1555" customWidth="1"/>
    <col min="31" max="31" width="24.7109375" style="1555" customWidth="1"/>
    <col min="32" max="34" width="3.7109375" style="1555" customWidth="1"/>
    <col min="35" max="35" width="24.7109375" style="1555" customWidth="1"/>
    <col min="36" max="38" width="3.7109375" style="1555" customWidth="1"/>
    <col min="39" max="39" width="18.85546875" style="1555" customWidth="1"/>
    <col min="40" max="41" width="21.7109375" style="1555" customWidth="1"/>
    <col min="42" max="42" width="11.7109375" style="1555" customWidth="1"/>
    <col min="43" max="43" width="3.7109375" style="1555" customWidth="1"/>
    <col min="44" max="44" width="11.7109375" style="1555" customWidth="1"/>
    <col min="45" max="45" width="8.5703125" style="1555" customWidth="1"/>
    <col min="46" max="46" width="4.7109375" style="1555" customWidth="1"/>
    <col min="47" max="47" width="115.7109375" style="1555" customWidth="1"/>
    <col min="48" max="49" width="10.5703125" style="1562"/>
    <col min="50" max="50" width="11.140625" style="1562" customWidth="1"/>
    <col min="51" max="52" width="10.5703125" style="1562"/>
  </cols>
  <sheetData>
    <row r="1" spans="1:52" ht="14.25" hidden="1" customHeight="1">
      <c r="W1" s="249"/>
      <c r="X1" s="249"/>
      <c r="AO1" s="249"/>
      <c r="AP1" s="249"/>
    </row>
    <row r="2" spans="1:52" ht="21" hidden="1" customHeight="1">
      <c r="A2" s="1284"/>
      <c r="B2" s="1284"/>
      <c r="C2" s="1284"/>
      <c r="D2" s="1284"/>
      <c r="E2" s="8883">
        <v>1</v>
      </c>
      <c r="F2" s="1284"/>
      <c r="G2" s="1284"/>
      <c r="H2" s="1284"/>
      <c r="I2" s="1284"/>
      <c r="J2" s="1284"/>
      <c r="K2" s="1284"/>
      <c r="L2" s="1285"/>
      <c r="M2" s="1286"/>
      <c r="N2" s="1286"/>
      <c r="O2" s="1286"/>
      <c r="P2" s="1330"/>
      <c r="Q2" s="787"/>
      <c r="R2" s="276"/>
      <c r="S2" s="1258" t="e">
        <f>INDEX(PT_DIFFERENTIATION_NUM_NTAR,MATCH(A2,PT_DIFFERENTIATION_NTAR_ID,0))</f>
        <v>#N/A</v>
      </c>
      <c r="T2" s="212" t="s">
        <v>211</v>
      </c>
      <c r="U2" s="214"/>
      <c r="V2" s="8870"/>
      <c r="W2" s="8870"/>
      <c r="X2" s="8870"/>
      <c r="Y2" s="8870"/>
      <c r="Z2" s="8870"/>
      <c r="AA2" s="8871"/>
      <c r="AB2" s="8869" t="e">
        <f>INDEX(PT_DIFFERENTIATION_NTAR,MATCH(A2,PT_DIFFERENTIATION_NTAR_ID,0))</f>
        <v>#N/A</v>
      </c>
      <c r="AC2" s="8870"/>
      <c r="AD2" s="8870"/>
      <c r="AE2" s="8870"/>
      <c r="AF2" s="8870"/>
      <c r="AG2" s="8870"/>
      <c r="AH2" s="8870"/>
      <c r="AI2" s="8870"/>
      <c r="AJ2" s="8870"/>
      <c r="AK2" s="8870"/>
      <c r="AL2" s="8870"/>
      <c r="AM2" s="8870"/>
      <c r="AN2" s="8870"/>
      <c r="AO2" s="8870"/>
      <c r="AP2" s="8870"/>
      <c r="AQ2" s="8870"/>
      <c r="AR2" s="8870"/>
      <c r="AS2" s="8870"/>
      <c r="AT2" s="8871"/>
      <c r="AU2" s="1182" t="s">
        <v>861</v>
      </c>
      <c r="AW2" s="424"/>
      <c r="AX2" s="424" t="str">
        <f t="shared" ref="AX2:AX8" si="0">IF(T2="","",T2)</f>
        <v>Наименование тарифа</v>
      </c>
      <c r="AY2" s="424"/>
      <c r="AZ2" s="424"/>
    </row>
    <row r="3" spans="1:52" ht="21" hidden="1" customHeight="1">
      <c r="A3" s="1284"/>
      <c r="B3" s="1284"/>
      <c r="C3" s="1284"/>
      <c r="D3" s="1284"/>
      <c r="E3" s="8884"/>
      <c r="F3" s="8883">
        <v>1</v>
      </c>
      <c r="G3" s="1284"/>
      <c r="H3" s="1284"/>
      <c r="I3" s="1284"/>
      <c r="J3" s="1284"/>
      <c r="K3" s="1284"/>
      <c r="L3" s="1285"/>
      <c r="M3" s="1286"/>
      <c r="N3" s="1286"/>
      <c r="O3" s="1286"/>
      <c r="P3" s="1331"/>
      <c r="Q3" s="1332"/>
      <c r="R3" s="274"/>
      <c r="S3" s="1258" t="e">
        <f>INDEX(PT_DIFFERENTIATION_NUM_TER,MATCH(B3,PT_DIFFERENTIATION_TER_ID,0))</f>
        <v>#N/A</v>
      </c>
      <c r="T3" s="224" t="s">
        <v>862</v>
      </c>
      <c r="U3" s="214"/>
      <c r="V3" s="8870"/>
      <c r="W3" s="8870"/>
      <c r="X3" s="8870"/>
      <c r="Y3" s="8870"/>
      <c r="Z3" s="8870"/>
      <c r="AA3" s="8871"/>
      <c r="AB3" s="8869" t="e">
        <f>INDEX(PT_DIFFERENTIATION_TER,MATCH(B3,PT_DIFFERENTIATION_TER_ID,0))</f>
        <v>#N/A</v>
      </c>
      <c r="AC3" s="8870"/>
      <c r="AD3" s="8870"/>
      <c r="AE3" s="8870"/>
      <c r="AF3" s="8870"/>
      <c r="AG3" s="8870"/>
      <c r="AH3" s="8870"/>
      <c r="AI3" s="8870"/>
      <c r="AJ3" s="8870"/>
      <c r="AK3" s="8870"/>
      <c r="AL3" s="8870"/>
      <c r="AM3" s="8870"/>
      <c r="AN3" s="8870"/>
      <c r="AO3" s="8870"/>
      <c r="AP3" s="8870"/>
      <c r="AQ3" s="8870"/>
      <c r="AR3" s="8870"/>
      <c r="AS3" s="8870"/>
      <c r="AT3" s="8871"/>
      <c r="AU3" s="1182" t="s">
        <v>863</v>
      </c>
      <c r="AW3" s="424"/>
      <c r="AX3" s="424" t="str">
        <f t="shared" si="0"/>
        <v>Территория действия тарифа</v>
      </c>
      <c r="AY3" s="424"/>
      <c r="AZ3" s="424"/>
    </row>
    <row r="4" spans="1:52" ht="22.5" hidden="1" customHeight="1">
      <c r="A4" s="1284"/>
      <c r="B4" s="1284"/>
      <c r="C4" s="1284"/>
      <c r="D4" s="1284"/>
      <c r="E4" s="8884"/>
      <c r="F4" s="8884"/>
      <c r="G4" s="8883">
        <v>1</v>
      </c>
      <c r="H4" s="1284"/>
      <c r="I4" s="1284"/>
      <c r="J4" s="1284"/>
      <c r="K4" s="1284"/>
      <c r="L4" s="1285"/>
      <c r="M4" s="1286"/>
      <c r="N4" s="1286"/>
      <c r="O4" s="1286"/>
      <c r="P4" s="1333"/>
      <c r="Q4" s="1332"/>
      <c r="R4" s="274"/>
      <c r="S4" s="1258" t="e">
        <f>INDEX(PT_DIFFERENTIATION_NUM_CS,MATCH(C4,PT_DIFFERENTIATION_CS_ID,0))</f>
        <v>#N/A</v>
      </c>
      <c r="T4" s="225" t="s">
        <v>864</v>
      </c>
      <c r="U4" s="214"/>
      <c r="V4" s="8870"/>
      <c r="W4" s="8870"/>
      <c r="X4" s="8870"/>
      <c r="Y4" s="8870"/>
      <c r="Z4" s="8870"/>
      <c r="AA4" s="8871"/>
      <c r="AB4" s="8869" t="e">
        <f>INDEX(PT_DIFFERENTIATION_CS,MATCH(C4,PT_DIFFERENTIATION_CS_ID,0))</f>
        <v>#N/A</v>
      </c>
      <c r="AC4" s="8870"/>
      <c r="AD4" s="8870"/>
      <c r="AE4" s="8870"/>
      <c r="AF4" s="8870"/>
      <c r="AG4" s="8870"/>
      <c r="AH4" s="8870"/>
      <c r="AI4" s="8870"/>
      <c r="AJ4" s="8870"/>
      <c r="AK4" s="8870"/>
      <c r="AL4" s="8870"/>
      <c r="AM4" s="8870"/>
      <c r="AN4" s="8870"/>
      <c r="AO4" s="8870"/>
      <c r="AP4" s="8870"/>
      <c r="AQ4" s="8870"/>
      <c r="AR4" s="8870"/>
      <c r="AS4" s="8870"/>
      <c r="AT4" s="8871"/>
      <c r="AU4" s="1182" t="s">
        <v>865</v>
      </c>
      <c r="AW4" s="424"/>
      <c r="AX4" s="424" t="str">
        <f t="shared" si="0"/>
        <v xml:space="preserve">Наименование системы теплоснабжения </v>
      </c>
      <c r="AY4" s="424"/>
      <c r="AZ4" s="424"/>
    </row>
    <row r="5" spans="1:52" ht="21" hidden="1" customHeight="1">
      <c r="A5" s="1284"/>
      <c r="B5" s="1284"/>
      <c r="C5" s="1284"/>
      <c r="D5" s="1284"/>
      <c r="E5" s="8884"/>
      <c r="F5" s="8884"/>
      <c r="G5" s="8884"/>
      <c r="H5" s="8883">
        <v>1</v>
      </c>
      <c r="I5" s="1284"/>
      <c r="J5" s="1284"/>
      <c r="K5" s="1284"/>
      <c r="L5" s="1285"/>
      <c r="M5" s="1286"/>
      <c r="N5" s="1286"/>
      <c r="O5" s="1286"/>
      <c r="P5" s="1333"/>
      <c r="Q5" s="1332"/>
      <c r="R5" s="274"/>
      <c r="S5" s="1258" t="e">
        <f>INDEX(PT_DIFFERENTIATION_NUM_IST_TE,MATCH(D5,PT_DIFFERENTIATION_IST_TE_ID,0))</f>
        <v>#N/A</v>
      </c>
      <c r="T5" s="226" t="s">
        <v>866</v>
      </c>
      <c r="U5" s="214"/>
      <c r="V5" s="8870"/>
      <c r="W5" s="8870"/>
      <c r="X5" s="8870"/>
      <c r="Y5" s="8870"/>
      <c r="Z5" s="8870"/>
      <c r="AA5" s="8871"/>
      <c r="AB5" s="8869" t="e">
        <f>INDEX(PT_DIFFERENTIATION_IST_TE,MATCH(D5,PT_DIFFERENTIATION_IST_TE_ID,0))</f>
        <v>#N/A</v>
      </c>
      <c r="AC5" s="8870"/>
      <c r="AD5" s="8870"/>
      <c r="AE5" s="8870"/>
      <c r="AF5" s="8870"/>
      <c r="AG5" s="8870"/>
      <c r="AH5" s="8870"/>
      <c r="AI5" s="8870"/>
      <c r="AJ5" s="8870"/>
      <c r="AK5" s="8870"/>
      <c r="AL5" s="8870"/>
      <c r="AM5" s="8870"/>
      <c r="AN5" s="8870"/>
      <c r="AO5" s="8870"/>
      <c r="AP5" s="8870"/>
      <c r="AQ5" s="8870"/>
      <c r="AR5" s="8870"/>
      <c r="AS5" s="8870"/>
      <c r="AT5" s="8871"/>
      <c r="AU5" s="1182" t="s">
        <v>867</v>
      </c>
      <c r="AW5" s="424"/>
      <c r="AX5" s="424" t="str">
        <f t="shared" si="0"/>
        <v xml:space="preserve">Источник тепловой энергии  </v>
      </c>
      <c r="AY5" s="424"/>
      <c r="AZ5" s="424"/>
    </row>
    <row r="6" spans="1:52" s="1562" customFormat="1" ht="14.25" hidden="1" customHeight="1">
      <c r="A6" s="1265"/>
      <c r="B6" s="1265"/>
      <c r="C6" s="1265"/>
      <c r="D6" s="1265"/>
      <c r="E6" s="8884"/>
      <c r="F6" s="8884"/>
      <c r="G6" s="8884"/>
      <c r="H6" s="8884"/>
      <c r="I6" s="8881" t="e">
        <f>S5&amp;".1"</f>
        <v>#N/A</v>
      </c>
      <c r="J6" s="1265"/>
      <c r="K6" s="1265"/>
      <c r="L6" s="1268" t="s">
        <v>868</v>
      </c>
      <c r="M6" s="434"/>
      <c r="N6" s="434"/>
      <c r="O6" s="434"/>
      <c r="P6" s="8882">
        <v>1</v>
      </c>
      <c r="Q6" s="1253"/>
      <c r="R6" s="277"/>
      <c r="S6" s="953"/>
      <c r="T6" s="1304"/>
      <c r="U6" s="1305"/>
      <c r="V6" s="8911"/>
      <c r="W6" s="8911"/>
      <c r="X6" s="8911"/>
      <c r="Y6" s="8911"/>
      <c r="Z6" s="8911"/>
      <c r="AA6" s="8912"/>
      <c r="AB6" s="8910"/>
      <c r="AC6" s="8911"/>
      <c r="AD6" s="8911"/>
      <c r="AE6" s="8911"/>
      <c r="AF6" s="8911"/>
      <c r="AG6" s="8911"/>
      <c r="AH6" s="8911"/>
      <c r="AI6" s="8911"/>
      <c r="AJ6" s="8911"/>
      <c r="AK6" s="8911"/>
      <c r="AL6" s="8911"/>
      <c r="AM6" s="8911"/>
      <c r="AN6" s="8911"/>
      <c r="AO6" s="8911"/>
      <c r="AP6" s="8911"/>
      <c r="AQ6" s="8911"/>
      <c r="AR6" s="8911"/>
      <c r="AS6" s="8911"/>
      <c r="AT6" s="8912"/>
      <c r="AU6" s="1306"/>
      <c r="AW6" s="424"/>
      <c r="AX6" s="424" t="str">
        <f t="shared" si="0"/>
        <v/>
      </c>
      <c r="AY6" s="424"/>
      <c r="AZ6" s="424"/>
    </row>
    <row r="7" spans="1:52" s="1562" customFormat="1" ht="14.25" hidden="1" customHeight="1">
      <c r="A7" s="1265"/>
      <c r="B7" s="1265"/>
      <c r="C7" s="1265"/>
      <c r="D7" s="1265"/>
      <c r="E7" s="8884"/>
      <c r="F7" s="8884"/>
      <c r="G7" s="8884"/>
      <c r="H7" s="8884"/>
      <c r="I7" s="8904"/>
      <c r="J7" s="8881" t="e">
        <f>S5&amp;".1"</f>
        <v>#N/A</v>
      </c>
      <c r="K7" s="1265"/>
      <c r="L7" s="1268"/>
      <c r="M7" s="434"/>
      <c r="N7" s="434"/>
      <c r="O7" s="434"/>
      <c r="P7" s="8882"/>
      <c r="Q7" s="8882">
        <v>1</v>
      </c>
      <c r="R7" s="278"/>
      <c r="S7" s="953"/>
      <c r="T7" s="1320"/>
      <c r="U7" s="1305"/>
      <c r="V7" s="8911"/>
      <c r="W7" s="8911"/>
      <c r="X7" s="8911"/>
      <c r="Y7" s="8911"/>
      <c r="Z7" s="8911"/>
      <c r="AA7" s="8912"/>
      <c r="AB7" s="8910"/>
      <c r="AC7" s="8911"/>
      <c r="AD7" s="8911"/>
      <c r="AE7" s="8911"/>
      <c r="AF7" s="8911"/>
      <c r="AG7" s="8911"/>
      <c r="AH7" s="8911"/>
      <c r="AI7" s="8911"/>
      <c r="AJ7" s="8911"/>
      <c r="AK7" s="8911"/>
      <c r="AL7" s="8911"/>
      <c r="AM7" s="8911"/>
      <c r="AN7" s="8911"/>
      <c r="AO7" s="8911"/>
      <c r="AP7" s="8911"/>
      <c r="AQ7" s="8911"/>
      <c r="AR7" s="8911"/>
      <c r="AS7" s="8911"/>
      <c r="AT7" s="8912"/>
      <c r="AU7" s="1306"/>
      <c r="AW7" s="424"/>
      <c r="AX7" s="424" t="str">
        <f t="shared" si="0"/>
        <v/>
      </c>
      <c r="AY7" s="424"/>
      <c r="AZ7" s="424"/>
    </row>
    <row r="8" spans="1:52" ht="21" hidden="1" customHeight="1">
      <c r="A8" s="1284"/>
      <c r="B8" s="1284"/>
      <c r="C8" s="1284"/>
      <c r="D8" s="1284"/>
      <c r="E8" s="8884"/>
      <c r="F8" s="8884"/>
      <c r="G8" s="8884"/>
      <c r="H8" s="8884"/>
      <c r="I8" s="8904"/>
      <c r="J8" s="8904"/>
      <c r="K8" s="8881" t="e">
        <f>S5&amp;".1"</f>
        <v>#N/A</v>
      </c>
      <c r="L8" s="1285"/>
      <c r="P8" s="8882"/>
      <c r="Q8" s="8882"/>
      <c r="R8" s="8939">
        <v>1</v>
      </c>
      <c r="S8" s="8933" t="e">
        <f>$K8</f>
        <v>#N/A</v>
      </c>
      <c r="T8" s="8936"/>
      <c r="U8" s="214"/>
      <c r="V8" s="666"/>
      <c r="W8" s="1181"/>
      <c r="X8" s="8886"/>
      <c r="Y8" s="8734" t="s">
        <v>63</v>
      </c>
      <c r="Z8" s="8886"/>
      <c r="AA8" s="8734" t="s">
        <v>63</v>
      </c>
      <c r="AB8" s="8734" t="s">
        <v>53</v>
      </c>
      <c r="AC8" s="8919"/>
      <c r="AD8" s="8838">
        <v>1</v>
      </c>
      <c r="AE8" s="8920"/>
      <c r="AF8" s="8734" t="s">
        <v>53</v>
      </c>
      <c r="AG8" s="8919"/>
      <c r="AH8" s="8838">
        <v>1</v>
      </c>
      <c r="AI8" s="8920"/>
      <c r="AJ8" s="8734" t="s">
        <v>53</v>
      </c>
      <c r="AK8" s="227"/>
      <c r="AL8" s="1259">
        <v>1</v>
      </c>
      <c r="AM8" s="1319"/>
      <c r="AN8" s="666"/>
      <c r="AO8" s="1181"/>
      <c r="AP8" s="1653"/>
      <c r="AQ8" s="1377" t="s">
        <v>63</v>
      </c>
      <c r="AR8" s="1653"/>
      <c r="AS8" s="1377" t="s">
        <v>63</v>
      </c>
      <c r="AT8" s="1270"/>
      <c r="AU8" s="8878" t="s">
        <v>925</v>
      </c>
      <c r="AV8" s="435" t="e">
        <f ca="1">STRCHECKDATE(V11:AT11)</f>
        <v>#NAME?</v>
      </c>
      <c r="AW8" s="424"/>
      <c r="AX8" s="424" t="str">
        <f t="shared" si="0"/>
        <v/>
      </c>
      <c r="AY8" s="424"/>
      <c r="AZ8" s="424"/>
    </row>
    <row r="9" spans="1:52" ht="11.25" hidden="1" customHeight="1">
      <c r="A9" s="1284"/>
      <c r="B9" s="1284"/>
      <c r="C9" s="1284"/>
      <c r="D9" s="1284"/>
      <c r="E9" s="8884"/>
      <c r="F9" s="8884"/>
      <c r="G9" s="8884"/>
      <c r="H9" s="8884"/>
      <c r="I9" s="8904"/>
      <c r="J9" s="8904"/>
      <c r="K9" s="8881"/>
      <c r="L9" s="1285"/>
      <c r="P9" s="8882"/>
      <c r="Q9" s="8882"/>
      <c r="R9" s="8939"/>
      <c r="S9" s="8934"/>
      <c r="T9" s="8937"/>
      <c r="U9" s="214"/>
      <c r="V9" s="1314"/>
      <c r="W9" s="1318"/>
      <c r="X9" s="8886"/>
      <c r="Y9" s="8734"/>
      <c r="Z9" s="8886"/>
      <c r="AA9" s="8734"/>
      <c r="AB9" s="8734"/>
      <c r="AC9" s="8919"/>
      <c r="AD9" s="8838"/>
      <c r="AE9" s="8920"/>
      <c r="AF9" s="8734"/>
      <c r="AG9" s="8919"/>
      <c r="AH9" s="8838"/>
      <c r="AI9" s="8920"/>
      <c r="AJ9" s="8734"/>
      <c r="AK9" s="234"/>
      <c r="AL9" s="345"/>
      <c r="AM9" s="344" t="s">
        <v>926</v>
      </c>
      <c r="AN9" s="1314"/>
      <c r="AO9" s="1411"/>
      <c r="AP9" s="1314"/>
      <c r="AQ9" s="1314"/>
      <c r="AR9" s="1314"/>
      <c r="AS9" s="1314"/>
      <c r="AT9" s="1311"/>
      <c r="AU9" s="8879"/>
      <c r="AW9" s="424"/>
      <c r="AX9" s="424"/>
      <c r="AY9" s="424"/>
      <c r="AZ9" s="424"/>
    </row>
    <row r="10" spans="1:52" ht="11.25" hidden="1" customHeight="1">
      <c r="A10" s="1284"/>
      <c r="B10" s="1284"/>
      <c r="C10" s="1284"/>
      <c r="D10" s="1284"/>
      <c r="E10" s="8884"/>
      <c r="F10" s="8884"/>
      <c r="G10" s="8884"/>
      <c r="H10" s="8884"/>
      <c r="I10" s="8904"/>
      <c r="J10" s="8904"/>
      <c r="K10" s="8881"/>
      <c r="L10" s="1285"/>
      <c r="P10" s="8882"/>
      <c r="Q10" s="8882"/>
      <c r="R10" s="8939"/>
      <c r="S10" s="8934"/>
      <c r="T10" s="8937"/>
      <c r="U10" s="214"/>
      <c r="V10" s="1314"/>
      <c r="W10" s="1318"/>
      <c r="X10" s="8886"/>
      <c r="Y10" s="8734"/>
      <c r="Z10" s="8886"/>
      <c r="AA10" s="8734"/>
      <c r="AB10" s="8734"/>
      <c r="AC10" s="8919"/>
      <c r="AD10" s="8838"/>
      <c r="AE10" s="8920"/>
      <c r="AF10" s="8734"/>
      <c r="AG10" s="208"/>
      <c r="AH10" s="344"/>
      <c r="AI10" s="344" t="s">
        <v>927</v>
      </c>
      <c r="AJ10" s="1314"/>
      <c r="AK10" s="1314"/>
      <c r="AL10" s="1314"/>
      <c r="AM10" s="1314"/>
      <c r="AN10" s="1314"/>
      <c r="AO10" s="1411"/>
      <c r="AP10" s="1314"/>
      <c r="AQ10" s="1314"/>
      <c r="AR10" s="1314"/>
      <c r="AS10" s="1314"/>
      <c r="AT10" s="1311"/>
      <c r="AU10" s="8879"/>
      <c r="AW10" s="424"/>
      <c r="AX10" s="424"/>
      <c r="AY10" s="424"/>
      <c r="AZ10" s="424"/>
    </row>
    <row r="11" spans="1:52" ht="11.25" hidden="1" customHeight="1">
      <c r="A11" s="1284"/>
      <c r="B11" s="1284"/>
      <c r="C11" s="1284"/>
      <c r="D11" s="1284"/>
      <c r="E11" s="8884"/>
      <c r="F11" s="8884"/>
      <c r="G11" s="8884"/>
      <c r="H11" s="8884"/>
      <c r="I11" s="8904"/>
      <c r="J11" s="8904"/>
      <c r="K11" s="8881"/>
      <c r="L11" s="1285"/>
      <c r="P11" s="8882"/>
      <c r="Q11" s="8882"/>
      <c r="R11" s="8939"/>
      <c r="S11" s="8935"/>
      <c r="T11" s="8938"/>
      <c r="U11" s="214"/>
      <c r="V11" s="1314"/>
      <c r="W11" s="1317" t="str">
        <f>X8&amp;"-"&amp;Z8</f>
        <v>-</v>
      </c>
      <c r="X11" s="8887"/>
      <c r="Y11" s="8734"/>
      <c r="Z11" s="8887"/>
      <c r="AA11" s="8734"/>
      <c r="AB11" s="8734"/>
      <c r="AC11" s="228"/>
      <c r="AD11" s="230"/>
      <c r="AE11" s="344" t="s">
        <v>928</v>
      </c>
      <c r="AF11" s="1314"/>
      <c r="AG11" s="1314"/>
      <c r="AH11" s="1314"/>
      <c r="AI11" s="1314"/>
      <c r="AJ11" s="1314"/>
      <c r="AK11" s="1314"/>
      <c r="AL11" s="1314"/>
      <c r="AM11" s="1314"/>
      <c r="AN11" s="1314"/>
      <c r="AO11" s="1315" t="str">
        <f>AP8&amp;"-"&amp;AR8</f>
        <v>-</v>
      </c>
      <c r="AP11" s="1314"/>
      <c r="AQ11" s="1314"/>
      <c r="AR11" s="1314"/>
      <c r="AS11" s="1314"/>
      <c r="AT11" s="1271"/>
      <c r="AU11" s="8879"/>
      <c r="AW11" s="424"/>
      <c r="AX11" s="424" t="str">
        <f t="shared" ref="AX11:AX17" si="1">IF(T11="","",T11)</f>
        <v/>
      </c>
      <c r="AY11" s="424"/>
      <c r="AZ11" s="424"/>
    </row>
    <row r="12" spans="1:52" ht="11.25" hidden="1" customHeight="1">
      <c r="A12" s="1284"/>
      <c r="B12" s="1284"/>
      <c r="C12" s="1284"/>
      <c r="D12" s="1284"/>
      <c r="E12" s="8884"/>
      <c r="F12" s="8884"/>
      <c r="G12" s="8884"/>
      <c r="H12" s="8884"/>
      <c r="I12" s="8904"/>
      <c r="J12" s="8881"/>
      <c r="K12" s="1284"/>
      <c r="L12" s="1285"/>
      <c r="P12" s="8882"/>
      <c r="Q12" s="8882"/>
      <c r="R12" s="277"/>
      <c r="S12" s="1203"/>
      <c r="T12" s="202" t="s">
        <v>929</v>
      </c>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45"/>
      <c r="AU12" s="8880"/>
      <c r="AW12" s="424"/>
      <c r="AX12" s="424" t="str">
        <f t="shared" si="1"/>
        <v>Добавить строку</v>
      </c>
      <c r="AY12" s="424"/>
      <c r="AZ12" s="424"/>
    </row>
    <row r="13" spans="1:52" s="1562" customFormat="1" ht="14.25" hidden="1" customHeight="1">
      <c r="A13" s="1265"/>
      <c r="B13" s="1265"/>
      <c r="C13" s="1265"/>
      <c r="D13" s="1265"/>
      <c r="E13" s="8884"/>
      <c r="F13" s="8884"/>
      <c r="G13" s="8884"/>
      <c r="H13" s="8884"/>
      <c r="I13" s="8881"/>
      <c r="J13" s="1265"/>
      <c r="K13" s="1265"/>
      <c r="L13" s="1268"/>
      <c r="M13" s="434"/>
      <c r="N13" s="434"/>
      <c r="O13" s="434"/>
      <c r="P13" s="8882"/>
      <c r="Q13" s="1253"/>
      <c r="R13" s="277"/>
      <c r="S13" s="1307"/>
      <c r="T13" s="1308"/>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AP13" s="1309"/>
      <c r="AQ13" s="1309"/>
      <c r="AR13" s="1309"/>
      <c r="AS13" s="1309"/>
      <c r="AT13" s="1309"/>
      <c r="AU13" s="1310"/>
      <c r="AW13" s="424"/>
      <c r="AX13" s="424" t="str">
        <f t="shared" si="1"/>
        <v/>
      </c>
      <c r="AY13" s="424"/>
      <c r="AZ13" s="424"/>
    </row>
    <row r="14" spans="1:52" s="1562" customFormat="1" ht="14.25" hidden="1" customHeight="1">
      <c r="A14" s="1265"/>
      <c r="B14" s="1265"/>
      <c r="C14" s="1265"/>
      <c r="D14" s="1265"/>
      <c r="E14" s="8884"/>
      <c r="F14" s="8884"/>
      <c r="G14" s="8884"/>
      <c r="H14" s="8883"/>
      <c r="I14" s="1265"/>
      <c r="J14" s="1265"/>
      <c r="K14" s="1265"/>
      <c r="L14" s="1268"/>
      <c r="M14" s="1238"/>
      <c r="N14" s="1238"/>
      <c r="O14" s="442"/>
      <c r="P14" s="308"/>
      <c r="Q14" s="1266"/>
      <c r="R14" s="1322"/>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10"/>
      <c r="AW14" s="424"/>
      <c r="AX14" s="424" t="str">
        <f t="shared" si="1"/>
        <v/>
      </c>
      <c r="AY14" s="424"/>
      <c r="AZ14" s="424"/>
    </row>
    <row r="15" spans="1:52" s="1562" customFormat="1" ht="14.25" hidden="1" customHeight="1">
      <c r="A15" s="1265"/>
      <c r="B15" s="1265"/>
      <c r="C15" s="1265"/>
      <c r="D15" s="1237"/>
      <c r="E15" s="8884"/>
      <c r="F15" s="8884"/>
      <c r="G15" s="8883"/>
      <c r="H15" s="1237"/>
      <c r="I15" s="1237"/>
      <c r="J15" s="1237"/>
      <c r="K15" s="1237"/>
      <c r="L15" s="1261"/>
      <c r="M15" s="1238"/>
      <c r="N15" s="1238"/>
      <c r="P15" s="1239"/>
      <c r="Q15" s="1240"/>
      <c r="R15" s="1239"/>
      <c r="S15" s="1245"/>
      <c r="T15" s="1248" t="s">
        <v>879</v>
      </c>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W15" s="703"/>
      <c r="AX15" s="703" t="str">
        <f t="shared" si="1"/>
        <v>Добавить источник для дифференциации</v>
      </c>
      <c r="AY15" s="703"/>
      <c r="AZ15" s="703"/>
    </row>
    <row r="16" spans="1:52" s="1562" customFormat="1" ht="14.25" hidden="1" customHeight="1">
      <c r="A16" s="1265"/>
      <c r="B16" s="1265"/>
      <c r="C16" s="1237"/>
      <c r="D16" s="1237"/>
      <c r="E16" s="8884"/>
      <c r="F16" s="8883"/>
      <c r="G16" s="1237"/>
      <c r="H16" s="1237"/>
      <c r="I16" s="1237"/>
      <c r="J16" s="1237"/>
      <c r="K16" s="1237"/>
      <c r="L16" s="1261"/>
      <c r="M16" s="1244"/>
      <c r="N16" s="1244"/>
      <c r="P16" s="1239"/>
      <c r="Q16" s="1240"/>
      <c r="R16" s="1239"/>
      <c r="S16" s="1245"/>
      <c r="T16" s="1248" t="s">
        <v>314</v>
      </c>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W16" s="703"/>
      <c r="AX16" s="703" t="str">
        <f t="shared" si="1"/>
        <v>Добавить централизованную систему для дифференциации</v>
      </c>
      <c r="AY16" s="703"/>
      <c r="AZ16" s="703"/>
    </row>
    <row r="17" spans="1:52" s="1562" customFormat="1" ht="14.25" hidden="1" customHeight="1">
      <c r="A17" s="1265"/>
      <c r="B17" s="1265"/>
      <c r="C17" s="1265"/>
      <c r="D17" s="1265"/>
      <c r="E17" s="8883"/>
      <c r="F17" s="1265"/>
      <c r="G17" s="1265"/>
      <c r="H17" s="1265"/>
      <c r="I17" s="1265"/>
      <c r="J17" s="1265"/>
      <c r="K17" s="1265"/>
      <c r="L17" s="1268"/>
      <c r="M17" s="1244"/>
      <c r="N17" s="1244"/>
      <c r="O17" s="442"/>
      <c r="P17" s="308"/>
      <c r="Q17" s="1266"/>
      <c r="R17" s="308"/>
      <c r="S17" s="1245"/>
      <c r="T17" s="1248" t="s">
        <v>315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W17" s="424"/>
      <c r="AX17" s="424" t="str">
        <f t="shared" si="1"/>
        <v>Добавить территорию для дифференциации</v>
      </c>
      <c r="AY17" s="424"/>
      <c r="AZ17" s="424"/>
    </row>
    <row r="18" spans="1:52" ht="14.25" hidden="1" customHeight="1">
      <c r="AA18" s="249"/>
      <c r="AS18" s="249"/>
    </row>
    <row r="19" spans="1:52" ht="14.25" hidden="1" customHeight="1">
      <c r="AB19" s="1247" t="s">
        <v>53</v>
      </c>
      <c r="AC19" s="1416"/>
      <c r="AD19" s="471">
        <v>1</v>
      </c>
      <c r="AE19" s="1417"/>
      <c r="AF19" s="1247" t="s">
        <v>53</v>
      </c>
      <c r="AG19" s="1416"/>
      <c r="AH19" s="471">
        <v>1</v>
      </c>
      <c r="AI19" s="1417"/>
      <c r="AJ19" s="1247" t="s">
        <v>53</v>
      </c>
      <c r="AK19" s="1418"/>
      <c r="AL19" s="471">
        <v>1</v>
      </c>
      <c r="AM19" s="1421"/>
      <c r="AN19" s="1324"/>
      <c r="AO19" s="1325"/>
      <c r="AP19" s="1655"/>
      <c r="AQ19" s="1378" t="s">
        <v>63</v>
      </c>
      <c r="AR19" s="1655"/>
      <c r="AS19" s="1378" t="s">
        <v>63</v>
      </c>
    </row>
    <row r="20" spans="1:52" ht="14.25" hidden="1" customHeight="1">
      <c r="AV20" s="420"/>
      <c r="AW20" s="420"/>
      <c r="AX20" s="420"/>
      <c r="AY20" s="420"/>
      <c r="AZ20" s="420"/>
    </row>
    <row r="21" spans="1:52" ht="14.25" hidden="1" customHeight="1">
      <c r="O21" s="1288" t="s">
        <v>880</v>
      </c>
      <c r="X21" s="1267"/>
      <c r="Z21" s="1267"/>
      <c r="AA21" s="249"/>
      <c r="AP21" s="1267"/>
      <c r="AR21" s="1267"/>
      <c r="AS21" s="249"/>
      <c r="AV21" s="420"/>
      <c r="AW21" s="420"/>
      <c r="AX21" s="420"/>
      <c r="AY21" s="420"/>
      <c r="AZ21" s="420"/>
    </row>
    <row r="22" spans="1:52" ht="14.25" hidden="1" customHeight="1">
      <c r="AA22" s="249"/>
      <c r="AS22" s="249"/>
      <c r="AV22" s="420"/>
      <c r="AW22" s="420"/>
      <c r="AX22" s="420"/>
      <c r="AY22" s="420"/>
      <c r="AZ22" s="420"/>
    </row>
    <row r="23" spans="1:52" s="1424" customFormat="1" ht="14.25" hidden="1" customHeight="1">
      <c r="M23" s="1423"/>
      <c r="N23" s="1423"/>
      <c r="O23" s="1424" t="s">
        <v>881</v>
      </c>
      <c r="P23" s="1423"/>
      <c r="Q23" s="1425"/>
      <c r="R23" s="1425"/>
      <c r="Y23" s="1422" t="s">
        <v>883</v>
      </c>
      <c r="AA23" s="1422" t="s">
        <v>884</v>
      </c>
      <c r="AB23" s="1422" t="s">
        <v>930</v>
      </c>
      <c r="AE23" s="1422" t="s">
        <v>931</v>
      </c>
      <c r="AF23" s="1422" t="s">
        <v>930</v>
      </c>
      <c r="AI23" s="1422" t="s">
        <v>932</v>
      </c>
      <c r="AJ23" s="1422" t="s">
        <v>930</v>
      </c>
      <c r="AM23" s="1422" t="s">
        <v>933</v>
      </c>
      <c r="AQ23" s="1422" t="s">
        <v>883</v>
      </c>
      <c r="AS23" s="1422" t="s">
        <v>884</v>
      </c>
      <c r="AV23" s="1426"/>
      <c r="AW23" s="1426"/>
      <c r="AX23" s="1426"/>
      <c r="AY23" s="1426"/>
      <c r="AZ23" s="1426"/>
    </row>
    <row r="24" spans="1:52" ht="14.25" hidden="1" customHeight="1">
      <c r="O24" s="1285"/>
      <c r="AV24" s="420"/>
      <c r="AW24" s="420"/>
      <c r="AX24" s="420"/>
      <c r="AY24" s="420"/>
      <c r="AZ24" s="420"/>
    </row>
    <row r="25" spans="1:52" ht="14.25" hidden="1" customHeight="1">
      <c r="O25" s="1285"/>
      <c r="AV25" s="420"/>
      <c r="AW25" s="420"/>
      <c r="AX25" s="420"/>
      <c r="AY25" s="420"/>
      <c r="AZ25" s="420"/>
    </row>
    <row r="26" spans="1:52" ht="14.25" customHeight="1">
      <c r="Q26" s="206"/>
      <c r="R26" s="300"/>
      <c r="S26" s="1200"/>
      <c r="T26" s="286"/>
      <c r="U26" s="286"/>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row>
    <row r="27" spans="1:52" ht="26.25" customHeight="1">
      <c r="Q27" s="206"/>
      <c r="R27" s="300"/>
      <c r="S27" s="88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8867"/>
      <c r="U27" s="8867"/>
      <c r="V27" s="8867"/>
      <c r="W27" s="8867"/>
      <c r="X27" s="8867"/>
      <c r="Y27" s="8867"/>
      <c r="Z27" s="8867"/>
      <c r="AA27" s="8867"/>
      <c r="AB27" s="8867"/>
      <c r="AC27" s="8867"/>
      <c r="AD27" s="8867"/>
      <c r="AE27" s="8867"/>
      <c r="AF27" s="8867"/>
      <c r="AG27" s="8867"/>
      <c r="AH27" s="8867"/>
      <c r="AI27" s="8867"/>
      <c r="AJ27" s="8867"/>
      <c r="AK27" s="8867"/>
      <c r="AL27" s="8867"/>
      <c r="AM27" s="8867"/>
      <c r="AN27" s="8867"/>
      <c r="AO27" s="8867"/>
      <c r="AP27" s="8867"/>
      <c r="AQ27" s="8867"/>
      <c r="AR27" s="8867"/>
      <c r="AS27" s="1157"/>
    </row>
    <row r="28" spans="1:52" ht="14.25" customHeight="1">
      <c r="Q28" s="206"/>
      <c r="R28" s="300"/>
      <c r="S28" s="8814" t="str">
        <f>IF(org=0,"Не определено",org)</f>
        <v>ГУП СК "Ставрополькрайводоканал"</v>
      </c>
      <c r="T28" s="8814"/>
      <c r="U28" s="8814"/>
      <c r="V28" s="8814"/>
      <c r="W28" s="8814"/>
      <c r="X28" s="8814"/>
      <c r="Y28" s="8814"/>
      <c r="Z28" s="8814"/>
      <c r="AA28" s="8814"/>
      <c r="AB28" s="8814"/>
      <c r="AC28" s="8814"/>
      <c r="AD28" s="8814"/>
      <c r="AE28" s="8814"/>
      <c r="AF28" s="8814"/>
      <c r="AG28" s="8814"/>
      <c r="AH28" s="8814"/>
      <c r="AI28" s="8814"/>
      <c r="AJ28" s="8814"/>
      <c r="AK28" s="8814"/>
      <c r="AL28" s="8814"/>
      <c r="AM28" s="8814"/>
      <c r="AN28" s="8814"/>
      <c r="AO28" s="8814"/>
      <c r="AP28" s="8814"/>
      <c r="AQ28" s="8814"/>
      <c r="AR28" s="8814"/>
      <c r="AS28" s="1157"/>
    </row>
    <row r="29" spans="1:52" ht="14.25" hidden="1" customHeight="1">
      <c r="Q29" s="206"/>
      <c r="R29" s="300"/>
      <c r="S29" s="1200"/>
      <c r="T29" s="286"/>
      <c r="U29" s="286"/>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433"/>
    </row>
    <row r="30" spans="1:52" s="1771" customFormat="1" ht="25.5" hidden="1" customHeight="1">
      <c r="A30" s="1289"/>
      <c r="B30" s="1289"/>
      <c r="C30" s="1289"/>
      <c r="D30" s="1289"/>
      <c r="E30" s="1289"/>
      <c r="F30" s="1289"/>
      <c r="G30" s="1289"/>
      <c r="H30" s="1289"/>
      <c r="I30" s="1289"/>
      <c r="J30" s="1289"/>
      <c r="K30" s="1289"/>
      <c r="L30" s="1290"/>
      <c r="M30" s="1289"/>
      <c r="N30" s="1289"/>
      <c r="O30" s="1289"/>
      <c r="P30" s="1289"/>
      <c r="Q30" s="1289"/>
      <c r="S30" s="8875" t="s">
        <v>38</v>
      </c>
      <c r="T30" s="8875"/>
      <c r="U30" s="1293"/>
      <c r="V30" s="8876" t="str">
        <f>IF(TITLE_NAME_OR_PR_CHANGE="",IF(TITLE_NAME_OR_PR="","",TITLE_NAME_OR_PR),TITLE_NAME_OR_PR_CHANGE)</f>
        <v/>
      </c>
      <c r="W30" s="8876"/>
      <c r="X30" s="8876"/>
      <c r="Y30" s="8876"/>
      <c r="Z30" s="8876"/>
      <c r="AA30" s="248"/>
      <c r="AB30" s="8876" t="str">
        <f>IF(TITLE_NAME_OR_PR_CHANGE="",IF(TITLE_NAME_OR_PR="","",TITLE_NAME_OR_PR),TITLE_NAME_OR_PR_CHANGE)</f>
        <v/>
      </c>
      <c r="AC30" s="8876"/>
      <c r="AD30" s="8876"/>
      <c r="AE30" s="8876"/>
      <c r="AF30" s="8876"/>
      <c r="AG30" s="8876"/>
      <c r="AH30" s="8876"/>
      <c r="AI30" s="8876"/>
      <c r="AJ30" s="8876"/>
      <c r="AK30" s="8876"/>
      <c r="AL30" s="8876"/>
      <c r="AM30" s="8876"/>
      <c r="AN30" s="8876"/>
      <c r="AO30" s="8876"/>
      <c r="AP30" s="8876"/>
      <c r="AQ30" s="8876"/>
      <c r="AR30" s="8876"/>
      <c r="AS30" s="248"/>
      <c r="AT30" s="248"/>
      <c r="AU30" s="196"/>
      <c r="AV30" s="292"/>
      <c r="AW30" s="292"/>
      <c r="AX30" s="292"/>
      <c r="AY30" s="292"/>
      <c r="AZ30" s="292"/>
    </row>
    <row r="31" spans="1:52" s="1771" customFormat="1" ht="18.75" hidden="1" customHeight="1">
      <c r="A31" s="1289"/>
      <c r="B31" s="1289"/>
      <c r="C31" s="1289"/>
      <c r="D31" s="1289"/>
      <c r="E31" s="1289"/>
      <c r="F31" s="1289"/>
      <c r="G31" s="1289"/>
      <c r="H31" s="1289"/>
      <c r="I31" s="1289"/>
      <c r="J31" s="1289"/>
      <c r="K31" s="1289"/>
      <c r="L31" s="1290"/>
      <c r="M31" s="1289"/>
      <c r="N31" s="1289"/>
      <c r="O31" s="1289"/>
      <c r="P31" s="1289"/>
      <c r="Q31" s="1289"/>
      <c r="S31" s="8875" t="s">
        <v>886</v>
      </c>
      <c r="T31" s="8875"/>
      <c r="U31" s="1293"/>
      <c r="V31" s="8885">
        <f>IF(TITLE_DATE_PR_CHANGE="",IF(TITLE_DATE_PR="","",TITLE_DATE_PR),TITLE_DATE_PR_CHANGE)</f>
        <v>45281.411851851852</v>
      </c>
      <c r="W31" s="8885"/>
      <c r="X31" s="8885"/>
      <c r="Y31" s="8885"/>
      <c r="Z31" s="8885"/>
      <c r="AA31" s="248"/>
      <c r="AB31" s="8885">
        <f>IF(TITLE_DATE_PR_CHANGE="",IF(TITLE_DATE_PR="","",TITLE_DATE_PR),TITLE_DATE_PR_CHANGE)</f>
        <v>45281.411851851852</v>
      </c>
      <c r="AC31" s="8885"/>
      <c r="AD31" s="8885"/>
      <c r="AE31" s="8885"/>
      <c r="AF31" s="8885"/>
      <c r="AG31" s="8885"/>
      <c r="AH31" s="8885"/>
      <c r="AI31" s="8885"/>
      <c r="AJ31" s="8885"/>
      <c r="AK31" s="8885"/>
      <c r="AL31" s="8885"/>
      <c r="AM31" s="8885"/>
      <c r="AN31" s="8885"/>
      <c r="AO31" s="8885"/>
      <c r="AP31" s="8885"/>
      <c r="AQ31" s="8885"/>
      <c r="AR31" s="8885"/>
      <c r="AS31" s="248"/>
      <c r="AT31" s="248"/>
      <c r="AU31" s="196"/>
      <c r="AV31" s="292"/>
      <c r="AW31" s="292"/>
      <c r="AX31" s="292"/>
      <c r="AY31" s="292"/>
      <c r="AZ31" s="292"/>
    </row>
    <row r="32" spans="1:52" s="1771" customFormat="1" ht="18.75" hidden="1" customHeight="1">
      <c r="A32" s="1289"/>
      <c r="B32" s="1289"/>
      <c r="C32" s="1289"/>
      <c r="D32" s="1289"/>
      <c r="E32" s="1289"/>
      <c r="F32" s="1289"/>
      <c r="G32" s="1289"/>
      <c r="H32" s="1289"/>
      <c r="I32" s="1289"/>
      <c r="J32" s="1289"/>
      <c r="K32" s="1289"/>
      <c r="L32" s="1290"/>
      <c r="M32" s="1289"/>
      <c r="N32" s="1289"/>
      <c r="O32" s="1289"/>
      <c r="P32" s="1289"/>
      <c r="Q32" s="1289"/>
      <c r="S32" s="8875" t="s">
        <v>887</v>
      </c>
      <c r="T32" s="8875"/>
      <c r="U32" s="1293"/>
      <c r="V32" s="8876" t="str">
        <f>IF(TITLE_NUMBER_PR_CHANGE="",IF(TITLE_NUMBER_PR="","",TITLE_NUMBER_PR),TITLE_NUMBER_PR_CHANGE)</f>
        <v>06-11/11398</v>
      </c>
      <c r="W32" s="8876"/>
      <c r="X32" s="8876"/>
      <c r="Y32" s="8876"/>
      <c r="Z32" s="8876"/>
      <c r="AA32" s="248"/>
      <c r="AB32" s="8876" t="str">
        <f>IF(TITLE_NUMBER_PR_CHANGE="",IF(TITLE_NUMBER_PR="","",TITLE_NUMBER_PR),TITLE_NUMBER_PR_CHANGE)</f>
        <v>06-11/11398</v>
      </c>
      <c r="AC32" s="8876"/>
      <c r="AD32" s="8876"/>
      <c r="AE32" s="8876"/>
      <c r="AF32" s="8876"/>
      <c r="AG32" s="8876"/>
      <c r="AH32" s="8876"/>
      <c r="AI32" s="8876"/>
      <c r="AJ32" s="8876"/>
      <c r="AK32" s="8876"/>
      <c r="AL32" s="8876"/>
      <c r="AM32" s="8876"/>
      <c r="AN32" s="8876"/>
      <c r="AO32" s="8876"/>
      <c r="AP32" s="8876"/>
      <c r="AQ32" s="8876"/>
      <c r="AR32" s="8876"/>
      <c r="AS32" s="248"/>
      <c r="AT32" s="248"/>
      <c r="AU32" s="196"/>
      <c r="AV32" s="292"/>
      <c r="AW32" s="292"/>
      <c r="AX32" s="292"/>
      <c r="AY32" s="292"/>
      <c r="AZ32" s="292"/>
    </row>
    <row r="33" spans="1:52" s="1771" customFormat="1" ht="18.75" hidden="1" customHeight="1">
      <c r="A33" s="1289"/>
      <c r="B33" s="1289"/>
      <c r="C33" s="1289"/>
      <c r="D33" s="1289"/>
      <c r="E33" s="1289"/>
      <c r="F33" s="1289"/>
      <c r="G33" s="1289"/>
      <c r="H33" s="1289"/>
      <c r="I33" s="1289"/>
      <c r="J33" s="1289"/>
      <c r="K33" s="1289"/>
      <c r="L33" s="1290"/>
      <c r="M33" s="1289"/>
      <c r="N33" s="1289"/>
      <c r="O33" s="1289"/>
      <c r="P33" s="1289"/>
      <c r="Q33" s="1289"/>
      <c r="S33" s="8875" t="s">
        <v>39</v>
      </c>
      <c r="T33" s="8875"/>
      <c r="U33" s="1293"/>
      <c r="V33" s="8876" t="str">
        <f>IF(TITLE_IST_PUB_CHANGE="",IF(TITLE_IST_PUB="","",TITLE_IST_PUB),TITLE_IST_PUB_CHANGE)</f>
        <v/>
      </c>
      <c r="W33" s="8876"/>
      <c r="X33" s="8876"/>
      <c r="Y33" s="8876"/>
      <c r="Z33" s="8876"/>
      <c r="AA33" s="248"/>
      <c r="AB33" s="8876" t="str">
        <f>IF(TITLE_IST_PUB_CHANGE="",IF(TITLE_IST_PUB="","",TITLE_IST_PUB),TITLE_IST_PUB_CHANGE)</f>
        <v/>
      </c>
      <c r="AC33" s="8876"/>
      <c r="AD33" s="8876"/>
      <c r="AE33" s="8876"/>
      <c r="AF33" s="8876"/>
      <c r="AG33" s="8876"/>
      <c r="AH33" s="8876"/>
      <c r="AI33" s="8876"/>
      <c r="AJ33" s="8876"/>
      <c r="AK33" s="8876"/>
      <c r="AL33" s="8876"/>
      <c r="AM33" s="8876"/>
      <c r="AN33" s="8876"/>
      <c r="AO33" s="8876"/>
      <c r="AP33" s="8876"/>
      <c r="AQ33" s="8876"/>
      <c r="AR33" s="8876"/>
      <c r="AS33" s="248"/>
      <c r="AT33" s="248"/>
      <c r="AU33" s="196"/>
      <c r="AV33" s="292"/>
      <c r="AW33" s="292"/>
      <c r="AX33" s="292"/>
      <c r="AY33" s="292"/>
      <c r="AZ33" s="292"/>
    </row>
    <row r="34" spans="1:52" ht="14.25" customHeight="1">
      <c r="Q34" s="206"/>
      <c r="R34" s="300"/>
      <c r="S34" s="1200"/>
      <c r="T34" s="286"/>
      <c r="U34" s="286"/>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433"/>
    </row>
    <row r="35" spans="1:52" s="1771" customFormat="1" ht="18.75" customHeight="1">
      <c r="A35" s="1289"/>
      <c r="B35" s="1289"/>
      <c r="C35" s="1289"/>
      <c r="D35" s="1289"/>
      <c r="E35" s="1289"/>
      <c r="F35" s="1289"/>
      <c r="G35" s="1289"/>
      <c r="H35" s="1289"/>
      <c r="I35" s="1289"/>
      <c r="J35" s="1289"/>
      <c r="K35" s="1289"/>
      <c r="L35" s="1290"/>
      <c r="M35" s="1289"/>
      <c r="N35" s="1289"/>
      <c r="O35" s="1289"/>
      <c r="P35" s="1289"/>
      <c r="Q35" s="1289"/>
      <c r="S35" s="8875" t="s">
        <v>886</v>
      </c>
      <c r="T35" s="8875"/>
      <c r="U35" s="1293"/>
      <c r="V35" s="8885">
        <f>IF(TITLE_DATE_PR_CHANGE="",IF(TITLE_DATE_PR="","",TITLE_DATE_PR),TITLE_DATE_PR_CHANGE)</f>
        <v>45281.411851851852</v>
      </c>
      <c r="W35" s="8885"/>
      <c r="X35" s="8885"/>
      <c r="Y35" s="8885"/>
      <c r="Z35" s="8885"/>
      <c r="AA35" s="248"/>
      <c r="AB35" s="8885">
        <f>IF(TITLE_DATE_PR_CHANGE="",IF(TITLE_DATE_PR="","",TITLE_DATE_PR),TITLE_DATE_PR_CHANGE)</f>
        <v>45281.411851851852</v>
      </c>
      <c r="AC35" s="8885"/>
      <c r="AD35" s="8885"/>
      <c r="AE35" s="8885"/>
      <c r="AF35" s="8885"/>
      <c r="AG35" s="8885"/>
      <c r="AH35" s="8885"/>
      <c r="AI35" s="8885"/>
      <c r="AJ35" s="8885"/>
      <c r="AK35" s="8885"/>
      <c r="AL35" s="8885"/>
      <c r="AM35" s="8885"/>
      <c r="AN35" s="8885"/>
      <c r="AO35" s="8885"/>
      <c r="AP35" s="8885"/>
      <c r="AQ35" s="8885"/>
      <c r="AR35" s="8885"/>
      <c r="AS35" s="248"/>
      <c r="AT35" s="248"/>
      <c r="AU35" s="196"/>
      <c r="AV35" s="292"/>
      <c r="AW35" s="292"/>
      <c r="AX35" s="292"/>
      <c r="AY35" s="292"/>
      <c r="AZ35" s="292"/>
    </row>
    <row r="36" spans="1:52" s="1771" customFormat="1" ht="18" customHeight="1">
      <c r="A36" s="1289"/>
      <c r="B36" s="1289"/>
      <c r="C36" s="1289"/>
      <c r="D36" s="1289"/>
      <c r="E36" s="1289"/>
      <c r="F36" s="1289"/>
      <c r="G36" s="1289"/>
      <c r="H36" s="1289"/>
      <c r="I36" s="1289"/>
      <c r="J36" s="1289"/>
      <c r="K36" s="1289"/>
      <c r="L36" s="1290"/>
      <c r="M36" s="1289"/>
      <c r="N36" s="1289"/>
      <c r="O36" s="1289"/>
      <c r="P36" s="1289"/>
      <c r="Q36" s="1289"/>
      <c r="S36" s="8875" t="s">
        <v>887</v>
      </c>
      <c r="T36" s="8875"/>
      <c r="U36" s="1293"/>
      <c r="V36" s="8876" t="str">
        <f>IF(TITLE_NUMBER_PR_CHANGE="",IF(TITLE_NUMBER_PR="","",TITLE_NUMBER_PR),TITLE_NUMBER_PR_CHANGE)</f>
        <v>06-11/11398</v>
      </c>
      <c r="W36" s="8876"/>
      <c r="X36" s="8876"/>
      <c r="Y36" s="8876"/>
      <c r="Z36" s="8876"/>
      <c r="AA36" s="248"/>
      <c r="AB36" s="8876" t="str">
        <f>IF(TITLE_NUMBER_PR_CHANGE="",IF(TITLE_NUMBER_PR="","",TITLE_NUMBER_PR),TITLE_NUMBER_PR_CHANGE)</f>
        <v>06-11/11398</v>
      </c>
      <c r="AC36" s="8876"/>
      <c r="AD36" s="8876"/>
      <c r="AE36" s="8876"/>
      <c r="AF36" s="8876"/>
      <c r="AG36" s="8876"/>
      <c r="AH36" s="8876"/>
      <c r="AI36" s="8876"/>
      <c r="AJ36" s="8876"/>
      <c r="AK36" s="8876"/>
      <c r="AL36" s="8876"/>
      <c r="AM36" s="8876"/>
      <c r="AN36" s="8876"/>
      <c r="AO36" s="8876"/>
      <c r="AP36" s="8876"/>
      <c r="AQ36" s="8876"/>
      <c r="AR36" s="8876"/>
      <c r="AS36" s="248"/>
      <c r="AT36" s="248"/>
      <c r="AU36" s="196"/>
      <c r="AV36" s="292"/>
      <c r="AW36" s="292"/>
      <c r="AX36" s="292"/>
      <c r="AY36" s="292"/>
      <c r="AZ36" s="292"/>
    </row>
    <row r="37" spans="1:52" s="1771" customFormat="1" ht="0.75" customHeight="1">
      <c r="A37" s="1289"/>
      <c r="B37" s="1289"/>
      <c r="C37" s="1289"/>
      <c r="D37" s="1289"/>
      <c r="E37" s="1289"/>
      <c r="F37" s="1289"/>
      <c r="G37" s="1289"/>
      <c r="H37" s="1289"/>
      <c r="I37" s="1289"/>
      <c r="J37" s="1289"/>
      <c r="K37" s="1289"/>
      <c r="L37" s="1290"/>
      <c r="M37" s="1289"/>
      <c r="N37" s="1289"/>
      <c r="O37" s="1289"/>
      <c r="P37" s="1289"/>
      <c r="Q37" s="1289"/>
      <c r="S37" s="244"/>
      <c r="T37" s="244"/>
      <c r="U37" s="1262"/>
      <c r="V37" s="248"/>
      <c r="W37" s="248"/>
      <c r="X37" s="248"/>
      <c r="Y37" s="248"/>
      <c r="Z37" s="248"/>
      <c r="AA37" s="194" t="s">
        <v>890</v>
      </c>
      <c r="AB37" s="248"/>
      <c r="AC37" s="248"/>
      <c r="AD37" s="248"/>
      <c r="AE37" s="248"/>
      <c r="AF37" s="248"/>
      <c r="AG37" s="248"/>
      <c r="AH37" s="248"/>
      <c r="AI37" s="248"/>
      <c r="AJ37" s="248"/>
      <c r="AK37" s="248"/>
      <c r="AL37" s="248"/>
      <c r="AM37" s="248"/>
      <c r="AN37" s="248"/>
      <c r="AO37" s="248"/>
      <c r="AP37" s="248"/>
      <c r="AQ37" s="248"/>
      <c r="AR37" s="248"/>
      <c r="AS37" s="194" t="s">
        <v>890</v>
      </c>
      <c r="AV37" s="292"/>
      <c r="AW37" s="292"/>
      <c r="AX37" s="292"/>
      <c r="AY37" s="292"/>
      <c r="AZ37" s="292"/>
    </row>
    <row r="38" spans="1:52" ht="14.25" customHeight="1">
      <c r="Q38" s="206"/>
      <c r="R38" s="300"/>
      <c r="S38" s="1200"/>
      <c r="T38" s="286"/>
      <c r="U38" s="1158"/>
      <c r="V38" s="8877"/>
      <c r="W38" s="8877"/>
      <c r="X38" s="8877"/>
      <c r="Y38" s="8877"/>
      <c r="Z38" s="8877"/>
      <c r="AA38" s="8877"/>
      <c r="AB38" s="8877"/>
      <c r="AC38" s="8877"/>
      <c r="AD38" s="8877"/>
      <c r="AE38" s="8877"/>
      <c r="AF38" s="8877"/>
      <c r="AG38" s="8877"/>
      <c r="AH38" s="8877"/>
      <c r="AI38" s="8877"/>
      <c r="AJ38" s="8877"/>
      <c r="AK38" s="8877"/>
      <c r="AL38" s="8877"/>
      <c r="AM38" s="8877"/>
      <c r="AN38" s="8877"/>
      <c r="AO38" s="8877"/>
      <c r="AP38" s="8877"/>
      <c r="AQ38" s="8877"/>
      <c r="AR38" s="8877"/>
      <c r="AS38" s="8877"/>
    </row>
    <row r="39" spans="1:52" ht="14.25" customHeight="1">
      <c r="Q39" s="206"/>
      <c r="R39" s="300"/>
      <c r="S39" s="8753" t="s">
        <v>763</v>
      </c>
      <c r="T39" s="8753"/>
      <c r="U39" s="8753"/>
      <c r="V39" s="8753"/>
      <c r="W39" s="8753"/>
      <c r="X39" s="8753"/>
      <c r="Y39" s="8753"/>
      <c r="Z39" s="8753"/>
      <c r="AA39" s="8753"/>
      <c r="AB39" s="8813"/>
      <c r="AC39" s="8813"/>
      <c r="AD39" s="8813"/>
      <c r="AE39" s="8813"/>
      <c r="AF39" s="8753"/>
      <c r="AG39" s="8753"/>
      <c r="AH39" s="8753"/>
      <c r="AI39" s="8753"/>
      <c r="AJ39" s="8753"/>
      <c r="AK39" s="8753"/>
      <c r="AL39" s="8753"/>
      <c r="AM39" s="8753"/>
      <c r="AN39" s="8753"/>
      <c r="AO39" s="8753"/>
      <c r="AP39" s="8753"/>
      <c r="AQ39" s="8753"/>
      <c r="AR39" s="8753"/>
      <c r="AS39" s="8753"/>
      <c r="AT39" s="8753"/>
      <c r="AU39" s="8753" t="s">
        <v>764</v>
      </c>
    </row>
    <row r="40" spans="1:52" ht="14.25" customHeight="1">
      <c r="Q40" s="206"/>
      <c r="R40" s="300"/>
      <c r="S40" s="8891" t="s">
        <v>84</v>
      </c>
      <c r="T40" s="8843" t="s">
        <v>934</v>
      </c>
      <c r="U40" s="215"/>
      <c r="V40" s="8893"/>
      <c r="W40" s="8893"/>
      <c r="X40" s="8893"/>
      <c r="Y40" s="8893"/>
      <c r="Z40" s="8894"/>
      <c r="AA40" s="8929" t="s">
        <v>893</v>
      </c>
      <c r="AB40" s="8921" t="s">
        <v>935</v>
      </c>
      <c r="AC40" s="8907"/>
      <c r="AD40" s="8907"/>
      <c r="AE40" s="8922"/>
      <c r="AF40" s="8907" t="s">
        <v>936</v>
      </c>
      <c r="AG40" s="8907"/>
      <c r="AH40" s="8907"/>
      <c r="AI40" s="8922"/>
      <c r="AJ40" s="8921" t="s">
        <v>937</v>
      </c>
      <c r="AK40" s="8907"/>
      <c r="AL40" s="8907"/>
      <c r="AM40" s="8922"/>
      <c r="AN40" s="8921" t="s">
        <v>892</v>
      </c>
      <c r="AO40" s="8907"/>
      <c r="AP40" s="8893"/>
      <c r="AQ40" s="8893"/>
      <c r="AR40" s="8894"/>
      <c r="AS40" s="8895" t="s">
        <v>893</v>
      </c>
      <c r="AT40" s="8898" t="s">
        <v>895</v>
      </c>
      <c r="AU40" s="8753"/>
    </row>
    <row r="41" spans="1:52" ht="33.75" customHeight="1">
      <c r="Q41" s="206"/>
      <c r="R41" s="300"/>
      <c r="S41" s="8891"/>
      <c r="T41" s="8843"/>
      <c r="U41" s="942"/>
      <c r="V41" s="8828" t="s">
        <v>938</v>
      </c>
      <c r="W41" s="8829"/>
      <c r="X41" s="8828" t="s">
        <v>899</v>
      </c>
      <c r="Y41" s="8916"/>
      <c r="Z41" s="8829"/>
      <c r="AA41" s="8930"/>
      <c r="AB41" s="8923"/>
      <c r="AC41" s="8924"/>
      <c r="AD41" s="8924"/>
      <c r="AE41" s="8925"/>
      <c r="AF41" s="8924"/>
      <c r="AG41" s="8924"/>
      <c r="AH41" s="8924"/>
      <c r="AI41" s="8925"/>
      <c r="AJ41" s="8923"/>
      <c r="AK41" s="8924"/>
      <c r="AL41" s="8924"/>
      <c r="AM41" s="8924"/>
      <c r="AN41" s="8753" t="s">
        <v>939</v>
      </c>
      <c r="AO41" s="8753"/>
      <c r="AP41" s="8916" t="s">
        <v>899</v>
      </c>
      <c r="AQ41" s="8916"/>
      <c r="AR41" s="8829"/>
      <c r="AS41" s="8896"/>
      <c r="AT41" s="8899"/>
      <c r="AU41" s="8753"/>
    </row>
    <row r="42" spans="1:52" ht="14.25" customHeight="1">
      <c r="Q42" s="206"/>
      <c r="R42" s="300"/>
      <c r="S42" s="8891"/>
      <c r="T42" s="8843"/>
      <c r="U42" s="942"/>
      <c r="V42" s="8833"/>
      <c r="W42" s="8834"/>
      <c r="X42" s="8833"/>
      <c r="Y42" s="8917"/>
      <c r="Z42" s="8834"/>
      <c r="AA42" s="8930"/>
      <c r="AB42" s="8923"/>
      <c r="AC42" s="8924"/>
      <c r="AD42" s="8924"/>
      <c r="AE42" s="8925"/>
      <c r="AF42" s="8924"/>
      <c r="AG42" s="8924"/>
      <c r="AH42" s="8924"/>
      <c r="AI42" s="8925"/>
      <c r="AJ42" s="8923"/>
      <c r="AK42" s="8924"/>
      <c r="AL42" s="8924"/>
      <c r="AM42" s="8924"/>
      <c r="AN42" s="8932"/>
      <c r="AO42" s="8932"/>
      <c r="AP42" s="8917"/>
      <c r="AQ42" s="8917"/>
      <c r="AR42" s="8834"/>
      <c r="AS42" s="8896"/>
      <c r="AT42" s="8899"/>
      <c r="AU42" s="8753"/>
    </row>
    <row r="43" spans="1:52" ht="14.25" customHeight="1">
      <c r="A43" s="1291"/>
      <c r="B43" s="1291" t="s">
        <v>223</v>
      </c>
      <c r="C43" s="1291" t="s">
        <v>224</v>
      </c>
      <c r="D43" s="1291" t="s">
        <v>225</v>
      </c>
      <c r="E43" s="1285" t="s">
        <v>900</v>
      </c>
      <c r="F43" s="1285" t="s">
        <v>901</v>
      </c>
      <c r="G43" s="1285" t="s">
        <v>902</v>
      </c>
      <c r="H43" s="1285" t="s">
        <v>903</v>
      </c>
      <c r="I43" s="1285" t="s">
        <v>904</v>
      </c>
      <c r="J43" s="1285" t="s">
        <v>905</v>
      </c>
      <c r="K43" s="1285" t="s">
        <v>906</v>
      </c>
      <c r="L43" s="1285" t="s">
        <v>881</v>
      </c>
      <c r="Q43" s="206"/>
      <c r="R43" s="300"/>
      <c r="S43" s="8891"/>
      <c r="T43" s="8843"/>
      <c r="U43" s="216"/>
      <c r="V43" s="1252" t="s">
        <v>940</v>
      </c>
      <c r="W43" s="1252" t="s">
        <v>941</v>
      </c>
      <c r="X43" s="1260" t="s">
        <v>909</v>
      </c>
      <c r="Y43" s="8851" t="s">
        <v>910</v>
      </c>
      <c r="Z43" s="8853"/>
      <c r="AA43" s="8931"/>
      <c r="AB43" s="8926"/>
      <c r="AC43" s="8927"/>
      <c r="AD43" s="8927"/>
      <c r="AE43" s="8928"/>
      <c r="AF43" s="8927"/>
      <c r="AG43" s="8927"/>
      <c r="AH43" s="8927"/>
      <c r="AI43" s="8928"/>
      <c r="AJ43" s="8926"/>
      <c r="AK43" s="8927"/>
      <c r="AL43" s="8927"/>
      <c r="AM43" s="8928"/>
      <c r="AN43" s="1779" t="s">
        <v>940</v>
      </c>
      <c r="AO43" s="1779" t="s">
        <v>941</v>
      </c>
      <c r="AP43" s="1260" t="s">
        <v>909</v>
      </c>
      <c r="AQ43" s="8851" t="s">
        <v>910</v>
      </c>
      <c r="AR43" s="8853"/>
      <c r="AS43" s="8897"/>
      <c r="AT43" s="8900"/>
      <c r="AU43" s="8753"/>
    </row>
    <row r="44" spans="1:52" s="1561" customFormat="1" ht="11.25" hidden="1" customHeight="1">
      <c r="A44" s="1291"/>
      <c r="B44" s="1291"/>
      <c r="C44" s="1291"/>
      <c r="D44" s="1291"/>
      <c r="E44" s="1291"/>
      <c r="F44" s="1291"/>
      <c r="G44" s="1291"/>
      <c r="H44" s="1291"/>
      <c r="I44" s="1291"/>
      <c r="J44" s="1291"/>
      <c r="K44" s="1291"/>
      <c r="L44" s="1285"/>
      <c r="M44" s="1283"/>
      <c r="N44" s="1283"/>
      <c r="O44" s="1283"/>
      <c r="P44" s="434"/>
      <c r="Q44" s="1176"/>
      <c r="R44" s="1176">
        <v>1</v>
      </c>
      <c r="S44" s="1202" t="s">
        <v>95</v>
      </c>
      <c r="T44" s="1177" t="s">
        <v>99</v>
      </c>
      <c r="U44" s="1159" t="str">
        <f ca="1">OFFSET(U44,0,-1)</f>
        <v>2</v>
      </c>
      <c r="V44" s="1257">
        <f ca="1">OFFSET(V44,0,-1)+1</f>
        <v>3</v>
      </c>
      <c r="W44" s="1257">
        <f ca="1">OFFSET(W44,0,-1)+1</f>
        <v>4</v>
      </c>
      <c r="X44" s="1257">
        <f ca="1">OFFSET(X44,0,-1)+1</f>
        <v>5</v>
      </c>
      <c r="Y44" s="8890">
        <f ca="1">OFFSET(Y44,0,-1)+1</f>
        <v>6</v>
      </c>
      <c r="Z44" s="8890"/>
      <c r="AA44" s="1257">
        <f ca="1">OFFSET(AA44,0,-2)+1</f>
        <v>7</v>
      </c>
      <c r="AB44" s="1263">
        <f ca="1">OFFSET(AB44,0,-1)+1</f>
        <v>8</v>
      </c>
      <c r="AC44" s="1263"/>
      <c r="AD44" s="1263"/>
      <c r="AE44" s="1263"/>
      <c r="AF44" s="1257"/>
      <c r="AG44" s="1257"/>
      <c r="AH44" s="1257"/>
      <c r="AI44" s="1257"/>
      <c r="AJ44" s="1257"/>
      <c r="AK44" s="1257"/>
      <c r="AL44" s="1257"/>
      <c r="AM44" s="1257"/>
      <c r="AN44" s="1257">
        <f ca="1">OFFSET(AN44,0,-1)+1</f>
        <v>1</v>
      </c>
      <c r="AO44" s="1257">
        <f ca="1">OFFSET(AO44,0,-1)+1</f>
        <v>2</v>
      </c>
      <c r="AP44" s="1257">
        <f ca="1">OFFSET(AP44,0,-1)+1</f>
        <v>3</v>
      </c>
      <c r="AQ44" s="8890">
        <f ca="1">OFFSET(AQ44,0,-1)+1</f>
        <v>4</v>
      </c>
      <c r="AR44" s="8890"/>
      <c r="AS44" s="1257">
        <f ca="1">OFFSET(AS44,0,-2)+1</f>
        <v>5</v>
      </c>
      <c r="AT44" s="1159">
        <f ca="1">OFFSET(AT44,0,-1)</f>
        <v>5</v>
      </c>
      <c r="AU44" s="1257">
        <f ca="1">OFFSET(AU44,0,-1)+1</f>
        <v>6</v>
      </c>
      <c r="AV44" s="435"/>
      <c r="AW44" s="435"/>
      <c r="AX44" s="435"/>
      <c r="AY44" s="435"/>
      <c r="AZ44" s="435"/>
    </row>
    <row r="45" spans="1:52" ht="102" customHeight="1">
      <c r="A45" s="1284" t="s">
        <v>280</v>
      </c>
      <c r="B45" s="1284"/>
      <c r="C45" s="1284"/>
      <c r="D45" s="1284"/>
      <c r="E45" s="8883">
        <v>1</v>
      </c>
      <c r="F45" s="1284"/>
      <c r="G45" s="1284"/>
      <c r="H45" s="1284"/>
      <c r="I45" s="1284"/>
      <c r="J45" s="1284"/>
      <c r="K45" s="1284"/>
      <c r="L45" s="1285"/>
      <c r="M45" s="1286"/>
      <c r="N45" s="1286"/>
      <c r="O45" s="1286"/>
      <c r="P45" s="1330"/>
      <c r="Q45" s="787"/>
      <c r="R45" s="276"/>
      <c r="S45" s="1258">
        <f>INDEX(PT_DIFFERENTIATION_NUM_NTAR,MATCH(A45,PT_DIFFERENTIATION_NTAR_ID,0))</f>
        <v>0</v>
      </c>
      <c r="T45" s="212" t="s">
        <v>211</v>
      </c>
      <c r="U45" s="214"/>
      <c r="V45" s="8870"/>
      <c r="W45" s="8870"/>
      <c r="X45" s="8870"/>
      <c r="Y45" s="8870"/>
      <c r="Z45" s="8870"/>
      <c r="AA45" s="8871"/>
      <c r="AB45" s="8869" t="str">
        <f>INDEX(PT_DIFFERENTIATION_NTAR,MATCH(A45,PT_DIFFERENTIATION_NTAR_ID,0))</f>
        <v/>
      </c>
      <c r="AC45" s="8870"/>
      <c r="AD45" s="8870"/>
      <c r="AE45" s="8870"/>
      <c r="AF45" s="8870"/>
      <c r="AG45" s="8870"/>
      <c r="AH45" s="8870"/>
      <c r="AI45" s="8870"/>
      <c r="AJ45" s="8870"/>
      <c r="AK45" s="8870"/>
      <c r="AL45" s="8870"/>
      <c r="AM45" s="8870"/>
      <c r="AN45" s="8870"/>
      <c r="AO45" s="8870"/>
      <c r="AP45" s="8870"/>
      <c r="AQ45" s="8870"/>
      <c r="AR45" s="8870"/>
      <c r="AS45" s="8870"/>
      <c r="AT45" s="8871"/>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24"/>
      <c r="AX45" s="424" t="str">
        <f t="shared" ref="AX45:AX51" si="2">IF(T45="","",T45)</f>
        <v>Наименование тарифа</v>
      </c>
      <c r="AY45" s="424"/>
      <c r="AZ45" s="424"/>
    </row>
    <row r="46" spans="1:52" ht="21" customHeight="1">
      <c r="A46" s="1284" t="s">
        <v>280</v>
      </c>
      <c r="B46" s="1284" t="s">
        <v>281</v>
      </c>
      <c r="C46" s="1284"/>
      <c r="D46" s="1284"/>
      <c r="E46" s="8884"/>
      <c r="F46" s="8883">
        <v>1</v>
      </c>
      <c r="G46" s="1284"/>
      <c r="H46" s="1284"/>
      <c r="I46" s="1284"/>
      <c r="J46" s="1284"/>
      <c r="K46" s="1284"/>
      <c r="L46" s="1285"/>
      <c r="M46" s="1286"/>
      <c r="N46" s="1286"/>
      <c r="O46" s="1286"/>
      <c r="P46" s="1331"/>
      <c r="Q46" s="1332"/>
      <c r="R46" s="274"/>
      <c r="S46" s="1258" t="str">
        <f>INDEX(PT_DIFFERENTIATION_NUM_TER,MATCH(B46,PT_DIFFERENTIATION_TER_ID,0))</f>
        <v>.</v>
      </c>
      <c r="T46" s="224" t="s">
        <v>862</v>
      </c>
      <c r="U46" s="214"/>
      <c r="V46" s="8870"/>
      <c r="W46" s="8870"/>
      <c r="X46" s="8870"/>
      <c r="Y46" s="8870"/>
      <c r="Z46" s="8870"/>
      <c r="AA46" s="8871"/>
      <c r="AB46" s="8869" t="str">
        <f>INDEX(PT_DIFFERENTIATION_TER,MATCH(B46,PT_DIFFERENTIATION_TER_ID,0))</f>
        <v/>
      </c>
      <c r="AC46" s="8870"/>
      <c r="AD46" s="8870"/>
      <c r="AE46" s="8870"/>
      <c r="AF46" s="8870"/>
      <c r="AG46" s="8870"/>
      <c r="AH46" s="8870"/>
      <c r="AI46" s="8870"/>
      <c r="AJ46" s="8870"/>
      <c r="AK46" s="8870"/>
      <c r="AL46" s="8870"/>
      <c r="AM46" s="8870"/>
      <c r="AN46" s="8870"/>
      <c r="AO46" s="8870"/>
      <c r="AP46" s="8870"/>
      <c r="AQ46" s="8870"/>
      <c r="AR46" s="8870"/>
      <c r="AS46" s="8870"/>
      <c r="AT46" s="8871"/>
      <c r="AU46" s="1182" t="s">
        <v>863</v>
      </c>
      <c r="AW46" s="424"/>
      <c r="AX46" s="424" t="str">
        <f t="shared" si="2"/>
        <v>Территория действия тарифа</v>
      </c>
      <c r="AY46" s="424"/>
      <c r="AZ46" s="424"/>
    </row>
    <row r="47" spans="1:52" ht="23.25" customHeight="1">
      <c r="A47" s="1284" t="s">
        <v>280</v>
      </c>
      <c r="B47" s="1284" t="s">
        <v>281</v>
      </c>
      <c r="C47" s="1284" t="s">
        <v>282</v>
      </c>
      <c r="D47" s="1284"/>
      <c r="E47" s="8884"/>
      <c r="F47" s="8884"/>
      <c r="G47" s="8883">
        <v>1</v>
      </c>
      <c r="H47" s="1284"/>
      <c r="I47" s="1284"/>
      <c r="J47" s="1284"/>
      <c r="K47" s="1284"/>
      <c r="L47" s="1285"/>
      <c r="M47" s="1286"/>
      <c r="N47" s="1286"/>
      <c r="O47" s="1286"/>
      <c r="P47" s="1333"/>
      <c r="Q47" s="1332"/>
      <c r="R47" s="274"/>
      <c r="S47" s="1258" t="str">
        <f>INDEX(PT_DIFFERENTIATION_NUM_CS,MATCH(C47,PT_DIFFERENTIATION_CS_ID,0))</f>
        <v>..</v>
      </c>
      <c r="T47" s="225" t="s">
        <v>864</v>
      </c>
      <c r="U47" s="214"/>
      <c r="V47" s="8870"/>
      <c r="W47" s="8870"/>
      <c r="X47" s="8870"/>
      <c r="Y47" s="8870"/>
      <c r="Z47" s="8870"/>
      <c r="AA47" s="8871"/>
      <c r="AB47" s="8869" t="str">
        <f>INDEX(PT_DIFFERENTIATION_CS,MATCH(C47,PT_DIFFERENTIATION_CS_ID,0))</f>
        <v/>
      </c>
      <c r="AC47" s="8870"/>
      <c r="AD47" s="8870"/>
      <c r="AE47" s="8870"/>
      <c r="AF47" s="8870"/>
      <c r="AG47" s="8870"/>
      <c r="AH47" s="8870"/>
      <c r="AI47" s="8870"/>
      <c r="AJ47" s="8870"/>
      <c r="AK47" s="8870"/>
      <c r="AL47" s="8870"/>
      <c r="AM47" s="8870"/>
      <c r="AN47" s="8870"/>
      <c r="AO47" s="8870"/>
      <c r="AP47" s="8870"/>
      <c r="AQ47" s="8870"/>
      <c r="AR47" s="8870"/>
      <c r="AS47" s="8870"/>
      <c r="AT47" s="8871"/>
      <c r="AU47" s="1182" t="s">
        <v>865</v>
      </c>
      <c r="AW47" s="424"/>
      <c r="AX47" s="424" t="str">
        <f t="shared" si="2"/>
        <v xml:space="preserve">Наименование системы теплоснабжения </v>
      </c>
      <c r="AY47" s="424"/>
      <c r="AZ47" s="424"/>
    </row>
    <row r="48" spans="1:52" ht="21" customHeight="1">
      <c r="A48" s="1284" t="s">
        <v>280</v>
      </c>
      <c r="B48" s="1284" t="s">
        <v>281</v>
      </c>
      <c r="C48" s="1284" t="s">
        <v>282</v>
      </c>
      <c r="D48" s="1284" t="s">
        <v>283</v>
      </c>
      <c r="E48" s="8884"/>
      <c r="F48" s="8884"/>
      <c r="G48" s="8884"/>
      <c r="H48" s="8883">
        <v>1</v>
      </c>
      <c r="I48" s="1284"/>
      <c r="J48" s="1284"/>
      <c r="K48" s="1284"/>
      <c r="L48" s="1285"/>
      <c r="M48" s="1286"/>
      <c r="N48" s="1286"/>
      <c r="O48" s="1286"/>
      <c r="P48" s="1333"/>
      <c r="Q48" s="1332"/>
      <c r="R48" s="274"/>
      <c r="S48" s="1258" t="str">
        <f>INDEX(PT_DIFFERENTIATION_NUM_IST_TE,MATCH(D48,PT_DIFFERENTIATION_IST_TE_ID,0))</f>
        <v>...</v>
      </c>
      <c r="T48" s="226" t="s">
        <v>866</v>
      </c>
      <c r="U48" s="214"/>
      <c r="V48" s="8870"/>
      <c r="W48" s="8870"/>
      <c r="X48" s="8870"/>
      <c r="Y48" s="8870"/>
      <c r="Z48" s="8870"/>
      <c r="AA48" s="8871"/>
      <c r="AB48" s="8869" t="str">
        <f>INDEX(PT_DIFFERENTIATION_IST_TE,MATCH(D48,PT_DIFFERENTIATION_IST_TE_ID,0))</f>
        <v/>
      </c>
      <c r="AC48" s="8870"/>
      <c r="AD48" s="8870"/>
      <c r="AE48" s="8870"/>
      <c r="AF48" s="8870"/>
      <c r="AG48" s="8870"/>
      <c r="AH48" s="8870"/>
      <c r="AI48" s="8870"/>
      <c r="AJ48" s="8870"/>
      <c r="AK48" s="8870"/>
      <c r="AL48" s="8870"/>
      <c r="AM48" s="8870"/>
      <c r="AN48" s="8870"/>
      <c r="AO48" s="8870"/>
      <c r="AP48" s="8870"/>
      <c r="AQ48" s="8870"/>
      <c r="AR48" s="8870"/>
      <c r="AS48" s="8870"/>
      <c r="AT48" s="8871"/>
      <c r="AU48" s="1182" t="s">
        <v>867</v>
      </c>
      <c r="AW48" s="424"/>
      <c r="AX48" s="424" t="str">
        <f t="shared" si="2"/>
        <v xml:space="preserve">Источник тепловой энергии  </v>
      </c>
      <c r="AY48" s="424"/>
      <c r="AZ48" s="424"/>
    </row>
    <row r="49" spans="1:52" s="1562" customFormat="1" ht="0" hidden="1" customHeight="1">
      <c r="A49" s="1265" t="s">
        <v>280</v>
      </c>
      <c r="B49" s="1265" t="s">
        <v>281</v>
      </c>
      <c r="C49" s="1265" t="s">
        <v>282</v>
      </c>
      <c r="D49" s="1265" t="s">
        <v>283</v>
      </c>
      <c r="E49" s="8884"/>
      <c r="F49" s="8884"/>
      <c r="G49" s="8884"/>
      <c r="H49" s="8884"/>
      <c r="I49" s="8881" t="str">
        <f>S48&amp;".1"</f>
        <v>....1</v>
      </c>
      <c r="J49" s="1265"/>
      <c r="K49" s="1265"/>
      <c r="L49" s="1268" t="s">
        <v>868</v>
      </c>
      <c r="M49" s="434"/>
      <c r="N49" s="434"/>
      <c r="O49" s="434"/>
      <c r="P49" s="8882">
        <v>1</v>
      </c>
      <c r="Q49" s="1253"/>
      <c r="R49" s="277"/>
      <c r="S49" s="953"/>
      <c r="T49" s="1304"/>
      <c r="U49" s="1305"/>
      <c r="V49" s="8911"/>
      <c r="W49" s="8911"/>
      <c r="X49" s="8911"/>
      <c r="Y49" s="8911"/>
      <c r="Z49" s="8911"/>
      <c r="AA49" s="8912"/>
      <c r="AB49" s="8910"/>
      <c r="AC49" s="8911"/>
      <c r="AD49" s="8911"/>
      <c r="AE49" s="8911"/>
      <c r="AF49" s="8911"/>
      <c r="AG49" s="8911"/>
      <c r="AH49" s="8911"/>
      <c r="AI49" s="8911"/>
      <c r="AJ49" s="8911"/>
      <c r="AK49" s="8911"/>
      <c r="AL49" s="8911"/>
      <c r="AM49" s="8911"/>
      <c r="AN49" s="8911"/>
      <c r="AO49" s="8911"/>
      <c r="AP49" s="8911"/>
      <c r="AQ49" s="8911"/>
      <c r="AR49" s="8911"/>
      <c r="AS49" s="8911"/>
      <c r="AT49" s="8912"/>
      <c r="AU49" s="1306"/>
      <c r="AW49" s="424"/>
      <c r="AX49" s="424" t="str">
        <f t="shared" si="2"/>
        <v/>
      </c>
      <c r="AY49" s="424"/>
      <c r="AZ49" s="424"/>
    </row>
    <row r="50" spans="1:52" s="1562" customFormat="1" ht="0" hidden="1" customHeight="1">
      <c r="A50" s="1265" t="s">
        <v>280</v>
      </c>
      <c r="B50" s="1265" t="s">
        <v>281</v>
      </c>
      <c r="C50" s="1265" t="s">
        <v>282</v>
      </c>
      <c r="D50" s="1265" t="s">
        <v>283</v>
      </c>
      <c r="E50" s="8884"/>
      <c r="F50" s="8884"/>
      <c r="G50" s="8884"/>
      <c r="H50" s="8884"/>
      <c r="I50" s="8904"/>
      <c r="J50" s="8881" t="str">
        <f>S48&amp;".1"</f>
        <v>....1</v>
      </c>
      <c r="K50" s="1265"/>
      <c r="L50" s="1268"/>
      <c r="M50" s="434"/>
      <c r="N50" s="434"/>
      <c r="O50" s="434"/>
      <c r="P50" s="8882"/>
      <c r="Q50" s="8882">
        <v>1</v>
      </c>
      <c r="R50" s="278"/>
      <c r="S50" s="953"/>
      <c r="T50" s="1320"/>
      <c r="U50" s="1305"/>
      <c r="V50" s="8911"/>
      <c r="W50" s="8911"/>
      <c r="X50" s="8911"/>
      <c r="Y50" s="8911"/>
      <c r="Z50" s="8911"/>
      <c r="AA50" s="8912"/>
      <c r="AB50" s="8910"/>
      <c r="AC50" s="8911"/>
      <c r="AD50" s="8911"/>
      <c r="AE50" s="8911"/>
      <c r="AF50" s="8911"/>
      <c r="AG50" s="8911"/>
      <c r="AH50" s="8911"/>
      <c r="AI50" s="8911"/>
      <c r="AJ50" s="8911"/>
      <c r="AK50" s="8911"/>
      <c r="AL50" s="8911"/>
      <c r="AM50" s="8911"/>
      <c r="AN50" s="8911"/>
      <c r="AO50" s="8911"/>
      <c r="AP50" s="8911"/>
      <c r="AQ50" s="8911"/>
      <c r="AR50" s="8911"/>
      <c r="AS50" s="8911"/>
      <c r="AT50" s="8912"/>
      <c r="AU50" s="1306"/>
      <c r="AW50" s="424"/>
      <c r="AX50" s="424" t="str">
        <f t="shared" si="2"/>
        <v/>
      </c>
      <c r="AY50" s="424"/>
      <c r="AZ50" s="424"/>
    </row>
    <row r="51" spans="1:52" ht="21" customHeight="1">
      <c r="A51" s="1284" t="s">
        <v>280</v>
      </c>
      <c r="B51" s="1284" t="s">
        <v>281</v>
      </c>
      <c r="C51" s="1284" t="s">
        <v>282</v>
      </c>
      <c r="D51" s="1284" t="s">
        <v>283</v>
      </c>
      <c r="E51" s="8884"/>
      <c r="F51" s="8884"/>
      <c r="G51" s="8884"/>
      <c r="H51" s="8884"/>
      <c r="I51" s="8904"/>
      <c r="J51" s="8904"/>
      <c r="K51" s="8881" t="str">
        <f>S48&amp;".1"</f>
        <v>....1</v>
      </c>
      <c r="L51" s="1285"/>
      <c r="P51" s="8882"/>
      <c r="Q51" s="8882"/>
      <c r="R51" s="278">
        <v>1</v>
      </c>
      <c r="S51" s="8933" t="str">
        <f>$K51</f>
        <v>....1</v>
      </c>
      <c r="T51" s="8936"/>
      <c r="U51" s="214"/>
      <c r="V51" s="666"/>
      <c r="W51" s="1181"/>
      <c r="X51" s="1653"/>
      <c r="Y51" s="1377" t="s">
        <v>63</v>
      </c>
      <c r="Z51" s="1653"/>
      <c r="AA51" s="1377" t="s">
        <v>63</v>
      </c>
      <c r="AB51" s="8734" t="s">
        <v>53</v>
      </c>
      <c r="AC51" s="8919"/>
      <c r="AD51" s="8838">
        <v>1</v>
      </c>
      <c r="AE51" s="8940" t="s">
        <v>24</v>
      </c>
      <c r="AF51" s="8734" t="s">
        <v>53</v>
      </c>
      <c r="AG51" s="8919"/>
      <c r="AH51" s="8838">
        <v>1</v>
      </c>
      <c r="AI51" s="8940" t="s">
        <v>24</v>
      </c>
      <c r="AJ51" s="8734" t="s">
        <v>53</v>
      </c>
      <c r="AK51" s="227"/>
      <c r="AL51" s="1259">
        <v>1</v>
      </c>
      <c r="AM51" s="1323"/>
      <c r="AN51" s="666"/>
      <c r="AO51" s="1181"/>
      <c r="AP51" s="1653"/>
      <c r="AQ51" s="1377" t="s">
        <v>63</v>
      </c>
      <c r="AR51" s="1653"/>
      <c r="AS51" s="1377" t="s">
        <v>63</v>
      </c>
      <c r="AT51" s="1270"/>
      <c r="AU51" s="8878" t="s">
        <v>942</v>
      </c>
      <c r="AV51" s="435" t="e">
        <f ca="1">STRCHECKDATE(V54:AT54)</f>
        <v>#NAME?</v>
      </c>
      <c r="AW51" s="424"/>
      <c r="AX51" s="424" t="str">
        <f t="shared" si="2"/>
        <v/>
      </c>
      <c r="AY51" s="424"/>
      <c r="AZ51" s="424"/>
    </row>
    <row r="52" spans="1:52" ht="11.25" customHeight="1">
      <c r="A52" s="1284" t="s">
        <v>280</v>
      </c>
      <c r="B52" s="1284"/>
      <c r="C52" s="1284"/>
      <c r="D52" s="1284"/>
      <c r="E52" s="8884"/>
      <c r="F52" s="8884"/>
      <c r="G52" s="8884"/>
      <c r="H52" s="8884"/>
      <c r="I52" s="8904"/>
      <c r="J52" s="8904"/>
      <c r="K52" s="8881"/>
      <c r="L52" s="1285"/>
      <c r="P52" s="8882"/>
      <c r="Q52" s="8882"/>
      <c r="R52" s="278"/>
      <c r="S52" s="8934"/>
      <c r="T52" s="8937"/>
      <c r="U52" s="214"/>
      <c r="V52" s="1314"/>
      <c r="W52" s="1411"/>
      <c r="X52" s="1314"/>
      <c r="Y52" s="1314"/>
      <c r="Z52" s="1314"/>
      <c r="AA52" s="1314"/>
      <c r="AB52" s="8734"/>
      <c r="AC52" s="8919"/>
      <c r="AD52" s="8838"/>
      <c r="AE52" s="8940"/>
      <c r="AF52" s="8734"/>
      <c r="AG52" s="8919"/>
      <c r="AH52" s="8838"/>
      <c r="AI52" s="8940"/>
      <c r="AJ52" s="8734"/>
      <c r="AK52" s="234"/>
      <c r="AL52" s="345"/>
      <c r="AM52" s="344" t="s">
        <v>926</v>
      </c>
      <c r="AN52" s="1314"/>
      <c r="AO52" s="1411"/>
      <c r="AP52" s="1314"/>
      <c r="AQ52" s="1314"/>
      <c r="AR52" s="1314"/>
      <c r="AS52" s="1314"/>
      <c r="AT52" s="1311"/>
      <c r="AU52" s="8879"/>
      <c r="AW52" s="424"/>
      <c r="AX52" s="424"/>
      <c r="AY52" s="424"/>
      <c r="AZ52" s="424"/>
    </row>
    <row r="53" spans="1:52" ht="11.25" customHeight="1">
      <c r="A53" s="1284" t="s">
        <v>280</v>
      </c>
      <c r="B53" s="1284"/>
      <c r="C53" s="1284"/>
      <c r="D53" s="1284"/>
      <c r="E53" s="8884"/>
      <c r="F53" s="8884"/>
      <c r="G53" s="8884"/>
      <c r="H53" s="8884"/>
      <c r="I53" s="8904"/>
      <c r="J53" s="8904"/>
      <c r="K53" s="8881"/>
      <c r="L53" s="1285"/>
      <c r="P53" s="8882"/>
      <c r="Q53" s="8882"/>
      <c r="R53" s="278"/>
      <c r="S53" s="8934"/>
      <c r="T53" s="8937"/>
      <c r="U53" s="214"/>
      <c r="V53" s="1314"/>
      <c r="W53" s="1411"/>
      <c r="X53" s="1314"/>
      <c r="Y53" s="1314"/>
      <c r="Z53" s="1314"/>
      <c r="AA53" s="1314"/>
      <c r="AB53" s="8734"/>
      <c r="AC53" s="8919"/>
      <c r="AD53" s="8838"/>
      <c r="AE53" s="8940"/>
      <c r="AF53" s="8734"/>
      <c r="AG53" s="208"/>
      <c r="AH53" s="344"/>
      <c r="AI53" s="344" t="s">
        <v>927</v>
      </c>
      <c r="AJ53" s="1314"/>
      <c r="AK53" s="1314"/>
      <c r="AL53" s="1314"/>
      <c r="AM53" s="1314"/>
      <c r="AN53" s="1314"/>
      <c r="AO53" s="1411"/>
      <c r="AP53" s="1314"/>
      <c r="AQ53" s="1314"/>
      <c r="AR53" s="1314"/>
      <c r="AS53" s="1314"/>
      <c r="AT53" s="1311"/>
      <c r="AU53" s="8879"/>
      <c r="AW53" s="424"/>
      <c r="AX53" s="424"/>
      <c r="AY53" s="424"/>
      <c r="AZ53" s="424"/>
    </row>
    <row r="54" spans="1:52" ht="11.25" customHeight="1">
      <c r="A54" s="1284" t="s">
        <v>280</v>
      </c>
      <c r="B54" s="1284" t="s">
        <v>281</v>
      </c>
      <c r="C54" s="1284" t="s">
        <v>282</v>
      </c>
      <c r="D54" s="1284" t="s">
        <v>283</v>
      </c>
      <c r="E54" s="8884"/>
      <c r="F54" s="8884"/>
      <c r="G54" s="8884"/>
      <c r="H54" s="8884"/>
      <c r="I54" s="8904"/>
      <c r="J54" s="8904"/>
      <c r="K54" s="8881"/>
      <c r="L54" s="1285"/>
      <c r="P54" s="8882"/>
      <c r="Q54" s="8882"/>
      <c r="R54" s="278"/>
      <c r="S54" s="8935"/>
      <c r="T54" s="8938"/>
      <c r="U54" s="214"/>
      <c r="V54" s="1314"/>
      <c r="W54" s="1315" t="str">
        <f>X51&amp;"-"&amp;Z51</f>
        <v>-</v>
      </c>
      <c r="X54" s="1314"/>
      <c r="Y54" s="1314"/>
      <c r="Z54" s="1314"/>
      <c r="AA54" s="1314"/>
      <c r="AB54" s="8734"/>
      <c r="AC54" s="228"/>
      <c r="AD54" s="230"/>
      <c r="AE54" s="344" t="s">
        <v>928</v>
      </c>
      <c r="AF54" s="1314"/>
      <c r="AG54" s="1314"/>
      <c r="AH54" s="1314"/>
      <c r="AI54" s="1314"/>
      <c r="AJ54" s="1314"/>
      <c r="AK54" s="1314"/>
      <c r="AL54" s="1314"/>
      <c r="AM54" s="1314"/>
      <c r="AN54" s="1314"/>
      <c r="AO54" s="1315" t="str">
        <f>AP51&amp;"-"&amp;AR51</f>
        <v>-</v>
      </c>
      <c r="AP54" s="1314"/>
      <c r="AQ54" s="1314"/>
      <c r="AR54" s="1314"/>
      <c r="AS54" s="1314"/>
      <c r="AT54" s="1271"/>
      <c r="AU54" s="8879"/>
      <c r="AW54" s="424"/>
      <c r="AX54" s="424" t="str">
        <f t="shared" ref="AX54:AX62" si="3">IF(T54="","",T54)</f>
        <v/>
      </c>
      <c r="AY54" s="424"/>
      <c r="AZ54" s="424"/>
    </row>
    <row r="55" spans="1:52" ht="11.25" customHeight="1">
      <c r="A55" s="1284" t="s">
        <v>280</v>
      </c>
      <c r="B55" s="1284" t="s">
        <v>281</v>
      </c>
      <c r="C55" s="1284" t="s">
        <v>282</v>
      </c>
      <c r="D55" s="1284" t="s">
        <v>283</v>
      </c>
      <c r="E55" s="8884"/>
      <c r="F55" s="8884"/>
      <c r="G55" s="8884"/>
      <c r="H55" s="8884"/>
      <c r="I55" s="8904"/>
      <c r="J55" s="8881"/>
      <c r="K55" s="1284"/>
      <c r="L55" s="1285"/>
      <c r="P55" s="8882"/>
      <c r="Q55" s="8882"/>
      <c r="R55" s="277"/>
      <c r="S55" s="1203"/>
      <c r="T55" s="202" t="s">
        <v>929</v>
      </c>
      <c r="U55" s="291"/>
      <c r="V55" s="291"/>
      <c r="W55" s="291"/>
      <c r="X55" s="291"/>
      <c r="Y55" s="291"/>
      <c r="Z55" s="291"/>
      <c r="AA55" s="245"/>
      <c r="AB55" s="1420"/>
      <c r="AC55" s="291"/>
      <c r="AD55" s="291"/>
      <c r="AE55" s="291"/>
      <c r="AF55" s="291"/>
      <c r="AG55" s="291"/>
      <c r="AH55" s="291"/>
      <c r="AI55" s="291"/>
      <c r="AJ55" s="291"/>
      <c r="AK55" s="291"/>
      <c r="AL55" s="291"/>
      <c r="AM55" s="291"/>
      <c r="AN55" s="291"/>
      <c r="AO55" s="291"/>
      <c r="AP55" s="291"/>
      <c r="AQ55" s="291"/>
      <c r="AR55" s="291"/>
      <c r="AS55" s="291"/>
      <c r="AT55" s="245"/>
      <c r="AU55" s="8880"/>
      <c r="AW55" s="424"/>
      <c r="AX55" s="424" t="str">
        <f t="shared" si="3"/>
        <v>Добавить строку</v>
      </c>
      <c r="AY55" s="424"/>
      <c r="AZ55" s="424"/>
    </row>
    <row r="56" spans="1:52" s="1562" customFormat="1" ht="0" hidden="1" customHeight="1">
      <c r="A56" s="1265" t="s">
        <v>280</v>
      </c>
      <c r="B56" s="1265" t="s">
        <v>281</v>
      </c>
      <c r="C56" s="1265" t="s">
        <v>282</v>
      </c>
      <c r="D56" s="1265" t="s">
        <v>283</v>
      </c>
      <c r="E56" s="8884"/>
      <c r="F56" s="8884"/>
      <c r="G56" s="8884"/>
      <c r="H56" s="8884"/>
      <c r="I56" s="8881"/>
      <c r="J56" s="1265"/>
      <c r="K56" s="1265"/>
      <c r="L56" s="1268"/>
      <c r="M56" s="434"/>
      <c r="N56" s="434"/>
      <c r="O56" s="434"/>
      <c r="P56" s="8882"/>
      <c r="Q56" s="1253"/>
      <c r="R56" s="277"/>
      <c r="S56" s="1307"/>
      <c r="T56" s="1308" t="s">
        <v>877</v>
      </c>
      <c r="U56" s="1309"/>
      <c r="V56" s="1309"/>
      <c r="W56" s="1309"/>
      <c r="X56" s="1309"/>
      <c r="Y56" s="1309"/>
      <c r="Z56" s="1309"/>
      <c r="AA56" s="1309"/>
      <c r="AB56" s="1309"/>
      <c r="AC56" s="1309"/>
      <c r="AD56" s="1309"/>
      <c r="AE56" s="1309"/>
      <c r="AF56" s="1309"/>
      <c r="AG56" s="1309"/>
      <c r="AH56" s="1309"/>
      <c r="AI56" s="1309"/>
      <c r="AJ56" s="1309"/>
      <c r="AK56" s="1309"/>
      <c r="AL56" s="1309"/>
      <c r="AM56" s="1309"/>
      <c r="AN56" s="1309"/>
      <c r="AO56" s="1309"/>
      <c r="AP56" s="1309"/>
      <c r="AQ56" s="1309"/>
      <c r="AR56" s="1309"/>
      <c r="AS56" s="1309"/>
      <c r="AT56" s="1309"/>
      <c r="AU56" s="1310"/>
      <c r="AW56" s="424"/>
      <c r="AX56" s="424" t="str">
        <f t="shared" si="3"/>
        <v>Добавить группу потребителей</v>
      </c>
      <c r="AY56" s="424"/>
      <c r="AZ56" s="424"/>
    </row>
    <row r="57" spans="1:52" s="1561" customFormat="1" ht="0" hidden="1" customHeight="1">
      <c r="A57" s="1265" t="s">
        <v>280</v>
      </c>
      <c r="B57" s="1265" t="s">
        <v>281</v>
      </c>
      <c r="C57" s="1265" t="s">
        <v>282</v>
      </c>
      <c r="D57" s="1265" t="s">
        <v>283</v>
      </c>
      <c r="E57" s="8884"/>
      <c r="F57" s="8884"/>
      <c r="G57" s="8884"/>
      <c r="H57" s="8883"/>
      <c r="I57" s="1265"/>
      <c r="J57" s="1265"/>
      <c r="K57" s="1265"/>
      <c r="L57" s="1268"/>
      <c r="M57" s="1238"/>
      <c r="N57" s="1238"/>
      <c r="O57" s="442"/>
      <c r="P57" s="308"/>
      <c r="Q57" s="1266"/>
      <c r="R57" s="1321"/>
      <c r="S57" s="1307"/>
      <c r="T57" s="1308"/>
      <c r="U57" s="1309"/>
      <c r="V57" s="1309"/>
      <c r="W57" s="1309"/>
      <c r="X57" s="1309"/>
      <c r="Y57" s="1309"/>
      <c r="Z57" s="1309"/>
      <c r="AA57" s="1309"/>
      <c r="AB57" s="1309"/>
      <c r="AC57" s="1309"/>
      <c r="AD57" s="1309"/>
      <c r="AE57" s="1309"/>
      <c r="AF57" s="1309"/>
      <c r="AG57" s="1309"/>
      <c r="AH57" s="1309"/>
      <c r="AI57" s="1309"/>
      <c r="AJ57" s="1309"/>
      <c r="AK57" s="1309"/>
      <c r="AL57" s="1309"/>
      <c r="AM57" s="1309"/>
      <c r="AN57" s="1309"/>
      <c r="AO57" s="1309"/>
      <c r="AP57" s="1309"/>
      <c r="AQ57" s="1309"/>
      <c r="AR57" s="1309"/>
      <c r="AS57" s="1309"/>
      <c r="AT57" s="1309"/>
      <c r="AU57" s="1310"/>
      <c r="AV57" s="435"/>
      <c r="AW57" s="424"/>
      <c r="AX57" s="424" t="str">
        <f t="shared" si="3"/>
        <v/>
      </c>
      <c r="AY57" s="424"/>
      <c r="AZ57" s="424"/>
    </row>
    <row r="58" spans="1:52" s="1562" customFormat="1" ht="0" hidden="1" customHeight="1">
      <c r="A58" s="1265" t="s">
        <v>280</v>
      </c>
      <c r="B58" s="1265" t="s">
        <v>281</v>
      </c>
      <c r="C58" s="1265" t="s">
        <v>282</v>
      </c>
      <c r="D58" s="1237"/>
      <c r="E58" s="8884"/>
      <c r="F58" s="8884"/>
      <c r="G58" s="8883"/>
      <c r="H58" s="1237"/>
      <c r="I58" s="1237"/>
      <c r="J58" s="1237"/>
      <c r="K58" s="1237"/>
      <c r="L58" s="1261"/>
      <c r="M58" s="1238"/>
      <c r="N58" s="1238"/>
      <c r="P58" s="1239"/>
      <c r="Q58" s="1240"/>
      <c r="R58" s="1239"/>
      <c r="S58" s="1245"/>
      <c r="T58" s="1248" t="s">
        <v>879</v>
      </c>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W58" s="703"/>
      <c r="AX58" s="703" t="str">
        <f t="shared" si="3"/>
        <v>Добавить источник для дифференциации</v>
      </c>
      <c r="AY58" s="703"/>
      <c r="AZ58" s="703"/>
    </row>
    <row r="59" spans="1:52" s="1562" customFormat="1" ht="0" hidden="1" customHeight="1">
      <c r="A59" s="1265" t="s">
        <v>280</v>
      </c>
      <c r="B59" s="1265" t="s">
        <v>281</v>
      </c>
      <c r="C59" s="1237"/>
      <c r="D59" s="1237"/>
      <c r="E59" s="8884"/>
      <c r="F59" s="8883"/>
      <c r="G59" s="1237"/>
      <c r="H59" s="1237"/>
      <c r="I59" s="1237"/>
      <c r="J59" s="1237"/>
      <c r="K59" s="1237"/>
      <c r="L59" s="1261"/>
      <c r="M59" s="1244"/>
      <c r="N59" s="1244"/>
      <c r="P59" s="1239"/>
      <c r="Q59" s="1240"/>
      <c r="R59" s="1239"/>
      <c r="S59" s="1245"/>
      <c r="T59" s="1248" t="s">
        <v>314</v>
      </c>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W59" s="703"/>
      <c r="AX59" s="703" t="str">
        <f t="shared" si="3"/>
        <v>Добавить централизованную систему для дифференциации</v>
      </c>
      <c r="AY59" s="703"/>
      <c r="AZ59" s="703"/>
    </row>
    <row r="60" spans="1:52" s="1562" customFormat="1" ht="0" hidden="1" customHeight="1">
      <c r="A60" s="1265" t="s">
        <v>280</v>
      </c>
      <c r="B60" s="1265"/>
      <c r="C60" s="1265"/>
      <c r="D60" s="1265"/>
      <c r="E60" s="8884"/>
      <c r="F60" s="1265"/>
      <c r="G60" s="1265"/>
      <c r="H60" s="1265"/>
      <c r="I60" s="1265"/>
      <c r="J60" s="1265"/>
      <c r="K60" s="1265"/>
      <c r="L60" s="1268"/>
      <c r="M60" s="1244"/>
      <c r="N60" s="1244"/>
      <c r="O60" s="442"/>
      <c r="P60" s="308"/>
      <c r="Q60" s="1266"/>
      <c r="R60" s="308"/>
      <c r="S60" s="1245"/>
      <c r="T60" s="1248" t="s">
        <v>315</v>
      </c>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W60" s="424"/>
      <c r="AX60" s="424" t="str">
        <f t="shared" si="3"/>
        <v>Добавить территорию для дифференциации</v>
      </c>
      <c r="AY60" s="424"/>
      <c r="AZ60" s="424"/>
    </row>
    <row r="61" spans="1:52" s="1562" customFormat="1" ht="0" hidden="1" customHeight="1">
      <c r="A61" s="1265" t="s">
        <v>280</v>
      </c>
      <c r="B61" s="1265"/>
      <c r="C61" s="1265"/>
      <c r="D61" s="1265"/>
      <c r="E61" s="8883"/>
      <c r="F61" s="1265"/>
      <c r="G61" s="1265"/>
      <c r="H61" s="1265"/>
      <c r="I61" s="1265"/>
      <c r="J61" s="1265"/>
      <c r="K61" s="1265"/>
      <c r="L61" s="1268"/>
      <c r="M61" s="1244"/>
      <c r="N61" s="1244"/>
      <c r="O61" s="442"/>
      <c r="P61" s="308"/>
      <c r="Q61" s="1266"/>
      <c r="R61" s="308"/>
      <c r="S61" s="1245"/>
      <c r="T61" s="1248" t="s">
        <v>315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W61" s="424"/>
      <c r="AX61" s="424" t="str">
        <f t="shared" si="3"/>
        <v>Добавить территорию для дифференциации</v>
      </c>
      <c r="AY61" s="424"/>
      <c r="AZ61" s="424"/>
    </row>
    <row r="62" spans="1:52" s="1562" customFormat="1" ht="0" hidden="1" customHeight="1">
      <c r="A62" s="1237"/>
      <c r="B62" s="1237"/>
      <c r="C62" s="1237"/>
      <c r="D62" s="1237"/>
      <c r="E62" s="1265"/>
      <c r="F62" s="1237"/>
      <c r="G62" s="1237"/>
      <c r="H62" s="1237"/>
      <c r="I62" s="1237"/>
      <c r="J62" s="1237"/>
      <c r="K62" s="1237"/>
      <c r="L62" s="1261"/>
      <c r="M62" s="1244"/>
      <c r="N62" s="1244"/>
      <c r="P62" s="1239"/>
      <c r="Q62" s="1240"/>
      <c r="R62" s="1239"/>
      <c r="S62" s="1245"/>
      <c r="T62" s="1248" t="s">
        <v>706</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W62" s="703"/>
      <c r="AX62" s="703" t="str">
        <f t="shared" si="3"/>
        <v>Добавить наименование тарифа</v>
      </c>
      <c r="AY62" s="703"/>
      <c r="AZ62" s="703"/>
    </row>
    <row r="63" spans="1:52" ht="11.25" customHeight="1">
      <c r="M63" s="1065"/>
      <c r="N63" s="1065"/>
      <c r="O63" s="460"/>
      <c r="P63" s="1065"/>
      <c r="Q63" s="1065"/>
      <c r="R63" s="1060"/>
      <c r="S63" s="1060"/>
      <c r="AV63" s="1060"/>
      <c r="AW63" s="1060"/>
      <c r="AX63" s="1060"/>
      <c r="AY63" s="1060"/>
      <c r="AZ63" s="1060"/>
    </row>
    <row r="64" spans="1:52" ht="18.75" customHeight="1">
      <c r="O64" s="460"/>
      <c r="S64" s="1169"/>
      <c r="T64" s="8903"/>
      <c r="U64" s="8903"/>
      <c r="V64" s="8903"/>
      <c r="W64" s="8903"/>
      <c r="X64" s="8903"/>
      <c r="Y64" s="8903"/>
      <c r="Z64" s="8903"/>
      <c r="AA64" s="8903"/>
      <c r="AB64" s="8903"/>
      <c r="AC64" s="8903"/>
      <c r="AD64" s="8903"/>
      <c r="AE64" s="8903"/>
      <c r="AF64" s="8903"/>
      <c r="AG64" s="8903"/>
      <c r="AH64" s="8903"/>
      <c r="AI64" s="8903"/>
      <c r="AJ64" s="8903"/>
      <c r="AK64" s="8903"/>
      <c r="AL64" s="8903"/>
      <c r="AM64" s="8903"/>
      <c r="AN64" s="8903"/>
      <c r="AO64" s="8903"/>
      <c r="AP64" s="8903"/>
      <c r="AQ64" s="8903"/>
      <c r="AR64" s="8903"/>
      <c r="AS64" s="8903"/>
      <c r="AT64" s="8903"/>
      <c r="AU64" s="8903"/>
    </row>
    <row r="65" spans="15:47" ht="19.5" customHeight="1">
      <c r="O65" s="460"/>
      <c r="T65" s="8903"/>
      <c r="U65" s="8903"/>
      <c r="V65" s="8903"/>
      <c r="W65" s="8903"/>
      <c r="X65" s="8903"/>
      <c r="Y65" s="8903"/>
      <c r="Z65" s="8903"/>
      <c r="AA65" s="8903"/>
      <c r="AB65" s="8903"/>
      <c r="AC65" s="8903"/>
      <c r="AD65" s="8903"/>
      <c r="AE65" s="8903"/>
      <c r="AF65" s="8903"/>
      <c r="AG65" s="8903"/>
      <c r="AH65" s="8903"/>
      <c r="AI65" s="8903"/>
      <c r="AJ65" s="8903"/>
      <c r="AK65" s="8903"/>
      <c r="AL65" s="8903"/>
      <c r="AM65" s="8903"/>
      <c r="AN65" s="8903"/>
      <c r="AO65" s="8903"/>
      <c r="AP65" s="8903"/>
      <c r="AQ65" s="8903"/>
      <c r="AR65" s="8903"/>
      <c r="AS65" s="8903"/>
      <c r="AT65" s="8903"/>
      <c r="AU65" s="8903"/>
    </row>
    <row r="66" spans="15:47" ht="14.25" customHeight="1">
      <c r="O66" s="460"/>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row>
    <row r="67" spans="15:47" ht="18.75" customHeight="1">
      <c r="O67" s="460"/>
      <c r="T67" s="8903"/>
      <c r="U67" s="8903"/>
      <c r="V67" s="8903"/>
      <c r="W67" s="8903"/>
      <c r="X67" s="8903"/>
      <c r="Y67" s="8903"/>
      <c r="Z67" s="8903"/>
      <c r="AA67" s="8903"/>
      <c r="AB67" s="8903"/>
      <c r="AC67" s="8903"/>
      <c r="AD67" s="8903"/>
      <c r="AE67" s="8903"/>
      <c r="AF67" s="8903"/>
      <c r="AG67" s="8903"/>
      <c r="AH67" s="8903"/>
      <c r="AI67" s="8903"/>
      <c r="AJ67" s="8903"/>
      <c r="AK67" s="8903"/>
      <c r="AL67" s="8903"/>
      <c r="AM67" s="8903"/>
      <c r="AN67" s="8903"/>
      <c r="AO67" s="8903"/>
      <c r="AP67" s="8903"/>
      <c r="AQ67" s="8903"/>
      <c r="AR67" s="8903"/>
      <c r="AS67" s="8903"/>
      <c r="AT67" s="8903"/>
      <c r="AU67" s="8903"/>
    </row>
    <row r="68" spans="15:47" ht="15.75" customHeight="1">
      <c r="O68" s="460"/>
      <c r="T68" s="8903"/>
      <c r="U68" s="8903"/>
      <c r="V68" s="8903"/>
      <c r="W68" s="8903"/>
      <c r="X68" s="8903"/>
      <c r="Y68" s="8903"/>
      <c r="Z68" s="8903"/>
      <c r="AA68" s="8903"/>
      <c r="AB68" s="8903"/>
      <c r="AC68" s="8903"/>
      <c r="AD68" s="8903"/>
      <c r="AE68" s="8903"/>
      <c r="AF68" s="8903"/>
      <c r="AG68" s="8903"/>
      <c r="AH68" s="8903"/>
      <c r="AI68" s="8903"/>
      <c r="AJ68" s="8903"/>
      <c r="AK68" s="8903"/>
      <c r="AL68" s="8903"/>
      <c r="AM68" s="8903"/>
      <c r="AN68" s="8903"/>
      <c r="AO68" s="8903"/>
      <c r="AP68" s="8903"/>
      <c r="AQ68" s="8903"/>
      <c r="AR68" s="8903"/>
      <c r="AS68" s="8903"/>
      <c r="AT68" s="8903"/>
      <c r="AU68" s="8903"/>
    </row>
    <row r="69" spans="15:47" ht="14.25" customHeight="1">
      <c r="O69" s="460"/>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8883">
        <v>1</v>
      </c>
      <c r="F2" s="1284"/>
      <c r="G2" s="1284"/>
      <c r="H2" s="1284"/>
      <c r="I2" s="1284"/>
      <c r="J2" s="1284"/>
      <c r="K2" s="1284"/>
      <c r="L2" s="1285"/>
      <c r="M2" s="1286"/>
      <c r="N2" s="1286"/>
      <c r="O2" s="1286"/>
      <c r="P2" s="282"/>
      <c r="Q2" s="281"/>
      <c r="R2" s="276"/>
      <c r="S2" s="1345" t="e">
        <f>INDEX(PT_DIFFERENTIATION_NUM_NTAR,MATCH(A2,PT_DIFFERENTIATION_NTAR_ID,0))</f>
        <v>#N/A</v>
      </c>
      <c r="T2" s="212" t="s">
        <v>211</v>
      </c>
      <c r="U2" s="214"/>
      <c r="V2" s="8869"/>
      <c r="W2" s="8870"/>
      <c r="X2" s="8870"/>
      <c r="Y2" s="8870"/>
      <c r="Z2" s="8870"/>
      <c r="AA2" s="8870"/>
      <c r="AB2" s="8871"/>
      <c r="AC2" s="8869" t="e">
        <f>INDEX(PT_DIFFERENTIATION_NTAR,MATCH(A2,PT_DIFFERENTIATION_NTAR_ID,0))</f>
        <v>#N/A</v>
      </c>
      <c r="AD2" s="8870"/>
      <c r="AE2" s="8870"/>
      <c r="AF2" s="8870"/>
      <c r="AG2" s="8870"/>
      <c r="AH2" s="8870"/>
      <c r="AI2" s="8870"/>
      <c r="AJ2" s="887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8884"/>
      <c r="F3" s="8883">
        <v>1</v>
      </c>
      <c r="G3" s="1284"/>
      <c r="H3" s="1284"/>
      <c r="I3" s="1284"/>
      <c r="J3" s="1284"/>
      <c r="K3" s="1284"/>
      <c r="L3" s="1285"/>
      <c r="M3" s="1286"/>
      <c r="N3" s="1286"/>
      <c r="O3" s="1286"/>
      <c r="P3" s="1343"/>
      <c r="Q3" s="273"/>
      <c r="R3" s="274"/>
      <c r="S3" s="1345" t="e">
        <f>INDEX(PT_DIFFERENTIATION_NUM_TER,MATCH(B3,PT_DIFFERENTIATION_TER_ID,0))</f>
        <v>#N/A</v>
      </c>
      <c r="T3" s="224" t="s">
        <v>862</v>
      </c>
      <c r="U3" s="214"/>
      <c r="V3" s="8869"/>
      <c r="W3" s="8870"/>
      <c r="X3" s="8870"/>
      <c r="Y3" s="8870"/>
      <c r="Z3" s="8870"/>
      <c r="AA3" s="8870"/>
      <c r="AB3" s="8871"/>
      <c r="AC3" s="8869" t="e">
        <f>INDEX(PT_DIFFERENTIATION_TER,MATCH(B3,PT_DIFFERENTIATION_TER_ID,0))</f>
        <v>#N/A</v>
      </c>
      <c r="AD3" s="8870"/>
      <c r="AE3" s="8870"/>
      <c r="AF3" s="8870"/>
      <c r="AG3" s="8870"/>
      <c r="AH3" s="8870"/>
      <c r="AI3" s="8870"/>
      <c r="AJ3" s="8871"/>
      <c r="AK3" s="1182" t="s">
        <v>863</v>
      </c>
      <c r="AM3" s="424"/>
      <c r="AN3" s="424" t="str">
        <f t="shared" si="0"/>
        <v>Территория действия тарифа</v>
      </c>
      <c r="AO3" s="424"/>
      <c r="AP3" s="424"/>
    </row>
    <row r="4" spans="1:42" ht="23.25" hidden="1" customHeight="1">
      <c r="A4" s="1284"/>
      <c r="B4" s="1284"/>
      <c r="C4" s="1284"/>
      <c r="D4" s="1284"/>
      <c r="E4" s="8884"/>
      <c r="F4" s="8884"/>
      <c r="G4" s="8883">
        <v>1</v>
      </c>
      <c r="H4" s="1284"/>
      <c r="I4" s="1284"/>
      <c r="J4" s="1284"/>
      <c r="K4" s="1284"/>
      <c r="L4" s="1285"/>
      <c r="M4" s="1286"/>
      <c r="N4" s="1286"/>
      <c r="O4" s="1286"/>
      <c r="P4" s="275"/>
      <c r="Q4" s="273"/>
      <c r="R4" s="274"/>
      <c r="S4" s="1345" t="e">
        <f>INDEX(PT_DIFFERENTIATION_NUM_CS,MATCH(C4,PT_DIFFERENTIATION_CS_ID,0))</f>
        <v>#N/A</v>
      </c>
      <c r="T4" s="225" t="s">
        <v>943</v>
      </c>
      <c r="U4" s="214"/>
      <c r="V4" s="8869"/>
      <c r="W4" s="8870"/>
      <c r="X4" s="8870"/>
      <c r="Y4" s="8870"/>
      <c r="Z4" s="8870"/>
      <c r="AA4" s="8870"/>
      <c r="AB4" s="8871"/>
      <c r="AC4" s="8869" t="e">
        <f>INDEX(PT_DIFFERENTIATION_CS,MATCH(C4,PT_DIFFERENTIATION_CS_ID,0))</f>
        <v>#N/A</v>
      </c>
      <c r="AD4" s="8870"/>
      <c r="AE4" s="8870"/>
      <c r="AF4" s="8870"/>
      <c r="AG4" s="8870"/>
      <c r="AH4" s="8870"/>
      <c r="AI4" s="8870"/>
      <c r="AJ4" s="8871"/>
      <c r="AK4" s="1182" t="s">
        <v>944</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8884"/>
      <c r="F5" s="8884"/>
      <c r="G5" s="8884"/>
      <c r="H5" s="8884"/>
      <c r="I5" s="8881" t="e">
        <f>S4&amp;".1"</f>
        <v>#N/A</v>
      </c>
      <c r="J5" s="1284"/>
      <c r="K5" s="1284"/>
      <c r="L5" s="1285"/>
      <c r="P5" s="8882">
        <v>1</v>
      </c>
      <c r="Q5" s="1342"/>
      <c r="R5" s="277"/>
      <c r="S5" s="1345" t="e">
        <f>$I5</f>
        <v>#N/A</v>
      </c>
      <c r="T5" s="200" t="s">
        <v>945</v>
      </c>
      <c r="U5" s="214"/>
      <c r="V5" s="8942"/>
      <c r="W5" s="8943"/>
      <c r="X5" s="8943"/>
      <c r="Y5" s="8943"/>
      <c r="Z5" s="8943"/>
      <c r="AA5" s="8943"/>
      <c r="AB5" s="8944"/>
      <c r="AC5" s="8945"/>
      <c r="AD5" s="8946"/>
      <c r="AE5" s="8946"/>
      <c r="AF5" s="8946"/>
      <c r="AG5" s="8946"/>
      <c r="AH5" s="8946"/>
      <c r="AI5" s="8946"/>
      <c r="AJ5" s="8947"/>
      <c r="AK5" s="1182" t="s">
        <v>946</v>
      </c>
      <c r="AM5" s="424"/>
      <c r="AN5" s="424" t="str">
        <f t="shared" si="0"/>
        <v>Наименование признака дифференциации</v>
      </c>
      <c r="AO5" s="424"/>
      <c r="AP5" s="424"/>
    </row>
    <row r="6" spans="1:42" ht="23.25" hidden="1" customHeight="1">
      <c r="A6" s="1284"/>
      <c r="B6" s="1284"/>
      <c r="C6" s="1284"/>
      <c r="D6" s="1284"/>
      <c r="E6" s="8884"/>
      <c r="F6" s="8884"/>
      <c r="G6" s="8884"/>
      <c r="H6" s="8884"/>
      <c r="I6" s="8904"/>
      <c r="J6" s="8881" t="e">
        <f>I5&amp;".1"</f>
        <v>#N/A</v>
      </c>
      <c r="K6" s="1284"/>
      <c r="L6" s="1285" t="s">
        <v>871</v>
      </c>
      <c r="P6" s="8882"/>
      <c r="Q6" s="8882">
        <v>1</v>
      </c>
      <c r="R6" s="278"/>
      <c r="S6" s="1345" t="e">
        <f>$J6</f>
        <v>#N/A</v>
      </c>
      <c r="T6" s="201" t="s">
        <v>872</v>
      </c>
      <c r="U6" s="214"/>
      <c r="V6" s="8872"/>
      <c r="W6" s="8873"/>
      <c r="X6" s="8873"/>
      <c r="Y6" s="8873"/>
      <c r="Z6" s="8873"/>
      <c r="AA6" s="8873"/>
      <c r="AB6" s="8874"/>
      <c r="AC6" s="8872"/>
      <c r="AD6" s="8873"/>
      <c r="AE6" s="8873"/>
      <c r="AF6" s="8873"/>
      <c r="AG6" s="8873"/>
      <c r="AH6" s="8873"/>
      <c r="AI6" s="8873"/>
      <c r="AJ6" s="8874"/>
      <c r="AK6" s="1231" t="s">
        <v>947</v>
      </c>
      <c r="AM6" s="424"/>
      <c r="AN6" s="424" t="str">
        <f t="shared" si="0"/>
        <v>Группа потребителей</v>
      </c>
      <c r="AO6" s="424"/>
      <c r="AP6" s="424"/>
    </row>
    <row r="7" spans="1:42" ht="23.25" hidden="1" customHeight="1">
      <c r="A7" s="1284"/>
      <c r="B7" s="1284"/>
      <c r="C7" s="1284"/>
      <c r="D7" s="1284"/>
      <c r="E7" s="8884"/>
      <c r="F7" s="8884"/>
      <c r="G7" s="8884"/>
      <c r="H7" s="8884"/>
      <c r="I7" s="8904"/>
      <c r="J7" s="8904"/>
      <c r="K7" s="8881" t="e">
        <f>J6&amp;".1"</f>
        <v>#N/A</v>
      </c>
      <c r="L7" s="1285"/>
      <c r="P7" s="8882"/>
      <c r="Q7" s="8882"/>
      <c r="R7" s="278">
        <v>1</v>
      </c>
      <c r="S7" s="1345" t="e">
        <f>$K7</f>
        <v>#N/A</v>
      </c>
      <c r="T7" s="1357"/>
      <c r="U7" s="214"/>
      <c r="V7" s="666"/>
      <c r="W7" s="666"/>
      <c r="X7" s="1181"/>
      <c r="Y7" s="8886"/>
      <c r="Z7" s="8734" t="s">
        <v>63</v>
      </c>
      <c r="AA7" s="8886"/>
      <c r="AB7" s="8734" t="s">
        <v>63</v>
      </c>
      <c r="AC7" s="666"/>
      <c r="AD7" s="666"/>
      <c r="AE7" s="1181"/>
      <c r="AF7" s="8886"/>
      <c r="AG7" s="8734" t="s">
        <v>63</v>
      </c>
      <c r="AH7" s="8905"/>
      <c r="AI7" s="8734" t="s">
        <v>63</v>
      </c>
      <c r="AJ7" s="1358"/>
      <c r="AK7"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8884"/>
      <c r="F8" s="8884"/>
      <c r="G8" s="8884"/>
      <c r="H8" s="8884"/>
      <c r="I8" s="8904"/>
      <c r="J8" s="8904"/>
      <c r="K8" s="8881"/>
      <c r="L8" s="1285"/>
      <c r="P8" s="8882"/>
      <c r="Q8" s="8882"/>
      <c r="R8" s="278"/>
      <c r="S8" s="1344"/>
      <c r="T8" s="214"/>
      <c r="U8" s="214"/>
      <c r="V8" s="246"/>
      <c r="W8" s="246"/>
      <c r="X8" s="250" t="str">
        <f>Y7&amp;"-"&amp;AA7</f>
        <v>-</v>
      </c>
      <c r="Y8" s="8887"/>
      <c r="Z8" s="8734"/>
      <c r="AA8" s="8887"/>
      <c r="AB8" s="8734"/>
      <c r="AC8" s="246"/>
      <c r="AD8" s="246"/>
      <c r="AE8" s="250" t="str">
        <f>AF7&amp;"-"&amp;AH7</f>
        <v>-</v>
      </c>
      <c r="AF8" s="8887"/>
      <c r="AG8" s="8734"/>
      <c r="AH8" s="8906"/>
      <c r="AI8" s="8734"/>
      <c r="AJ8" s="1359"/>
      <c r="AK8" s="8941"/>
      <c r="AM8" s="424"/>
      <c r="AN8" s="424" t="str">
        <f t="shared" si="0"/>
        <v/>
      </c>
      <c r="AO8" s="424"/>
      <c r="AP8" s="424"/>
    </row>
    <row r="9" spans="1:42" ht="21" hidden="1" customHeight="1">
      <c r="A9" s="1284"/>
      <c r="B9" s="1284"/>
      <c r="C9" s="1284"/>
      <c r="D9" s="1284"/>
      <c r="E9" s="8884"/>
      <c r="F9" s="8884"/>
      <c r="G9" s="8884"/>
      <c r="H9" s="8884"/>
      <c r="I9" s="8904"/>
      <c r="J9" s="8881"/>
      <c r="K9" s="1284"/>
      <c r="L9" s="1285"/>
      <c r="P9" s="8882"/>
      <c r="Q9" s="8882"/>
      <c r="R9" s="277"/>
      <c r="S9" s="1203"/>
      <c r="T9" s="202" t="s">
        <v>948</v>
      </c>
      <c r="U9" s="291"/>
      <c r="V9" s="291"/>
      <c r="W9" s="291"/>
      <c r="X9" s="291"/>
      <c r="Y9" s="291"/>
      <c r="Z9" s="291"/>
      <c r="AA9" s="291"/>
      <c r="AB9" s="291"/>
      <c r="AC9" s="291"/>
      <c r="AD9" s="291"/>
      <c r="AE9" s="291"/>
      <c r="AF9" s="291"/>
      <c r="AG9" s="291"/>
      <c r="AH9" s="291"/>
      <c r="AI9" s="291"/>
      <c r="AJ9" s="291"/>
      <c r="AK9" s="1182" t="s">
        <v>949</v>
      </c>
      <c r="AM9" s="424"/>
      <c r="AN9" s="424" t="str">
        <f t="shared" si="0"/>
        <v>Добавить значение признака дифференциации</v>
      </c>
      <c r="AO9" s="424"/>
      <c r="AP9" s="424"/>
    </row>
    <row r="10" spans="1:42" ht="21" hidden="1" customHeight="1">
      <c r="A10" s="1284"/>
      <c r="B10" s="1284"/>
      <c r="C10" s="1284"/>
      <c r="D10" s="1284"/>
      <c r="E10" s="8884"/>
      <c r="F10" s="8884"/>
      <c r="G10" s="8884"/>
      <c r="H10" s="8884"/>
      <c r="I10" s="8881"/>
      <c r="J10" s="1284"/>
      <c r="K10" s="1284"/>
      <c r="L10" s="1285"/>
      <c r="P10" s="8882"/>
      <c r="Q10" s="1342"/>
      <c r="R10" s="277"/>
      <c r="S10" s="1203"/>
      <c r="T10" s="288" t="s">
        <v>877</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14.25" hidden="1" customHeight="1">
      <c r="A11" s="1284"/>
      <c r="B11" s="1284"/>
      <c r="C11" s="1284"/>
      <c r="D11" s="1284"/>
      <c r="E11" s="8884"/>
      <c r="F11" s="8884"/>
      <c r="G11" s="8884"/>
      <c r="H11" s="8883"/>
      <c r="I11" s="1284"/>
      <c r="J11" s="1284"/>
      <c r="K11" s="1284"/>
      <c r="L11" s="1285"/>
      <c r="M11" s="1286"/>
      <c r="N11" s="1286"/>
      <c r="O11" s="460"/>
      <c r="P11" s="281"/>
      <c r="Q11" s="299"/>
      <c r="R11" s="276"/>
      <c r="S11" s="1203"/>
      <c r="T11" s="296" t="s">
        <v>950</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8884"/>
      <c r="F12" s="8883"/>
      <c r="G12" s="1237"/>
      <c r="H12" s="1237"/>
      <c r="I12" s="1237"/>
      <c r="J12" s="1237"/>
      <c r="K12" s="1237"/>
      <c r="L12" s="1346"/>
      <c r="M12" s="1244"/>
      <c r="N12" s="1244"/>
      <c r="P12" s="1239"/>
      <c r="Q12" s="1240"/>
      <c r="R12" s="1239"/>
      <c r="S12" s="1245"/>
      <c r="T12" s="1248" t="s">
        <v>314</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8883"/>
      <c r="F13" s="1265"/>
      <c r="G13" s="1265"/>
      <c r="H13" s="1265"/>
      <c r="I13" s="1265"/>
      <c r="J13" s="1265"/>
      <c r="K13" s="1265"/>
      <c r="L13" s="1268"/>
      <c r="M13" s="1244"/>
      <c r="N13" s="1244"/>
      <c r="O13" s="442"/>
      <c r="P13" s="308"/>
      <c r="Q13" s="1266"/>
      <c r="R13" s="308"/>
      <c r="S13" s="1245"/>
      <c r="T13" s="1248" t="s">
        <v>315</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8888"/>
      <c r="AG15" s="8889" t="s">
        <v>63</v>
      </c>
      <c r="AH15" s="8888"/>
      <c r="AI15" s="8889" t="s">
        <v>63</v>
      </c>
    </row>
    <row r="16" spans="1:42" ht="14.25" hidden="1" customHeight="1">
      <c r="AC16" s="1281"/>
      <c r="AD16" s="1281"/>
      <c r="AE16" s="250" t="str">
        <f>AF15&amp;"-"&amp;AH15</f>
        <v>-</v>
      </c>
      <c r="AF16" s="8889"/>
      <c r="AG16" s="8889"/>
      <c r="AH16" s="8889"/>
      <c r="AI16" s="8889"/>
    </row>
    <row r="17" spans="1:42" ht="14.25" hidden="1" customHeight="1">
      <c r="AI17" s="249"/>
    </row>
    <row r="18" spans="1:42" s="1287" customFormat="1" ht="22.5" hidden="1" customHeight="1">
      <c r="L18" s="1341"/>
      <c r="M18" s="1283"/>
      <c r="N18" s="1283"/>
      <c r="O18" s="1288" t="s">
        <v>880</v>
      </c>
      <c r="P18" s="1283"/>
      <c r="Q18" s="1292"/>
      <c r="R18" s="1292"/>
      <c r="S18" s="646"/>
      <c r="Y18" s="1288"/>
      <c r="AA18" s="1288"/>
      <c r="AF18" s="1288"/>
      <c r="AH18" s="1288"/>
      <c r="AL18" s="435"/>
      <c r="AM18" s="435"/>
      <c r="AN18" s="435"/>
      <c r="AO18" s="435"/>
      <c r="AP18" s="435"/>
    </row>
    <row r="19" spans="1:42" s="1287" customFormat="1" ht="14.25" hidden="1" customHeight="1">
      <c r="L19" s="1341"/>
      <c r="M19" s="1283"/>
      <c r="N19" s="1283"/>
      <c r="O19" s="1283"/>
      <c r="P19" s="1283"/>
      <c r="Q19" s="1292"/>
      <c r="R19" s="1292"/>
      <c r="S19" s="646"/>
      <c r="AL19" s="435"/>
      <c r="AM19" s="435"/>
      <c r="AN19" s="435"/>
      <c r="AO19" s="435"/>
      <c r="AP19" s="435"/>
    </row>
    <row r="20" spans="1:42" s="1287" customFormat="1" ht="12" hidden="1" customHeight="1">
      <c r="L20" s="1341"/>
      <c r="M20" s="1283"/>
      <c r="N20" s="1283"/>
      <c r="O20" s="1285" t="s">
        <v>881</v>
      </c>
      <c r="P20" s="1283"/>
      <c r="Q20" s="1361"/>
      <c r="R20" s="1361"/>
      <c r="S20" s="646"/>
      <c r="T20" s="1065" t="s">
        <v>882</v>
      </c>
      <c r="Z20" s="104" t="s">
        <v>883</v>
      </c>
      <c r="AB20" s="104" t="s">
        <v>884</v>
      </c>
      <c r="AC20" s="1065" t="s">
        <v>882</v>
      </c>
      <c r="AG20" s="104" t="s">
        <v>885</v>
      </c>
      <c r="AI20" s="104" t="s">
        <v>884</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88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8867"/>
      <c r="U24" s="8867"/>
      <c r="V24" s="8867"/>
      <c r="W24" s="8867"/>
      <c r="X24" s="8867"/>
      <c r="Y24" s="8867"/>
      <c r="Z24" s="8867"/>
      <c r="AA24" s="8867"/>
      <c r="AB24" s="8867"/>
      <c r="AC24" s="8867"/>
      <c r="AD24" s="8867"/>
      <c r="AE24" s="8867"/>
      <c r="AF24" s="8867"/>
      <c r="AG24" s="8867"/>
      <c r="AH24" s="8867"/>
      <c r="AI24" s="1157"/>
    </row>
    <row r="25" spans="1:42" ht="14.25" customHeight="1">
      <c r="Q25" s="300"/>
      <c r="R25" s="300"/>
      <c r="S25" s="8814" t="str">
        <f>IF(org=0,"Не определено",org)</f>
        <v>ГУП СК "Ставрополькрайводоканал"</v>
      </c>
      <c r="T25" s="8814"/>
      <c r="U25" s="8814"/>
      <c r="V25" s="8814"/>
      <c r="W25" s="8814"/>
      <c r="X25" s="8814"/>
      <c r="Y25" s="8814"/>
      <c r="Z25" s="8814"/>
      <c r="AA25" s="8814"/>
      <c r="AB25" s="8814"/>
      <c r="AC25" s="8814"/>
      <c r="AD25" s="8814"/>
      <c r="AE25" s="8814"/>
      <c r="AF25" s="8814"/>
      <c r="AG25" s="8814"/>
      <c r="AH25" s="8814"/>
      <c r="AI25" s="1157"/>
    </row>
    <row r="26" spans="1:42" ht="14.25" hidden="1"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hidden="1" customHeight="1">
      <c r="A27" s="1289"/>
      <c r="B27" s="1289"/>
      <c r="C27" s="1289"/>
      <c r="D27" s="1289"/>
      <c r="E27" s="1289"/>
      <c r="F27" s="1289"/>
      <c r="G27" s="1289"/>
      <c r="H27" s="1289"/>
      <c r="I27" s="1289"/>
      <c r="J27" s="1289"/>
      <c r="K27" s="1289"/>
      <c r="L27" s="1290"/>
      <c r="M27" s="1289"/>
      <c r="N27" s="1289"/>
      <c r="O27" s="1289"/>
      <c r="S27" s="8875" t="s">
        <v>38</v>
      </c>
      <c r="T27" s="8875"/>
      <c r="U27" s="1293"/>
      <c r="V27" s="8876" t="str">
        <f>IF(TITLE_NAME_OR_PR_CHANGE="",IF(TITLE_NAME_OR_PR="","",TITLE_NAME_OR_PR),TITLE_NAME_OR_PR_CHANGE)</f>
        <v/>
      </c>
      <c r="W27" s="8876"/>
      <c r="X27" s="8876"/>
      <c r="Y27" s="8876"/>
      <c r="Z27" s="8876"/>
      <c r="AA27" s="8876"/>
      <c r="AB27" s="248"/>
      <c r="AC27" s="8876" t="str">
        <f>IF(TITLE_NAME_OR_PR_CHANGE="",IF(TITLE_NAME_OR_PR="","",TITLE_NAME_OR_PR),TITLE_NAME_OR_PR_CHANGE)</f>
        <v/>
      </c>
      <c r="AD27" s="8876"/>
      <c r="AE27" s="8876"/>
      <c r="AF27" s="8876"/>
      <c r="AG27" s="8876"/>
      <c r="AH27" s="8876"/>
      <c r="AI27" s="248"/>
      <c r="AJ27" s="248"/>
      <c r="AK27" s="196"/>
      <c r="AL27" s="292"/>
      <c r="AM27" s="292"/>
      <c r="AN27" s="292"/>
      <c r="AO27" s="292"/>
      <c r="AP27" s="292"/>
    </row>
    <row r="28" spans="1:42" s="1771" customFormat="1" ht="18.75" hidden="1" customHeight="1">
      <c r="A28" s="1289"/>
      <c r="B28" s="1289"/>
      <c r="C28" s="1289"/>
      <c r="D28" s="1289"/>
      <c r="E28" s="1289"/>
      <c r="F28" s="1289"/>
      <c r="G28" s="1289"/>
      <c r="H28" s="1289"/>
      <c r="I28" s="1289"/>
      <c r="J28" s="1289"/>
      <c r="K28" s="1289"/>
      <c r="L28" s="1290"/>
      <c r="M28" s="1289"/>
      <c r="N28" s="1289"/>
      <c r="O28" s="1289"/>
      <c r="S28" s="8875" t="s">
        <v>886</v>
      </c>
      <c r="T28" s="8875"/>
      <c r="U28" s="1293"/>
      <c r="V28" s="8885">
        <f>IF(TITLE_DATE_PR_CHANGE="",IF(TITLE_DATE_PR="","",TITLE_DATE_PR),TITLE_DATE_PR_CHANGE)</f>
        <v>45281.411851851852</v>
      </c>
      <c r="W28" s="8885"/>
      <c r="X28" s="8885"/>
      <c r="Y28" s="8885"/>
      <c r="Z28" s="8885"/>
      <c r="AA28" s="8885"/>
      <c r="AB28" s="248"/>
      <c r="AC28" s="8885">
        <f>IF(TITLE_DATE_PR_CHANGE="",IF(TITLE_DATE_PR="","",TITLE_DATE_PR),TITLE_DATE_PR_CHANGE)</f>
        <v>45281.411851851852</v>
      </c>
      <c r="AD28" s="8885"/>
      <c r="AE28" s="8885"/>
      <c r="AF28" s="8885"/>
      <c r="AG28" s="8885"/>
      <c r="AH28" s="8885"/>
      <c r="AI28" s="248"/>
      <c r="AJ28" s="248"/>
      <c r="AK28" s="196"/>
      <c r="AL28" s="292"/>
      <c r="AM28" s="292"/>
      <c r="AN28" s="292"/>
      <c r="AO28" s="292"/>
      <c r="AP28" s="292"/>
    </row>
    <row r="29" spans="1:42" s="1771" customFormat="1" ht="18.75" hidden="1" customHeight="1">
      <c r="A29" s="1289"/>
      <c r="B29" s="1289"/>
      <c r="C29" s="1289"/>
      <c r="D29" s="1289"/>
      <c r="E29" s="1289"/>
      <c r="F29" s="1289"/>
      <c r="G29" s="1289"/>
      <c r="H29" s="1289"/>
      <c r="I29" s="1289"/>
      <c r="J29" s="1289"/>
      <c r="K29" s="1289"/>
      <c r="L29" s="1290"/>
      <c r="M29" s="1289"/>
      <c r="N29" s="1289"/>
      <c r="O29" s="1289"/>
      <c r="S29" s="8875" t="s">
        <v>887</v>
      </c>
      <c r="T29" s="8875"/>
      <c r="U29" s="1293"/>
      <c r="V29" s="8876" t="str">
        <f>IF(TITLE_NUMBER_PR_CHANGE="",IF(TITLE_NUMBER_PR="","",TITLE_NUMBER_PR),TITLE_NUMBER_PR_CHANGE)</f>
        <v>06-11/11398</v>
      </c>
      <c r="W29" s="8876"/>
      <c r="X29" s="8876"/>
      <c r="Y29" s="8876"/>
      <c r="Z29" s="8876"/>
      <c r="AA29" s="8876"/>
      <c r="AB29" s="248"/>
      <c r="AC29" s="8876" t="str">
        <f>IF(TITLE_NUMBER_PR_CHANGE="",IF(TITLE_NUMBER_PR="","",TITLE_NUMBER_PR),TITLE_NUMBER_PR_CHANGE)</f>
        <v>06-11/11398</v>
      </c>
      <c r="AD29" s="8876"/>
      <c r="AE29" s="8876"/>
      <c r="AF29" s="8876"/>
      <c r="AG29" s="8876"/>
      <c r="AH29" s="8876"/>
      <c r="AI29" s="248"/>
      <c r="AJ29" s="248"/>
      <c r="AK29" s="196"/>
      <c r="AL29" s="292"/>
      <c r="AM29" s="292"/>
      <c r="AN29" s="292"/>
      <c r="AO29" s="292"/>
      <c r="AP29" s="292"/>
    </row>
    <row r="30" spans="1:42" s="1771" customFormat="1" ht="18.75" hidden="1" customHeight="1">
      <c r="A30" s="1289"/>
      <c r="B30" s="1289"/>
      <c r="C30" s="1289"/>
      <c r="D30" s="1289"/>
      <c r="E30" s="1289"/>
      <c r="F30" s="1289"/>
      <c r="G30" s="1289"/>
      <c r="H30" s="1289"/>
      <c r="I30" s="1289"/>
      <c r="J30" s="1289"/>
      <c r="K30" s="1289"/>
      <c r="L30" s="1290"/>
      <c r="M30" s="1289"/>
      <c r="N30" s="1289"/>
      <c r="O30" s="1289"/>
      <c r="S30" s="8875" t="s">
        <v>39</v>
      </c>
      <c r="T30" s="8875"/>
      <c r="U30" s="1293"/>
      <c r="V30" s="8876" t="str">
        <f>IF(TITLE_IST_PUB_CHANGE="",IF(TITLE_IST_PUB="","",TITLE_IST_PUB),TITLE_IST_PUB_CHANGE)</f>
        <v/>
      </c>
      <c r="W30" s="8876"/>
      <c r="X30" s="8876"/>
      <c r="Y30" s="8876"/>
      <c r="Z30" s="8876"/>
      <c r="AA30" s="8876"/>
      <c r="AB30" s="248"/>
      <c r="AC30" s="8876" t="str">
        <f>IF(TITLE_IST_PUB_CHANGE="",IF(TITLE_IST_PUB="","",TITLE_IST_PUB),TITLE_IST_PUB_CHANGE)</f>
        <v/>
      </c>
      <c r="AD30" s="8876"/>
      <c r="AE30" s="8876"/>
      <c r="AF30" s="8876"/>
      <c r="AG30" s="8876"/>
      <c r="AH30" s="8876"/>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8875" t="s">
        <v>888</v>
      </c>
      <c r="T32" s="8875"/>
      <c r="U32" s="1293"/>
      <c r="V32" s="8885">
        <f>IF(TITLE_DATE_PR_CHANGE="",IF(TITLE_DATE_PR="","",TITLE_DATE_PR),TITLE_DATE_PR_CHANGE)</f>
        <v>45281.411851851852</v>
      </c>
      <c r="W32" s="8885"/>
      <c r="X32" s="8885"/>
      <c r="Y32" s="8885"/>
      <c r="Z32" s="8885"/>
      <c r="AA32" s="8885"/>
      <c r="AB32" s="248"/>
      <c r="AC32" s="8885">
        <f>IF(TITLE_DATE_PR_CHANGE="",IF(TITLE_DATE_PR="","",TITLE_DATE_PR),TITLE_DATE_PR_CHANGE)</f>
        <v>45281.411851851852</v>
      </c>
      <c r="AD32" s="8885"/>
      <c r="AE32" s="8885"/>
      <c r="AF32" s="8885"/>
      <c r="AG32" s="8885"/>
      <c r="AH32" s="8885"/>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8875" t="s">
        <v>889</v>
      </c>
      <c r="T33" s="8875"/>
      <c r="U33" s="1293"/>
      <c r="V33" s="8876" t="str">
        <f>IF(TITLE_NUMBER_PR_CHANGE="",IF(TITLE_NUMBER_PR="","",TITLE_NUMBER_PR),TITLE_NUMBER_PR_CHANGE)</f>
        <v>06-11/11398</v>
      </c>
      <c r="W33" s="8876"/>
      <c r="X33" s="8876"/>
      <c r="Y33" s="8876"/>
      <c r="Z33" s="8876"/>
      <c r="AA33" s="8876"/>
      <c r="AB33" s="248"/>
      <c r="AC33" s="8876" t="str">
        <f>IF(TITLE_NUMBER_PR_CHANGE="",IF(TITLE_NUMBER_PR="","",TITLE_NUMBER_PR),TITLE_NUMBER_PR_CHANGE)</f>
        <v>06-11/11398</v>
      </c>
      <c r="AD33" s="8876"/>
      <c r="AE33" s="8876"/>
      <c r="AF33" s="8876"/>
      <c r="AG33" s="8876"/>
      <c r="AH33" s="8876"/>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276"/>
      <c r="V34" s="248"/>
      <c r="W34" s="248"/>
      <c r="X34" s="248"/>
      <c r="Y34" s="248"/>
      <c r="Z34" s="248"/>
      <c r="AA34" s="248"/>
      <c r="AB34" s="194" t="s">
        <v>890</v>
      </c>
      <c r="AC34" s="248"/>
      <c r="AD34" s="248"/>
      <c r="AE34" s="248"/>
      <c r="AF34" s="248"/>
      <c r="AG34" s="248"/>
      <c r="AH34" s="248"/>
      <c r="AI34" s="194" t="s">
        <v>890</v>
      </c>
      <c r="AL34" s="292"/>
      <c r="AM34" s="292"/>
      <c r="AN34" s="292"/>
      <c r="AO34" s="292"/>
      <c r="AP34" s="292"/>
    </row>
    <row r="35" spans="1:42" ht="14.25" customHeight="1">
      <c r="Q35" s="300"/>
      <c r="R35" s="300"/>
      <c r="S35" s="1200"/>
      <c r="T35" s="286"/>
      <c r="U35" s="1158"/>
      <c r="V35" s="8877"/>
      <c r="W35" s="8877"/>
      <c r="X35" s="8877"/>
      <c r="Y35" s="8877"/>
      <c r="Z35" s="8877"/>
      <c r="AA35" s="8877"/>
      <c r="AB35" s="8877"/>
      <c r="AC35" s="8877"/>
      <c r="AD35" s="8877"/>
      <c r="AE35" s="8877"/>
      <c r="AF35" s="8877"/>
      <c r="AG35" s="8877"/>
      <c r="AH35" s="8877"/>
      <c r="AI35" s="8877"/>
    </row>
    <row r="36" spans="1:42" ht="14.25" customHeight="1">
      <c r="Q36" s="300"/>
      <c r="R36" s="300"/>
      <c r="S36" s="8753" t="s">
        <v>763</v>
      </c>
      <c r="T36" s="8753"/>
      <c r="U36" s="8753"/>
      <c r="V36" s="8753"/>
      <c r="W36" s="8753"/>
      <c r="X36" s="8753"/>
      <c r="Y36" s="8753"/>
      <c r="Z36" s="8753"/>
      <c r="AA36" s="8753"/>
      <c r="AB36" s="8753"/>
      <c r="AC36" s="8753"/>
      <c r="AD36" s="8753"/>
      <c r="AE36" s="8753"/>
      <c r="AF36" s="8753"/>
      <c r="AG36" s="8753"/>
      <c r="AH36" s="8753"/>
      <c r="AI36" s="8753"/>
      <c r="AJ36" s="8753"/>
      <c r="AK36" s="8753" t="s">
        <v>764</v>
      </c>
    </row>
    <row r="37" spans="1:42" ht="14.25" customHeight="1">
      <c r="Q37" s="300"/>
      <c r="R37" s="300"/>
      <c r="S37" s="8891" t="s">
        <v>84</v>
      </c>
      <c r="T37" s="8843" t="s">
        <v>891</v>
      </c>
      <c r="U37" s="215"/>
      <c r="V37" s="8892" t="s">
        <v>892</v>
      </c>
      <c r="W37" s="8893"/>
      <c r="X37" s="8893"/>
      <c r="Y37" s="8893"/>
      <c r="Z37" s="8893"/>
      <c r="AA37" s="8894"/>
      <c r="AB37" s="8895" t="s">
        <v>893</v>
      </c>
      <c r="AC37" s="8892" t="s">
        <v>892</v>
      </c>
      <c r="AD37" s="8893"/>
      <c r="AE37" s="8893"/>
      <c r="AF37" s="8893"/>
      <c r="AG37" s="8893"/>
      <c r="AH37" s="8894"/>
      <c r="AI37" s="8895" t="s">
        <v>894</v>
      </c>
      <c r="AJ37" s="8898" t="s">
        <v>895</v>
      </c>
      <c r="AK37" s="8753"/>
    </row>
    <row r="38" spans="1:42" ht="33.75" customHeight="1">
      <c r="Q38" s="300"/>
      <c r="R38" s="300"/>
      <c r="S38" s="8891"/>
      <c r="T38" s="8843"/>
      <c r="U38" s="942"/>
      <c r="V38" s="1273" t="s">
        <v>951</v>
      </c>
      <c r="W38" s="8724" t="s">
        <v>898</v>
      </c>
      <c r="X38" s="8723"/>
      <c r="Y38" s="8724" t="s">
        <v>899</v>
      </c>
      <c r="Z38" s="8729"/>
      <c r="AA38" s="8723"/>
      <c r="AB38" s="8896"/>
      <c r="AC38" s="1273" t="s">
        <v>951</v>
      </c>
      <c r="AD38" s="8724" t="s">
        <v>898</v>
      </c>
      <c r="AE38" s="8723"/>
      <c r="AF38" s="8724" t="s">
        <v>899</v>
      </c>
      <c r="AG38" s="8729"/>
      <c r="AH38" s="8723"/>
      <c r="AI38" s="8896"/>
      <c r="AJ38" s="8899"/>
      <c r="AK38" s="8753"/>
    </row>
    <row r="39" spans="1:42" ht="33.75" customHeight="1">
      <c r="A39" s="1291"/>
      <c r="B39" s="1291" t="s">
        <v>223</v>
      </c>
      <c r="C39" s="1291" t="s">
        <v>224</v>
      </c>
      <c r="D39" s="1291" t="s">
        <v>225</v>
      </c>
      <c r="E39" s="1285" t="s">
        <v>900</v>
      </c>
      <c r="F39" s="1285" t="s">
        <v>901</v>
      </c>
      <c r="G39" s="1285" t="s">
        <v>902</v>
      </c>
      <c r="H39" s="1285"/>
      <c r="I39" s="1285" t="s">
        <v>952</v>
      </c>
      <c r="J39" s="1285" t="s">
        <v>905</v>
      </c>
      <c r="K39" s="1285" t="s">
        <v>953</v>
      </c>
      <c r="L39" s="1285" t="s">
        <v>881</v>
      </c>
      <c r="Q39" s="300"/>
      <c r="R39" s="300"/>
      <c r="S39" s="8891"/>
      <c r="T39" s="8843"/>
      <c r="U39" s="216"/>
      <c r="V39" s="1273" t="s">
        <v>954</v>
      </c>
      <c r="W39" s="1133" t="s">
        <v>955</v>
      </c>
      <c r="X39" s="1133" t="s">
        <v>956</v>
      </c>
      <c r="Y39" s="1278" t="s">
        <v>909</v>
      </c>
      <c r="Z39" s="8851" t="s">
        <v>910</v>
      </c>
      <c r="AA39" s="8853"/>
      <c r="AB39" s="8897"/>
      <c r="AC39" s="1273" t="s">
        <v>954</v>
      </c>
      <c r="AD39" s="1133" t="s">
        <v>955</v>
      </c>
      <c r="AE39" s="1133" t="s">
        <v>956</v>
      </c>
      <c r="AF39" s="1278" t="s">
        <v>909</v>
      </c>
      <c r="AG39" s="8851" t="s">
        <v>910</v>
      </c>
      <c r="AH39" s="8853"/>
      <c r="AI39" s="8897"/>
      <c r="AJ39" s="8900"/>
      <c r="AK39" s="8753"/>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95</v>
      </c>
      <c r="T40" s="1177" t="s">
        <v>99</v>
      </c>
      <c r="U40" s="1159" t="str">
        <f ca="1">OFFSET(U40,0,-1)</f>
        <v>2</v>
      </c>
      <c r="V40" s="1274">
        <f ca="1">OFFSET(V40,0,-1)+1</f>
        <v>3</v>
      </c>
      <c r="W40" s="1274">
        <f ca="1">OFFSET(W40,0,-1)+1</f>
        <v>4</v>
      </c>
      <c r="X40" s="1274">
        <f ca="1">OFFSET(X40,0,-1)+1</f>
        <v>5</v>
      </c>
      <c r="Y40" s="1274">
        <f ca="1">OFFSET(Y40,0,-1)+1</f>
        <v>6</v>
      </c>
      <c r="Z40" s="8890">
        <f ca="1">OFFSET(Z40,0,-1)+1</f>
        <v>7</v>
      </c>
      <c r="AA40" s="8890"/>
      <c r="AB40" s="1274">
        <f ca="1">OFFSET(AB40,0,-2)+1</f>
        <v>8</v>
      </c>
      <c r="AC40" s="1274">
        <f ca="1">OFFSET(AC40,0,-1)+1</f>
        <v>9</v>
      </c>
      <c r="AD40" s="1274">
        <f ca="1">OFFSET(AD40,0,-1)+1</f>
        <v>10</v>
      </c>
      <c r="AE40" s="1274">
        <f ca="1">OFFSET(AE40,0,-1)+1</f>
        <v>11</v>
      </c>
      <c r="AF40" s="1274">
        <f ca="1">OFFSET(AF40,0,-1)+1</f>
        <v>12</v>
      </c>
      <c r="AG40" s="8890">
        <f ca="1">OFFSET(AG40,0,-1)+1</f>
        <v>13</v>
      </c>
      <c r="AH40" s="8890"/>
      <c r="AI40" s="1274">
        <f ca="1">OFFSET(AI40,0,-2)+1</f>
        <v>14</v>
      </c>
      <c r="AJ40" s="1159">
        <f ca="1">OFFSET(AJ40,0,-1)</f>
        <v>14</v>
      </c>
      <c r="AK40" s="1274">
        <f ca="1">OFFSET(AK40,0,-1)+1</f>
        <v>15</v>
      </c>
      <c r="AL40" s="435"/>
      <c r="AM40" s="435"/>
      <c r="AN40" s="435"/>
      <c r="AO40" s="435"/>
      <c r="AP40" s="435"/>
    </row>
    <row r="41" spans="1:42" ht="23.25" customHeight="1">
      <c r="A41" s="1284" t="s">
        <v>294</v>
      </c>
      <c r="B41" s="1284"/>
      <c r="C41" s="1284"/>
      <c r="D41" s="1284"/>
      <c r="E41" s="8883">
        <v>1</v>
      </c>
      <c r="F41" s="1284"/>
      <c r="G41" s="1284"/>
      <c r="H41" s="1284"/>
      <c r="I41" s="1284"/>
      <c r="J41" s="1284"/>
      <c r="K41" s="1284"/>
      <c r="L41" s="1285"/>
      <c r="M41" s="1286"/>
      <c r="N41" s="1286"/>
      <c r="O41" s="1286"/>
      <c r="P41" s="282"/>
      <c r="Q41" s="281"/>
      <c r="R41" s="276"/>
      <c r="S41" s="1279">
        <f>INDEX(PT_DIFFERENTIATION_NUM_NTAR,MATCH(A41,PT_DIFFERENTIATION_NTAR_ID,0))</f>
        <v>0</v>
      </c>
      <c r="T41" s="212" t="s">
        <v>211</v>
      </c>
      <c r="U41" s="214"/>
      <c r="V41" s="8869"/>
      <c r="W41" s="8870"/>
      <c r="X41" s="8870"/>
      <c r="Y41" s="8870"/>
      <c r="Z41" s="8870"/>
      <c r="AA41" s="8870"/>
      <c r="AB41" s="8871"/>
      <c r="AC41" s="8869" t="str">
        <f>INDEX(PT_DIFFERENTIATION_NTAR,MATCH(A41,PT_DIFFERENTIATION_NTAR_ID,0))</f>
        <v/>
      </c>
      <c r="AD41" s="8870"/>
      <c r="AE41" s="8870"/>
      <c r="AF41" s="8870"/>
      <c r="AG41" s="8870"/>
      <c r="AH41" s="8870"/>
      <c r="AI41" s="8870"/>
      <c r="AJ41" s="887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294</v>
      </c>
      <c r="B42" s="1284" t="s">
        <v>295</v>
      </c>
      <c r="C42" s="1284"/>
      <c r="D42" s="1284"/>
      <c r="E42" s="8884"/>
      <c r="F42" s="8883">
        <v>1</v>
      </c>
      <c r="G42" s="1284"/>
      <c r="H42" s="1284"/>
      <c r="I42" s="1284"/>
      <c r="J42" s="1284"/>
      <c r="K42" s="1284"/>
      <c r="L42" s="1285"/>
      <c r="M42" s="1286"/>
      <c r="N42" s="1286"/>
      <c r="O42" s="1286"/>
      <c r="P42" s="1277"/>
      <c r="Q42" s="273"/>
      <c r="R42" s="274"/>
      <c r="S42" s="1279" t="str">
        <f>INDEX(PT_DIFFERENTIATION_NUM_TER,MATCH(B42,PT_DIFFERENTIATION_TER_ID,0))</f>
        <v>.</v>
      </c>
      <c r="T42" s="224" t="s">
        <v>862</v>
      </c>
      <c r="U42" s="214"/>
      <c r="V42" s="8869"/>
      <c r="W42" s="8870"/>
      <c r="X42" s="8870"/>
      <c r="Y42" s="8870"/>
      <c r="Z42" s="8870"/>
      <c r="AA42" s="8870"/>
      <c r="AB42" s="8871"/>
      <c r="AC42" s="8869" t="str">
        <f>INDEX(PT_DIFFERENTIATION_TER,MATCH(B42,PT_DIFFERENTIATION_TER_ID,0))</f>
        <v/>
      </c>
      <c r="AD42" s="8870"/>
      <c r="AE42" s="8870"/>
      <c r="AF42" s="8870"/>
      <c r="AG42" s="8870"/>
      <c r="AH42" s="8870"/>
      <c r="AI42" s="8870"/>
      <c r="AJ42" s="8871"/>
      <c r="AK42" s="1182" t="s">
        <v>863</v>
      </c>
      <c r="AM42" s="424"/>
      <c r="AN42" s="424" t="str">
        <f t="shared" si="1"/>
        <v>Территория действия тарифа</v>
      </c>
      <c r="AO42" s="424"/>
      <c r="AP42" s="424"/>
    </row>
    <row r="43" spans="1:42" ht="23.25" customHeight="1">
      <c r="A43" s="1284" t="s">
        <v>294</v>
      </c>
      <c r="B43" s="1284" t="s">
        <v>295</v>
      </c>
      <c r="C43" s="1284" t="s">
        <v>296</v>
      </c>
      <c r="D43" s="1284"/>
      <c r="E43" s="8884"/>
      <c r="F43" s="8884"/>
      <c r="G43" s="8883">
        <v>1</v>
      </c>
      <c r="H43" s="1284"/>
      <c r="I43" s="1284"/>
      <c r="J43" s="1284"/>
      <c r="K43" s="1284"/>
      <c r="L43" s="1285"/>
      <c r="M43" s="1286"/>
      <c r="N43" s="1286"/>
      <c r="O43" s="1286"/>
      <c r="P43" s="275"/>
      <c r="Q43" s="273"/>
      <c r="R43" s="274"/>
      <c r="S43" s="1279" t="str">
        <f>INDEX(PT_DIFFERENTIATION_NUM_CS,MATCH(C43,PT_DIFFERENTIATION_CS_ID,0))</f>
        <v>..</v>
      </c>
      <c r="T43" s="225" t="s">
        <v>943</v>
      </c>
      <c r="U43" s="214"/>
      <c r="V43" s="8869"/>
      <c r="W43" s="8870"/>
      <c r="X43" s="8870"/>
      <c r="Y43" s="8870"/>
      <c r="Z43" s="8870"/>
      <c r="AA43" s="8870"/>
      <c r="AB43" s="8871"/>
      <c r="AC43" s="8869" t="str">
        <f>INDEX(PT_DIFFERENTIATION_CS,MATCH(C43,PT_DIFFERENTIATION_CS_ID,0))</f>
        <v/>
      </c>
      <c r="AD43" s="8870"/>
      <c r="AE43" s="8870"/>
      <c r="AF43" s="8870"/>
      <c r="AG43" s="8870"/>
      <c r="AH43" s="8870"/>
      <c r="AI43" s="8870"/>
      <c r="AJ43" s="8871"/>
      <c r="AK43" s="1182" t="s">
        <v>944</v>
      </c>
      <c r="AM43" s="424"/>
      <c r="AN43" s="424" t="str">
        <f t="shared" si="1"/>
        <v>Наименование централизованной системы холодного водоснабжения</v>
      </c>
      <c r="AO43" s="424"/>
      <c r="AP43" s="424"/>
    </row>
    <row r="44" spans="1:42" ht="23.25" customHeight="1">
      <c r="A44" s="1284" t="s">
        <v>294</v>
      </c>
      <c r="B44" s="1284" t="s">
        <v>295</v>
      </c>
      <c r="C44" s="1284" t="s">
        <v>296</v>
      </c>
      <c r="D44" s="1284" t="s">
        <v>957</v>
      </c>
      <c r="E44" s="8884"/>
      <c r="F44" s="8884"/>
      <c r="G44" s="8884"/>
      <c r="H44" s="8884"/>
      <c r="I44" s="8881" t="str">
        <f>S43&amp;".1"</f>
        <v>...1</v>
      </c>
      <c r="J44" s="1284"/>
      <c r="K44" s="1284"/>
      <c r="L44" s="1285"/>
      <c r="P44" s="8882">
        <v>1</v>
      </c>
      <c r="Q44" s="1275"/>
      <c r="R44" s="277"/>
      <c r="S44" s="1279" t="str">
        <f>$I44</f>
        <v>...1</v>
      </c>
      <c r="T44" s="200" t="s">
        <v>945</v>
      </c>
      <c r="U44" s="214"/>
      <c r="V44" s="8942"/>
      <c r="W44" s="8943"/>
      <c r="X44" s="8943"/>
      <c r="Y44" s="8943"/>
      <c r="Z44" s="8943"/>
      <c r="AA44" s="8943"/>
      <c r="AB44" s="8944"/>
      <c r="AC44" s="8945"/>
      <c r="AD44" s="8946"/>
      <c r="AE44" s="8946"/>
      <c r="AF44" s="8946"/>
      <c r="AG44" s="8946"/>
      <c r="AH44" s="8946"/>
      <c r="AI44" s="8946"/>
      <c r="AJ44" s="8947"/>
      <c r="AK44" s="1182" t="s">
        <v>946</v>
      </c>
      <c r="AM44" s="424"/>
      <c r="AN44" s="424" t="str">
        <f t="shared" si="1"/>
        <v>Наименование признака дифференциации</v>
      </c>
      <c r="AO44" s="424"/>
      <c r="AP44" s="424"/>
    </row>
    <row r="45" spans="1:42" ht="23.25" customHeight="1">
      <c r="A45" s="1284" t="s">
        <v>294</v>
      </c>
      <c r="B45" s="1284" t="s">
        <v>295</v>
      </c>
      <c r="C45" s="1284" t="s">
        <v>296</v>
      </c>
      <c r="D45" s="1284" t="s">
        <v>957</v>
      </c>
      <c r="E45" s="8884"/>
      <c r="F45" s="8884"/>
      <c r="G45" s="8884"/>
      <c r="H45" s="8884"/>
      <c r="I45" s="8904"/>
      <c r="J45" s="8881" t="str">
        <f>I44&amp;".1"</f>
        <v>...1.1</v>
      </c>
      <c r="K45" s="1284"/>
      <c r="L45" s="1285" t="s">
        <v>871</v>
      </c>
      <c r="P45" s="8882"/>
      <c r="Q45" s="8882">
        <v>1</v>
      </c>
      <c r="R45" s="278"/>
      <c r="S45" s="1279" t="str">
        <f>$J45</f>
        <v>...1.1</v>
      </c>
      <c r="T45" s="201" t="s">
        <v>872</v>
      </c>
      <c r="U45" s="214"/>
      <c r="V45" s="8872"/>
      <c r="W45" s="8873"/>
      <c r="X45" s="8873"/>
      <c r="Y45" s="8873"/>
      <c r="Z45" s="8873"/>
      <c r="AA45" s="8873"/>
      <c r="AB45" s="8874"/>
      <c r="AC45" s="8872"/>
      <c r="AD45" s="8873"/>
      <c r="AE45" s="8873"/>
      <c r="AF45" s="8873"/>
      <c r="AG45" s="8873"/>
      <c r="AH45" s="8873"/>
      <c r="AI45" s="8873"/>
      <c r="AJ45" s="8874"/>
      <c r="AK45" s="1231" t="s">
        <v>947</v>
      </c>
      <c r="AM45" s="424"/>
      <c r="AN45" s="424" t="str">
        <f t="shared" si="1"/>
        <v>Группа потребителей</v>
      </c>
      <c r="AO45" s="424"/>
      <c r="AP45" s="424"/>
    </row>
    <row r="46" spans="1:42" ht="23.25" customHeight="1">
      <c r="A46" s="1284" t="s">
        <v>294</v>
      </c>
      <c r="B46" s="1284" t="s">
        <v>295</v>
      </c>
      <c r="C46" s="1284" t="s">
        <v>296</v>
      </c>
      <c r="D46" s="1284" t="s">
        <v>957</v>
      </c>
      <c r="E46" s="8884"/>
      <c r="F46" s="8884"/>
      <c r="G46" s="8884"/>
      <c r="H46" s="8884"/>
      <c r="I46" s="8904"/>
      <c r="J46" s="8904"/>
      <c r="K46" s="8881" t="str">
        <f>J45&amp;".1"</f>
        <v>...1.1.1</v>
      </c>
      <c r="L46" s="1285"/>
      <c r="P46" s="8882"/>
      <c r="Q46" s="8882"/>
      <c r="R46" s="278">
        <v>1</v>
      </c>
      <c r="S46" s="1279" t="str">
        <f>$K46</f>
        <v>...1.1.1</v>
      </c>
      <c r="T46" s="1357"/>
      <c r="U46" s="214"/>
      <c r="V46" s="1281"/>
      <c r="W46" s="1281"/>
      <c r="X46" s="1282"/>
      <c r="Y46" s="8888"/>
      <c r="Z46" s="8889" t="s">
        <v>63</v>
      </c>
      <c r="AA46" s="8888"/>
      <c r="AB46" s="8889" t="s">
        <v>63</v>
      </c>
      <c r="AC46" s="666"/>
      <c r="AD46" s="666"/>
      <c r="AE46" s="1181"/>
      <c r="AF46" s="8886"/>
      <c r="AG46" s="8734" t="s">
        <v>63</v>
      </c>
      <c r="AH46" s="8905"/>
      <c r="AI46" s="8734" t="s">
        <v>53</v>
      </c>
      <c r="AJ46" s="1358"/>
      <c r="AK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294</v>
      </c>
      <c r="B47" s="1284" t="s">
        <v>295</v>
      </c>
      <c r="C47" s="1284" t="s">
        <v>296</v>
      </c>
      <c r="D47" s="1284" t="s">
        <v>957</v>
      </c>
      <c r="E47" s="8884"/>
      <c r="F47" s="8884"/>
      <c r="G47" s="8884"/>
      <c r="H47" s="8884"/>
      <c r="I47" s="8904"/>
      <c r="J47" s="8904"/>
      <c r="K47" s="8881"/>
      <c r="L47" s="1285"/>
      <c r="P47" s="8882"/>
      <c r="Q47" s="8882"/>
      <c r="R47" s="278"/>
      <c r="S47" s="1280"/>
      <c r="T47" s="214"/>
      <c r="U47" s="214"/>
      <c r="V47" s="1281"/>
      <c r="W47" s="1281"/>
      <c r="X47" s="250" t="str">
        <f>Y46&amp;"-"&amp;AA46</f>
        <v>-</v>
      </c>
      <c r="Y47" s="8889"/>
      <c r="Z47" s="8889"/>
      <c r="AA47" s="8889"/>
      <c r="AB47" s="8889"/>
      <c r="AC47" s="246"/>
      <c r="AD47" s="246"/>
      <c r="AE47" s="250" t="str">
        <f>AF46&amp;"-"&amp;AH46</f>
        <v>-</v>
      </c>
      <c r="AF47" s="8887"/>
      <c r="AG47" s="8734"/>
      <c r="AH47" s="8906"/>
      <c r="AI47" s="8734"/>
      <c r="AJ47" s="1359"/>
      <c r="AK47" s="8941"/>
      <c r="AM47" s="424"/>
      <c r="AN47" s="424" t="str">
        <f t="shared" si="1"/>
        <v/>
      </c>
      <c r="AO47" s="424"/>
      <c r="AP47" s="424"/>
    </row>
    <row r="48" spans="1:42" ht="21" customHeight="1">
      <c r="A48" s="1284" t="s">
        <v>294</v>
      </c>
      <c r="B48" s="1284" t="s">
        <v>295</v>
      </c>
      <c r="C48" s="1284" t="s">
        <v>296</v>
      </c>
      <c r="D48" s="1284" t="s">
        <v>957</v>
      </c>
      <c r="E48" s="8884"/>
      <c r="F48" s="8884"/>
      <c r="G48" s="8884"/>
      <c r="H48" s="8884"/>
      <c r="I48" s="8904"/>
      <c r="J48" s="8881"/>
      <c r="K48" s="1284"/>
      <c r="L48" s="1285"/>
      <c r="P48" s="8882"/>
      <c r="Q48" s="8882"/>
      <c r="R48" s="277"/>
      <c r="S48" s="1203"/>
      <c r="T48" s="202" t="s">
        <v>948</v>
      </c>
      <c r="U48" s="291"/>
      <c r="V48" s="291"/>
      <c r="W48" s="291"/>
      <c r="X48" s="291"/>
      <c r="Y48" s="291"/>
      <c r="Z48" s="291"/>
      <c r="AA48" s="291"/>
      <c r="AB48" s="291"/>
      <c r="AC48" s="291"/>
      <c r="AD48" s="291"/>
      <c r="AE48" s="291"/>
      <c r="AF48" s="291"/>
      <c r="AG48" s="291"/>
      <c r="AH48" s="291"/>
      <c r="AI48" s="291"/>
      <c r="AJ48" s="291"/>
      <c r="AK48" s="1182" t="s">
        <v>949</v>
      </c>
      <c r="AM48" s="424"/>
      <c r="AN48" s="424" t="str">
        <f t="shared" si="1"/>
        <v>Добавить значение признака дифференциации</v>
      </c>
      <c r="AO48" s="424"/>
      <c r="AP48" s="424"/>
    </row>
    <row r="49" spans="1:42" ht="21" customHeight="1">
      <c r="A49" s="1284" t="s">
        <v>294</v>
      </c>
      <c r="B49" s="1284" t="s">
        <v>295</v>
      </c>
      <c r="C49" s="1284" t="s">
        <v>296</v>
      </c>
      <c r="D49" s="1284" t="s">
        <v>957</v>
      </c>
      <c r="E49" s="8884"/>
      <c r="F49" s="8884"/>
      <c r="G49" s="8884"/>
      <c r="H49" s="8884"/>
      <c r="I49" s="8881"/>
      <c r="J49" s="1284"/>
      <c r="K49" s="1284"/>
      <c r="L49" s="1285"/>
      <c r="P49" s="8882"/>
      <c r="Q49" s="1275"/>
      <c r="R49" s="277"/>
      <c r="S49" s="1203"/>
      <c r="T49" s="288" t="s">
        <v>877</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294</v>
      </c>
      <c r="B50" s="1284" t="s">
        <v>295</v>
      </c>
      <c r="C50" s="1284" t="s">
        <v>296</v>
      </c>
      <c r="D50" s="1284" t="s">
        <v>957</v>
      </c>
      <c r="E50" s="8884"/>
      <c r="F50" s="8884"/>
      <c r="G50" s="8884"/>
      <c r="H50" s="8883"/>
      <c r="I50" s="1284"/>
      <c r="J50" s="1284"/>
      <c r="K50" s="1284"/>
      <c r="L50" s="1285"/>
      <c r="M50" s="1286"/>
      <c r="N50" s="1286"/>
      <c r="O50" s="460"/>
      <c r="P50" s="281"/>
      <c r="Q50" s="299"/>
      <c r="R50" s="276"/>
      <c r="S50" s="1203"/>
      <c r="T50" s="296" t="s">
        <v>950</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294</v>
      </c>
      <c r="B51" s="1265" t="s">
        <v>295</v>
      </c>
      <c r="C51" s="1237"/>
      <c r="D51" s="1237"/>
      <c r="E51" s="8884"/>
      <c r="F51" s="8883"/>
      <c r="G51" s="1237"/>
      <c r="H51" s="1237"/>
      <c r="I51" s="1237"/>
      <c r="J51" s="1237"/>
      <c r="K51" s="1237"/>
      <c r="L51" s="1346"/>
      <c r="M51" s="1244"/>
      <c r="N51" s="1244"/>
      <c r="P51" s="1239"/>
      <c r="Q51" s="1240"/>
      <c r="R51" s="1239"/>
      <c r="S51" s="1245"/>
      <c r="T51" s="1248" t="s">
        <v>314</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294</v>
      </c>
      <c r="B52" s="1265"/>
      <c r="C52" s="1265"/>
      <c r="D52" s="1265"/>
      <c r="E52" s="8883"/>
      <c r="F52" s="1265"/>
      <c r="G52" s="1265"/>
      <c r="H52" s="1265"/>
      <c r="I52" s="1265"/>
      <c r="J52" s="1265"/>
      <c r="K52" s="1265"/>
      <c r="L52" s="1268"/>
      <c r="M52" s="1244"/>
      <c r="N52" s="1244"/>
      <c r="O52" s="442"/>
      <c r="P52" s="308"/>
      <c r="Q52" s="1266"/>
      <c r="R52" s="308"/>
      <c r="S52" s="1245"/>
      <c r="T52" s="1248" t="s">
        <v>315</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46"/>
      <c r="M53" s="1244"/>
      <c r="N53" s="1244"/>
      <c r="P53" s="1239"/>
      <c r="Q53" s="1240"/>
      <c r="R53" s="1239"/>
      <c r="S53" s="1245"/>
      <c r="T53" s="1248" t="s">
        <v>706</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8903"/>
      <c r="U55" s="8903"/>
      <c r="V55" s="8903"/>
      <c r="W55" s="8903"/>
      <c r="X55" s="8903"/>
      <c r="Y55" s="8903"/>
      <c r="Z55" s="8903"/>
      <c r="AA55" s="8903"/>
      <c r="AB55" s="8903"/>
      <c r="AC55" s="8903"/>
      <c r="AD55" s="8903"/>
      <c r="AE55" s="8903"/>
      <c r="AF55" s="8903"/>
      <c r="AG55" s="8903"/>
      <c r="AH55" s="8903"/>
      <c r="AI55" s="8903"/>
      <c r="AJ55" s="8903"/>
      <c r="AK55" s="8903"/>
    </row>
    <row r="56" spans="1:42" ht="14.25" customHeight="1">
      <c r="O56" s="460"/>
    </row>
    <row r="57" spans="1:42" ht="14.25" customHeight="1">
      <c r="O57" s="460"/>
      <c r="S57" s="1169"/>
      <c r="T57" s="8903"/>
      <c r="U57" s="8903"/>
      <c r="V57" s="8903"/>
      <c r="W57" s="8903"/>
      <c r="X57" s="8903"/>
      <c r="Y57" s="8903"/>
      <c r="Z57" s="8903"/>
      <c r="AA57" s="8903"/>
      <c r="AB57" s="8903"/>
      <c r="AC57" s="8903"/>
      <c r="AD57" s="8903"/>
      <c r="AE57" s="8903"/>
      <c r="AF57" s="8903"/>
      <c r="AG57" s="8903"/>
      <c r="AH57" s="8903"/>
      <c r="AI57" s="8903"/>
      <c r="AJ57" s="8903"/>
      <c r="AK57" s="890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F67" sqref="F67:F70"/>
    </sheetView>
  </sheetViews>
  <sheetFormatPr defaultColWidth="9.140625" defaultRowHeight="11.25" customHeight="1"/>
  <cols>
    <col min="1" max="1" width="10.7109375" style="701" hidden="1" customWidth="1"/>
    <col min="2" max="2" width="10.7109375" style="649" hidden="1" customWidth="1"/>
    <col min="3" max="3" width="3.7109375" style="454" customWidth="1"/>
    <col min="4" max="4" width="1.7109375" style="1555" customWidth="1"/>
    <col min="5" max="5" width="55.28515625" style="1555" customWidth="1"/>
    <col min="6" max="6" width="50.7109375" style="1555" customWidth="1"/>
    <col min="7" max="7" width="1.7109375" style="1807" customWidth="1"/>
    <col min="8" max="8" width="18" style="1555" hidden="1" customWidth="1"/>
    <col min="9" max="9" width="9.5703125" style="455" customWidth="1"/>
    <col min="10" max="10" width="52.140625" style="1287" hidden="1" customWidth="1"/>
    <col min="11" max="11" width="9.140625" style="1555"/>
    <col min="12" max="12" width="78" style="1555" customWidth="1"/>
    <col min="13" max="16" width="9.140625" style="1555"/>
  </cols>
  <sheetData>
    <row r="1" spans="1:11" s="541" customFormat="1" ht="3" customHeight="1">
      <c r="A1" s="697"/>
      <c r="B1" s="156"/>
      <c r="F1" s="157">
        <v>26354809</v>
      </c>
      <c r="G1" s="340"/>
      <c r="H1" s="4"/>
      <c r="I1" s="340"/>
      <c r="J1" s="785"/>
    </row>
    <row r="2" spans="1:11" s="1552" customFormat="1" ht="14.25" customHeight="1">
      <c r="A2" s="697"/>
      <c r="B2" s="27"/>
      <c r="E2" s="1659" t="str">
        <f>code</f>
        <v>Код отчёта: PP108.OPEN.INFO.REQUEST.COLDVSNA.EIAS</v>
      </c>
      <c r="F2" s="184"/>
      <c r="G2" s="160"/>
      <c r="H2" s="160"/>
      <c r="I2" s="160"/>
      <c r="J2" s="786"/>
      <c r="K2" s="160"/>
    </row>
    <row r="3" spans="1:11" ht="14.25" customHeight="1">
      <c r="E3" s="161" t="str">
        <f>version</f>
        <v>Версия отчёта: 1.0.5</v>
      </c>
      <c r="F3" s="184"/>
      <c r="G3" s="1818"/>
      <c r="H3"/>
      <c r="I3"/>
      <c r="J3" s="787"/>
      <c r="K3"/>
    </row>
    <row r="4" spans="1:11" s="1533" customFormat="1" ht="6" customHeight="1">
      <c r="A4" s="698"/>
      <c r="B4" s="148"/>
      <c r="C4" s="149"/>
      <c r="D4" s="150"/>
      <c r="E4" s="158"/>
      <c r="F4" s="159"/>
      <c r="G4" s="685"/>
      <c r="H4" s="338"/>
      <c r="I4" s="340"/>
      <c r="J4" s="788"/>
    </row>
    <row r="5" spans="1:11" ht="37.5" customHeight="1">
      <c r="D5" s="6"/>
      <c r="E5" s="8723"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8724"/>
      <c r="G5" s="686"/>
      <c r="J5" s="789"/>
    </row>
    <row r="6" spans="1:11" s="1533" customFormat="1" ht="6" customHeight="1">
      <c r="A6" s="698"/>
      <c r="B6" s="148"/>
      <c r="C6" s="149"/>
      <c r="D6" s="150"/>
      <c r="E6" s="152"/>
      <c r="F6" s="153"/>
      <c r="G6" s="686"/>
      <c r="H6" s="338"/>
      <c r="I6" s="340"/>
      <c r="J6" s="788"/>
    </row>
    <row r="7" spans="1:11" ht="19.5" customHeight="1">
      <c r="D7" s="6"/>
      <c r="E7" s="320" t="s">
        <v>13</v>
      </c>
      <c r="F7" s="132" t="s">
        <v>14</v>
      </c>
      <c r="G7" s="686"/>
    </row>
    <row r="8" spans="1:11" s="1533" customFormat="1" ht="6" customHeight="1">
      <c r="A8" s="699"/>
      <c r="B8" s="148"/>
      <c r="C8" s="149"/>
      <c r="D8" s="154"/>
      <c r="E8" s="152"/>
      <c r="F8" s="155"/>
      <c r="G8" s="8"/>
      <c r="H8" s="338"/>
      <c r="I8" s="340"/>
      <c r="J8" s="791"/>
    </row>
    <row r="9" spans="1:11" s="1555" customFormat="1" ht="19.5" hidden="1" customHeight="1">
      <c r="A9" s="698"/>
      <c r="B9" s="27"/>
      <c r="C9" s="337"/>
      <c r="D9" s="339"/>
      <c r="E9" s="1070" t="s">
        <v>15</v>
      </c>
      <c r="F9" s="1056"/>
      <c r="G9" s="686"/>
      <c r="I9" s="340"/>
      <c r="J9" s="790"/>
    </row>
    <row r="10" spans="1:11" s="1533" customFormat="1" ht="6" customHeight="1">
      <c r="A10" s="699"/>
      <c r="B10" s="353"/>
      <c r="C10" s="354"/>
      <c r="D10" s="154"/>
      <c r="E10" s="152"/>
      <c r="F10" s="155"/>
      <c r="G10" s="8"/>
      <c r="H10" s="338"/>
      <c r="I10" s="340"/>
      <c r="J10" s="791"/>
    </row>
    <row r="11" spans="1:11" ht="22.5" customHeight="1">
      <c r="A11" s="8726" t="s">
        <v>16</v>
      </c>
      <c r="D11" s="6"/>
      <c r="E11" s="1070" t="s">
        <v>17</v>
      </c>
      <c r="F11" s="1651">
        <v>45292.411493055559</v>
      </c>
      <c r="G11" s="8"/>
      <c r="H11" s="687" t="s">
        <v>18</v>
      </c>
      <c r="J11" s="790" t="s">
        <v>19</v>
      </c>
    </row>
    <row r="12" spans="1:11" ht="22.5" customHeight="1">
      <c r="A12" s="8726"/>
      <c r="D12" s="6"/>
      <c r="E12" s="1070" t="s">
        <v>20</v>
      </c>
      <c r="F12" s="1651">
        <v>45657.411689814813</v>
      </c>
      <c r="G12" s="5"/>
      <c r="J12" s="790" t="s">
        <v>21</v>
      </c>
    </row>
    <row r="13" spans="1:11" s="1555" customFormat="1" ht="22.5" hidden="1" customHeight="1">
      <c r="A13" s="702" t="s">
        <v>22</v>
      </c>
      <c r="B13" s="27"/>
      <c r="C13" s="337"/>
      <c r="D13" s="339"/>
      <c r="E13" s="1695" t="s">
        <v>23</v>
      </c>
      <c r="F13" s="1651" t="s">
        <v>24</v>
      </c>
      <c r="G13" s="8"/>
      <c r="H13"/>
      <c r="I13" s="340"/>
      <c r="J13" s="1696" t="s">
        <v>25</v>
      </c>
    </row>
    <row r="14" spans="1:11" s="1555" customFormat="1" ht="27" hidden="1" customHeight="1">
      <c r="A14" s="702" t="s">
        <v>26</v>
      </c>
      <c r="B14" s="27"/>
      <c r="C14" s="337"/>
      <c r="D14" s="339"/>
      <c r="E14" s="1070" t="s">
        <v>27</v>
      </c>
      <c r="F14" s="1687"/>
      <c r="G14" s="8"/>
      <c r="H14"/>
      <c r="I14" s="340"/>
      <c r="J14" s="790" t="s">
        <v>28</v>
      </c>
    </row>
    <row r="15" spans="1:11" s="1555" customFormat="1" ht="19.5" hidden="1" customHeight="1">
      <c r="A15" s="702" t="s">
        <v>29</v>
      </c>
      <c r="B15" s="27"/>
      <c r="C15" s="337"/>
      <c r="D15" s="339"/>
      <c r="E15" s="1070" t="s">
        <v>30</v>
      </c>
      <c r="F15" s="1687"/>
      <c r="G15" s="8"/>
      <c r="H15"/>
      <c r="I15" s="340"/>
      <c r="J15" s="790" t="s">
        <v>31</v>
      </c>
    </row>
    <row r="16" spans="1:11" s="1533" customFormat="1" ht="6" customHeight="1">
      <c r="A16" s="699"/>
      <c r="B16" s="148"/>
      <c r="C16" s="149"/>
      <c r="D16" s="154"/>
      <c r="E16" s="152"/>
      <c r="F16" s="155"/>
      <c r="G16" s="8"/>
      <c r="H16" s="338"/>
      <c r="I16" s="340"/>
      <c r="J16" s="788"/>
    </row>
    <row r="17" spans="1:10" ht="19.5" customHeight="1">
      <c r="D17" s="6"/>
      <c r="E17" s="320" t="s">
        <v>32</v>
      </c>
      <c r="F17" s="133" t="s">
        <v>33</v>
      </c>
      <c r="G17" s="5"/>
      <c r="H17" s="687" t="s">
        <v>18</v>
      </c>
    </row>
    <row r="18" spans="1:10" ht="25.5" hidden="1" customHeight="1">
      <c r="D18" s="6"/>
      <c r="E18" s="1695" t="s">
        <v>34</v>
      </c>
      <c r="F18" s="1652"/>
      <c r="G18" s="5"/>
      <c r="I18" s="688"/>
      <c r="J18" s="8725" t="s">
        <v>35</v>
      </c>
    </row>
    <row r="19" spans="1:10" ht="25.5" hidden="1" customHeight="1">
      <c r="D19" s="6"/>
      <c r="E19" s="107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2"/>
      <c r="G19" s="5"/>
      <c r="I19" s="688"/>
      <c r="J19" s="8725"/>
    </row>
    <row r="20" spans="1:10" ht="22.5" customHeight="1">
      <c r="D20" s="6"/>
      <c r="E20" s="7"/>
      <c r="F20" s="185" t="str">
        <f>"Первичное "&amp;IF(TEMPLATE_GROUP="P","установление тарифов","предложение по тарифам")</f>
        <v>Первичное предложение по тарифам</v>
      </c>
      <c r="G20" s="5"/>
      <c r="I20" s="323"/>
      <c r="J20" s="789" t="s">
        <v>36</v>
      </c>
    </row>
    <row r="21" spans="1:10" ht="19.5" customHeight="1">
      <c r="D21" s="6"/>
      <c r="E21" s="320" t="str">
        <f>"Дата "&amp;IF(TEMPLATE_GROUP="P","документа","подачи заявления")&amp;" об утверждении тарифов"</f>
        <v>Дата подачи заявления об утверждении тарифов</v>
      </c>
      <c r="F21" s="1651">
        <v>45281.411851851852</v>
      </c>
      <c r="G21" s="5"/>
      <c r="I21" s="689"/>
    </row>
    <row r="22" spans="1:10" ht="19.5" customHeight="1">
      <c r="D22" s="6"/>
      <c r="E22" s="320" t="str">
        <f>"Номер "&amp;IF(TEMPLATE_GROUP="P","документа","подачи заявления")&amp;" об утверждении тарифов"</f>
        <v>Номер подачи заявления об утверждении тарифов</v>
      </c>
      <c r="F22" s="133" t="s">
        <v>37</v>
      </c>
      <c r="G22" s="5"/>
      <c r="I22" s="689"/>
    </row>
    <row r="23" spans="1:10" ht="22.5" hidden="1" customHeight="1">
      <c r="D23" s="6"/>
      <c r="E23" s="320" t="s">
        <v>38</v>
      </c>
      <c r="F23" s="133"/>
      <c r="G23" s="5"/>
    </row>
    <row r="24" spans="1:10" ht="19.5" hidden="1" customHeight="1">
      <c r="D24" s="6"/>
      <c r="E24" s="320" t="s">
        <v>39</v>
      </c>
      <c r="F24" s="133"/>
      <c r="G24" s="5"/>
    </row>
    <row r="25" spans="1:10" ht="22.5" hidden="1" customHeight="1">
      <c r="D25" s="6"/>
      <c r="E25" s="7"/>
      <c r="F25" s="185" t="str">
        <f>"Изменение "&amp;IF(TEMPLATE_GROUP="P","тарифов","предложения по тарифам")</f>
        <v>Изменение предложения по тарифам</v>
      </c>
      <c r="G25" s="5"/>
      <c r="J25" s="789" t="s">
        <v>40</v>
      </c>
    </row>
    <row r="26" spans="1:10" ht="19.5" hidden="1" customHeight="1">
      <c r="D26" s="6"/>
      <c r="E26" s="320" t="str">
        <f>"Дата "&amp;IF(TEMPLATE_GROUP="P","принятия решения","подачи заявления")&amp;" об изменении тарифов"</f>
        <v>Дата подачи заявления об изменении тарифов</v>
      </c>
      <c r="F26" s="1652"/>
      <c r="G26" s="5"/>
    </row>
    <row r="27" spans="1:10" ht="19.5" hidden="1" customHeight="1">
      <c r="D27" s="6"/>
      <c r="E27" s="1070" t="str">
        <f>"Номер "&amp;IF(TEMPLATE_GROUP="P","принятия решения","заявления")&amp;" об изменении тарифов"</f>
        <v>Номер заявления об изменении тарифов</v>
      </c>
      <c r="F27" s="135"/>
      <c r="G27" s="5"/>
    </row>
    <row r="28" spans="1:10" ht="24.75" hidden="1" customHeight="1">
      <c r="D28" s="6"/>
      <c r="E28" s="320" t="s">
        <v>41</v>
      </c>
      <c r="F28" s="135"/>
      <c r="G28" s="5"/>
    </row>
    <row r="29" spans="1:10" ht="19.5" hidden="1" customHeight="1">
      <c r="D29" s="6"/>
      <c r="E29" s="320" t="s">
        <v>39</v>
      </c>
      <c r="F29" s="135"/>
      <c r="G29" s="5"/>
    </row>
    <row r="30" spans="1:10" s="1533" customFormat="1" ht="6" customHeight="1">
      <c r="A30" s="699"/>
      <c r="B30" s="148"/>
      <c r="C30" s="149"/>
      <c r="D30" s="154"/>
      <c r="E30" s="152"/>
      <c r="F30" s="155"/>
      <c r="G30" s="8"/>
      <c r="H30" s="338"/>
      <c r="I30" s="340"/>
      <c r="J30" s="788"/>
    </row>
    <row r="31" spans="1:10" ht="19.5" customHeight="1">
      <c r="C31" s="9"/>
      <c r="D31" s="10"/>
      <c r="E31" s="320" t="s">
        <v>42</v>
      </c>
      <c r="F31" s="134" t="s">
        <v>43</v>
      </c>
      <c r="G31" s="690"/>
    </row>
    <row r="32" spans="1:10" ht="19.5" hidden="1" customHeight="1">
      <c r="C32" s="9"/>
      <c r="D32" s="10"/>
      <c r="E32" s="321" t="s">
        <v>44</v>
      </c>
      <c r="F32" s="1686"/>
      <c r="G32" s="690"/>
    </row>
    <row r="33" spans="1:10" ht="19.5" customHeight="1">
      <c r="C33" s="9"/>
      <c r="D33" s="10"/>
      <c r="E33" s="320" t="s">
        <v>45</v>
      </c>
      <c r="F33" s="134" t="s">
        <v>46</v>
      </c>
      <c r="G33" s="690"/>
    </row>
    <row r="34" spans="1:10" ht="19.5" customHeight="1">
      <c r="C34" s="9"/>
      <c r="D34" s="10"/>
      <c r="E34" s="320" t="s">
        <v>47</v>
      </c>
      <c r="F34" s="134" t="s">
        <v>48</v>
      </c>
      <c r="G34" s="690"/>
      <c r="H34" s="11"/>
    </row>
    <row r="35" spans="1:10" s="1533" customFormat="1" ht="11.25" customHeight="1">
      <c r="A35" s="699"/>
      <c r="B35" s="148"/>
      <c r="C35" s="149"/>
      <c r="D35" s="154"/>
      <c r="E35" s="152"/>
      <c r="F35" s="155"/>
      <c r="G35" s="8"/>
      <c r="H35" s="338"/>
      <c r="I35" s="340"/>
      <c r="J35" s="788"/>
    </row>
    <row r="36" spans="1:10" ht="19.5" hidden="1" customHeight="1">
      <c r="A36" s="793"/>
      <c r="D36" s="10"/>
      <c r="E36" s="320" t="s">
        <v>49</v>
      </c>
      <c r="F36" s="269"/>
      <c r="G36" s="8"/>
    </row>
    <row r="37" spans="1:10" ht="19.5" customHeight="1">
      <c r="A37" s="793"/>
      <c r="D37" s="10"/>
      <c r="E37" s="320" t="s">
        <v>50</v>
      </c>
      <c r="F37" s="1117" t="s">
        <v>51</v>
      </c>
      <c r="G37" s="8"/>
    </row>
    <row r="38" spans="1:10" s="1533" customFormat="1" ht="6" customHeight="1">
      <c r="A38" s="699"/>
      <c r="B38" s="148"/>
      <c r="C38" s="149"/>
      <c r="D38" s="150"/>
      <c r="E38" s="151"/>
      <c r="F38" s="964"/>
      <c r="G38" s="5"/>
      <c r="H38" s="338"/>
      <c r="I38" s="340"/>
      <c r="J38" s="790"/>
    </row>
    <row r="39" spans="1:10" ht="22.5" customHeight="1">
      <c r="A39" s="699"/>
      <c r="D39" s="6"/>
      <c r="E39" s="320" t="s">
        <v>52</v>
      </c>
      <c r="F39" s="627" t="s">
        <v>53</v>
      </c>
      <c r="G39" s="5"/>
      <c r="H39" s="687" t="s">
        <v>18</v>
      </c>
    </row>
    <row r="40" spans="1:10" s="1533" customFormat="1" ht="6" hidden="1" customHeight="1">
      <c r="A40" s="698"/>
      <c r="B40" s="353"/>
      <c r="C40" s="354"/>
      <c r="D40" s="355"/>
      <c r="E40" s="356"/>
      <c r="F40" s="964"/>
      <c r="G40" s="5"/>
      <c r="H40" s="338"/>
      <c r="I40" s="340"/>
      <c r="J40" s="790"/>
    </row>
    <row r="41" spans="1:10" s="1555" customFormat="1" ht="19.5" hidden="1" customHeight="1">
      <c r="A41" s="702" t="s">
        <v>22</v>
      </c>
      <c r="B41" s="342"/>
      <c r="C41" s="337"/>
      <c r="D41" s="339"/>
      <c r="E41" s="320"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27" t="s">
        <v>53</v>
      </c>
      <c r="G41" s="5"/>
      <c r="I41" s="340"/>
      <c r="J41" s="790"/>
    </row>
    <row r="42" spans="1:10" s="1533" customFormat="1" ht="6" hidden="1" customHeight="1">
      <c r="A42" s="698"/>
      <c r="B42" s="353"/>
      <c r="C42" s="354"/>
      <c r="D42" s="355"/>
      <c r="E42" s="356"/>
      <c r="F42" s="964"/>
      <c r="G42" s="5"/>
      <c r="H42" s="338"/>
      <c r="I42" s="340"/>
      <c r="J42" s="788"/>
    </row>
    <row r="43" spans="1:10" s="1555" customFormat="1" ht="22.5" hidden="1" customHeight="1">
      <c r="A43" s="698"/>
      <c r="B43" s="342"/>
      <c r="C43" s="337"/>
      <c r="D43" s="339"/>
      <c r="E43" s="320" t="s">
        <v>54</v>
      </c>
      <c r="F43" s="627" t="s">
        <v>53</v>
      </c>
      <c r="G43" s="5"/>
      <c r="I43" s="340"/>
      <c r="J43" s="790"/>
    </row>
    <row r="44" spans="1:10" s="1555" customFormat="1" ht="22.5" hidden="1" customHeight="1">
      <c r="A44" s="698"/>
      <c r="B44" s="342"/>
      <c r="C44" s="337"/>
      <c r="D44" s="339"/>
      <c r="E44" s="1070" t="s">
        <v>55</v>
      </c>
      <c r="F44" s="1817"/>
      <c r="G44" s="5"/>
      <c r="I44" s="340"/>
      <c r="J44" s="790"/>
    </row>
    <row r="45" spans="1:10" s="1533" customFormat="1" ht="6" hidden="1" customHeight="1">
      <c r="A45" s="698"/>
      <c r="B45" s="353"/>
      <c r="C45" s="354"/>
      <c r="D45" s="355"/>
      <c r="E45" s="356"/>
      <c r="F45" s="964"/>
      <c r="G45" s="5"/>
      <c r="H45" s="338"/>
      <c r="I45" s="340"/>
      <c r="J45" s="790"/>
    </row>
    <row r="46" spans="1:10" s="1533" customFormat="1" ht="22.5" hidden="1" customHeight="1">
      <c r="A46" s="698"/>
      <c r="B46" s="353"/>
      <c r="C46" s="354"/>
      <c r="D46" s="355"/>
      <c r="E46" s="1070" t="s">
        <v>56</v>
      </c>
      <c r="F46" s="627" t="s">
        <v>53</v>
      </c>
      <c r="G46" s="5"/>
      <c r="H46" s="338"/>
      <c r="I46" s="340"/>
      <c r="J46" s="790"/>
    </row>
    <row r="47" spans="1:10" s="1555" customFormat="1" ht="22.5" hidden="1" customHeight="1">
      <c r="A47" s="698"/>
      <c r="B47" s="342"/>
      <c r="C47" s="337"/>
      <c r="D47" s="339"/>
      <c r="E47" s="1070" t="s">
        <v>57</v>
      </c>
      <c r="F47" s="627" t="s">
        <v>53</v>
      </c>
      <c r="G47" s="5"/>
      <c r="I47" s="340"/>
      <c r="J47" s="790"/>
    </row>
    <row r="48" spans="1:10" s="1533" customFormat="1" ht="6" hidden="1" customHeight="1">
      <c r="A48" s="698"/>
      <c r="B48" s="148"/>
      <c r="C48" s="149"/>
      <c r="D48" s="150"/>
      <c r="E48" s="151"/>
      <c r="F48" s="964"/>
      <c r="G48" s="5"/>
      <c r="H48" s="338"/>
      <c r="I48" s="340"/>
      <c r="J48" s="790"/>
    </row>
    <row r="49" spans="1:16" ht="19.5" hidden="1" customHeight="1">
      <c r="B49" s="68"/>
      <c r="D49" s="6"/>
      <c r="E49" s="32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27"/>
      <c r="G49" s="5"/>
    </row>
    <row r="50" spans="1:16" s="1533" customFormat="1" ht="6" hidden="1" customHeight="1">
      <c r="A50" s="699"/>
      <c r="B50" s="353"/>
      <c r="C50" s="354"/>
      <c r="D50" s="154"/>
      <c r="E50" s="152"/>
      <c r="F50" s="155"/>
      <c r="G50" s="8"/>
      <c r="H50" s="338"/>
      <c r="I50" s="340"/>
      <c r="J50" s="790"/>
    </row>
    <row r="51" spans="1:16" s="1555" customFormat="1" ht="22.5" hidden="1" customHeight="1">
      <c r="A51" s="700"/>
      <c r="B51" s="342"/>
      <c r="C51" s="454"/>
      <c r="D51" s="455"/>
      <c r="E51" s="320" t="s">
        <v>58</v>
      </c>
      <c r="F51" s="627" t="s">
        <v>53</v>
      </c>
      <c r="G51" s="456"/>
      <c r="I51" s="457"/>
      <c r="J51" s="792"/>
      <c r="P51" s="458"/>
    </row>
    <row r="52" spans="1:16" s="1533" customFormat="1" ht="6" hidden="1" customHeight="1">
      <c r="A52" s="699"/>
      <c r="B52" s="353"/>
      <c r="C52" s="354"/>
      <c r="D52" s="154"/>
      <c r="E52" s="152"/>
      <c r="F52" s="155"/>
      <c r="G52" s="8"/>
      <c r="H52" s="338"/>
      <c r="I52" s="340"/>
      <c r="J52" s="788"/>
    </row>
    <row r="53" spans="1:16" s="1555" customFormat="1" ht="22.5" hidden="1" customHeight="1">
      <c r="A53" s="700"/>
      <c r="B53" s="342"/>
      <c r="C53" s="454"/>
      <c r="D53" s="455"/>
      <c r="E53" s="320" t="s">
        <v>59</v>
      </c>
      <c r="F53" s="959" t="s">
        <v>53</v>
      </c>
      <c r="G53" s="456"/>
      <c r="I53" s="457"/>
      <c r="J53" s="792"/>
      <c r="P53" s="458"/>
    </row>
    <row r="54" spans="1:16" s="1555" customFormat="1" ht="22.5" hidden="1" customHeight="1">
      <c r="A54" s="700"/>
      <c r="B54" s="342"/>
      <c r="C54" s="454"/>
      <c r="D54" s="455"/>
      <c r="E54" s="320" t="s">
        <v>60</v>
      </c>
      <c r="F54" s="1694"/>
      <c r="G54" s="456"/>
      <c r="I54" s="457"/>
      <c r="J54" s="792"/>
      <c r="P54" s="458"/>
    </row>
    <row r="55" spans="1:16" s="1533" customFormat="1" ht="6" hidden="1" customHeight="1">
      <c r="A55" s="699"/>
      <c r="B55" s="353"/>
      <c r="C55" s="354"/>
      <c r="D55" s="154"/>
      <c r="E55" s="152"/>
      <c r="F55" s="155"/>
      <c r="G55" s="8"/>
      <c r="H55" s="338"/>
      <c r="I55" s="340"/>
      <c r="J55" s="788"/>
    </row>
    <row r="56" spans="1:16" s="1555" customFormat="1" ht="22.5" hidden="1" customHeight="1">
      <c r="A56" s="700"/>
      <c r="B56" s="342"/>
      <c r="C56" s="454"/>
      <c r="D56" s="455"/>
      <c r="E56" s="320" t="s">
        <v>61</v>
      </c>
      <c r="F56" s="959" t="s">
        <v>53</v>
      </c>
      <c r="G56" s="456"/>
      <c r="I56" s="457"/>
      <c r="J56" s="792"/>
      <c r="P56" s="458"/>
    </row>
    <row r="57" spans="1:16" s="1533" customFormat="1" ht="6" hidden="1" customHeight="1">
      <c r="A57" s="699"/>
      <c r="B57" s="353"/>
      <c r="C57" s="354"/>
      <c r="D57" s="154"/>
      <c r="E57" s="152"/>
      <c r="F57" s="155"/>
      <c r="G57" s="8"/>
      <c r="H57" s="338"/>
      <c r="I57" s="340"/>
      <c r="J57" s="788"/>
    </row>
    <row r="58" spans="1:16" s="1555" customFormat="1" ht="15" hidden="1" customHeight="1">
      <c r="A58" s="700"/>
      <c r="B58" s="342"/>
      <c r="C58" s="454"/>
      <c r="D58" s="455"/>
      <c r="E58" s="320" t="s">
        <v>62</v>
      </c>
      <c r="F58" s="959" t="s">
        <v>63</v>
      </c>
      <c r="G58" s="456"/>
      <c r="I58" s="457"/>
      <c r="J58" s="792"/>
      <c r="P58" s="458"/>
    </row>
    <row r="59" spans="1:16" s="1555" customFormat="1" ht="15" hidden="1" customHeight="1">
      <c r="A59" s="700"/>
      <c r="B59" s="342"/>
      <c r="C59" s="454"/>
      <c r="D59" s="455"/>
      <c r="E59" s="32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96"/>
      <c r="G59" s="456"/>
      <c r="I59" s="457"/>
      <c r="J59" s="792"/>
      <c r="P59" s="458"/>
    </row>
    <row r="60" spans="1:16" s="1555" customFormat="1" ht="15" hidden="1" customHeight="1">
      <c r="A60" s="700"/>
      <c r="B60" s="342"/>
      <c r="C60" s="454"/>
      <c r="D60" s="455"/>
      <c r="E60" s="1070" t="s">
        <v>64</v>
      </c>
      <c r="F60" s="1056"/>
      <c r="G60" s="456"/>
      <c r="I60" s="457"/>
      <c r="J60" s="792"/>
      <c r="P60" s="458"/>
    </row>
    <row r="61" spans="1:16" s="1533" customFormat="1" ht="6" hidden="1" customHeight="1">
      <c r="A61" s="699"/>
      <c r="B61" s="353"/>
      <c r="C61" s="354"/>
      <c r="D61" s="355"/>
      <c r="E61" s="356"/>
      <c r="F61" s="964"/>
      <c r="G61" s="5"/>
      <c r="H61" s="338"/>
      <c r="I61" s="340"/>
      <c r="J61" s="790"/>
    </row>
    <row r="62" spans="1:16" s="1555" customFormat="1" ht="33.75" hidden="1" customHeight="1">
      <c r="A62" s="699"/>
      <c r="B62" s="27"/>
      <c r="C62" s="337"/>
      <c r="D62" s="339"/>
      <c r="E62" s="1070" t="s">
        <v>65</v>
      </c>
      <c r="F62" s="1591" t="s">
        <v>63</v>
      </c>
      <c r="G62" s="5"/>
      <c r="H62" s="687" t="s">
        <v>18</v>
      </c>
      <c r="I62" s="340"/>
      <c r="J62" s="790"/>
    </row>
    <row r="63" spans="1:16" s="1533" customFormat="1" ht="6" customHeight="1">
      <c r="A63" s="699"/>
      <c r="B63" s="148"/>
      <c r="C63" s="149"/>
      <c r="D63" s="154"/>
      <c r="E63" s="152"/>
      <c r="F63" s="155"/>
      <c r="G63" s="8"/>
      <c r="H63" s="338"/>
      <c r="I63" s="340"/>
      <c r="J63" s="788"/>
    </row>
    <row r="64" spans="1:16" ht="19.5" customHeight="1">
      <c r="B64" s="28"/>
      <c r="D64" s="13"/>
      <c r="E64" s="320" t="s">
        <v>66</v>
      </c>
      <c r="F64" s="133" t="s">
        <v>67</v>
      </c>
      <c r="G64" s="8"/>
    </row>
    <row r="65" spans="2:9" ht="19.5" customHeight="1">
      <c r="B65" s="28"/>
      <c r="D65" s="13"/>
      <c r="E65" s="320" t="s">
        <v>68</v>
      </c>
      <c r="F65" s="133" t="s">
        <v>69</v>
      </c>
      <c r="G65" s="8"/>
    </row>
    <row r="66" spans="2:9" ht="35.25" customHeight="1">
      <c r="D66" s="6"/>
      <c r="E66" s="322" t="s">
        <v>70</v>
      </c>
      <c r="F66" s="965"/>
      <c r="G66" s="5"/>
    </row>
    <row r="67" spans="2:9" ht="19.5" customHeight="1">
      <c r="D67" s="339"/>
      <c r="E67" s="320" t="s">
        <v>71</v>
      </c>
      <c r="F67" s="186" t="s">
        <v>72</v>
      </c>
      <c r="G67" s="8"/>
    </row>
    <row r="68" spans="2:9" ht="19.5" customHeight="1">
      <c r="B68" s="28"/>
      <c r="D68" s="13"/>
      <c r="E68" s="320" t="s">
        <v>73</v>
      </c>
      <c r="F68" s="186" t="s">
        <v>74</v>
      </c>
      <c r="G68" s="8"/>
    </row>
    <row r="69" spans="2:9" ht="19.5" customHeight="1">
      <c r="B69" s="28"/>
      <c r="D69" s="13"/>
      <c r="E69" s="320" t="s">
        <v>75</v>
      </c>
      <c r="F69" s="186" t="s">
        <v>76</v>
      </c>
      <c r="G69" s="8"/>
    </row>
    <row r="70" spans="2:9" ht="19.5" customHeight="1">
      <c r="D70" s="339"/>
      <c r="E70" s="320" t="s">
        <v>77</v>
      </c>
      <c r="F70" s="186" t="s">
        <v>78</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9"/>
      <c r="F78" s="319"/>
      <c r="G78" s="319"/>
      <c r="H78" s="319"/>
      <c r="I78" s="319"/>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8883">
        <v>1</v>
      </c>
      <c r="F2" s="1284"/>
      <c r="G2" s="1284"/>
      <c r="H2" s="1284"/>
      <c r="I2" s="1284"/>
      <c r="J2" s="1284"/>
      <c r="K2" s="1284"/>
      <c r="L2" s="1285"/>
      <c r="M2" s="1286"/>
      <c r="N2" s="1286"/>
      <c r="O2" s="1286"/>
      <c r="P2" s="282"/>
      <c r="Q2" s="281"/>
      <c r="R2" s="276"/>
      <c r="S2" s="1375" t="e">
        <f>INDEX(PT_DIFFERENTIATION_NUM_NTAR,MATCH(A2,PT_DIFFERENTIATION_NTAR_ID,0))</f>
        <v>#N/A</v>
      </c>
      <c r="T2" s="212" t="s">
        <v>211</v>
      </c>
      <c r="U2" s="214"/>
      <c r="V2" s="8869"/>
      <c r="W2" s="8870"/>
      <c r="X2" s="8870"/>
      <c r="Y2" s="8870"/>
      <c r="Z2" s="8870"/>
      <c r="AA2" s="8870"/>
      <c r="AB2" s="8871"/>
      <c r="AC2" s="8869" t="e">
        <f>INDEX(PT_DIFFERENTIATION_NTAR,MATCH(A2,PT_DIFFERENTIATION_NTAR_ID,0))</f>
        <v>#N/A</v>
      </c>
      <c r="AD2" s="8870"/>
      <c r="AE2" s="8870"/>
      <c r="AF2" s="8870"/>
      <c r="AG2" s="8870"/>
      <c r="AH2" s="8870"/>
      <c r="AI2" s="8870"/>
      <c r="AJ2" s="887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8884"/>
      <c r="F3" s="8883">
        <v>1</v>
      </c>
      <c r="G3" s="1284"/>
      <c r="H3" s="1284"/>
      <c r="I3" s="1284"/>
      <c r="J3" s="1284"/>
      <c r="K3" s="1284"/>
      <c r="L3" s="1285"/>
      <c r="M3" s="1286"/>
      <c r="N3" s="1286"/>
      <c r="O3" s="1286"/>
      <c r="P3" s="1371"/>
      <c r="Q3" s="273"/>
      <c r="R3" s="274"/>
      <c r="S3" s="1375" t="e">
        <f>INDEX(PT_DIFFERENTIATION_NUM_TER,MATCH(B3,PT_DIFFERENTIATION_TER_ID,0))</f>
        <v>#N/A</v>
      </c>
      <c r="T3" s="224" t="s">
        <v>862</v>
      </c>
      <c r="U3" s="214"/>
      <c r="V3" s="8869"/>
      <c r="W3" s="8870"/>
      <c r="X3" s="8870"/>
      <c r="Y3" s="8870"/>
      <c r="Z3" s="8870"/>
      <c r="AA3" s="8870"/>
      <c r="AB3" s="8871"/>
      <c r="AC3" s="8869" t="e">
        <f>INDEX(PT_DIFFERENTIATION_TER,MATCH(B3,PT_DIFFERENTIATION_TER_ID,0))</f>
        <v>#N/A</v>
      </c>
      <c r="AD3" s="8870"/>
      <c r="AE3" s="8870"/>
      <c r="AF3" s="8870"/>
      <c r="AG3" s="8870"/>
      <c r="AH3" s="8870"/>
      <c r="AI3" s="8870"/>
      <c r="AJ3" s="8871"/>
      <c r="AK3" s="1182" t="s">
        <v>863</v>
      </c>
      <c r="AM3" s="424"/>
      <c r="AN3" s="424" t="str">
        <f t="shared" si="0"/>
        <v>Территория действия тарифа</v>
      </c>
      <c r="AO3" s="424"/>
      <c r="AP3" s="424"/>
    </row>
    <row r="4" spans="1:42" ht="23.25" hidden="1" customHeight="1">
      <c r="A4" s="1284"/>
      <c r="B4" s="1284"/>
      <c r="C4" s="1284"/>
      <c r="D4" s="1284"/>
      <c r="E4" s="8884"/>
      <c r="F4" s="8884"/>
      <c r="G4" s="8883">
        <v>1</v>
      </c>
      <c r="H4" s="1284"/>
      <c r="I4" s="1284"/>
      <c r="J4" s="1284"/>
      <c r="K4" s="1284"/>
      <c r="L4" s="1285"/>
      <c r="M4" s="1286"/>
      <c r="N4" s="1286"/>
      <c r="O4" s="1286"/>
      <c r="P4" s="275"/>
      <c r="Q4" s="273"/>
      <c r="R4" s="274"/>
      <c r="S4" s="1375" t="e">
        <f>INDEX(PT_DIFFERENTIATION_NUM_CS,MATCH(C4,PT_DIFFERENTIATION_CS_ID,0))</f>
        <v>#N/A</v>
      </c>
      <c r="T4" s="225" t="s">
        <v>943</v>
      </c>
      <c r="U4" s="214"/>
      <c r="V4" s="8869"/>
      <c r="W4" s="8870"/>
      <c r="X4" s="8870"/>
      <c r="Y4" s="8870"/>
      <c r="Z4" s="8870"/>
      <c r="AA4" s="8870"/>
      <c r="AB4" s="8871"/>
      <c r="AC4" s="8869" t="e">
        <f>INDEX(PT_DIFFERENTIATION_CS,MATCH(C4,PT_DIFFERENTIATION_CS_ID,0))</f>
        <v>#N/A</v>
      </c>
      <c r="AD4" s="8870"/>
      <c r="AE4" s="8870"/>
      <c r="AF4" s="8870"/>
      <c r="AG4" s="8870"/>
      <c r="AH4" s="8870"/>
      <c r="AI4" s="8870"/>
      <c r="AJ4" s="8871"/>
      <c r="AK4" s="1182" t="s">
        <v>944</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8884"/>
      <c r="F5" s="8884"/>
      <c r="G5" s="8884"/>
      <c r="H5" s="8884"/>
      <c r="I5" s="8881" t="e">
        <f>S4&amp;".1"</f>
        <v>#N/A</v>
      </c>
      <c r="J5" s="1284"/>
      <c r="K5" s="1284"/>
      <c r="L5" s="1285"/>
      <c r="P5" s="8882">
        <v>1</v>
      </c>
      <c r="Q5" s="1368"/>
      <c r="R5" s="277"/>
      <c r="S5" s="1375" t="e">
        <f>$I5</f>
        <v>#N/A</v>
      </c>
      <c r="T5" s="200" t="s">
        <v>945</v>
      </c>
      <c r="U5" s="214"/>
      <c r="V5" s="8942"/>
      <c r="W5" s="8943"/>
      <c r="X5" s="8943"/>
      <c r="Y5" s="8943"/>
      <c r="Z5" s="8943"/>
      <c r="AA5" s="8943"/>
      <c r="AB5" s="8944"/>
      <c r="AC5" s="8945"/>
      <c r="AD5" s="8946"/>
      <c r="AE5" s="8946"/>
      <c r="AF5" s="8946"/>
      <c r="AG5" s="8946"/>
      <c r="AH5" s="8946"/>
      <c r="AI5" s="8946"/>
      <c r="AJ5" s="8947"/>
      <c r="AK5" s="1182" t="s">
        <v>946</v>
      </c>
      <c r="AM5" s="424"/>
      <c r="AN5" s="424" t="str">
        <f t="shared" si="0"/>
        <v>Наименование признака дифференциации</v>
      </c>
      <c r="AO5" s="424"/>
      <c r="AP5" s="424"/>
    </row>
    <row r="6" spans="1:42" ht="23.25" hidden="1" customHeight="1">
      <c r="A6" s="1284"/>
      <c r="B6" s="1284"/>
      <c r="C6" s="1284"/>
      <c r="D6" s="1284"/>
      <c r="E6" s="8884"/>
      <c r="F6" s="8884"/>
      <c r="G6" s="8884"/>
      <c r="H6" s="8884"/>
      <c r="I6" s="8904"/>
      <c r="J6" s="8881" t="e">
        <f>I5&amp;".1"</f>
        <v>#N/A</v>
      </c>
      <c r="K6" s="1284"/>
      <c r="L6" s="1285" t="s">
        <v>871</v>
      </c>
      <c r="P6" s="8882"/>
      <c r="Q6" s="8882">
        <v>1</v>
      </c>
      <c r="R6" s="278"/>
      <c r="S6" s="1375" t="e">
        <f>$J6</f>
        <v>#N/A</v>
      </c>
      <c r="T6" s="201" t="s">
        <v>872</v>
      </c>
      <c r="U6" s="214"/>
      <c r="V6" s="8872"/>
      <c r="W6" s="8873"/>
      <c r="X6" s="8873"/>
      <c r="Y6" s="8873"/>
      <c r="Z6" s="8873"/>
      <c r="AA6" s="8873"/>
      <c r="AB6" s="8874"/>
      <c r="AC6" s="8872"/>
      <c r="AD6" s="8873"/>
      <c r="AE6" s="8873"/>
      <c r="AF6" s="8873"/>
      <c r="AG6" s="8873"/>
      <c r="AH6" s="8873"/>
      <c r="AI6" s="8873"/>
      <c r="AJ6" s="8874"/>
      <c r="AK6" s="1231" t="s">
        <v>947</v>
      </c>
      <c r="AM6" s="424"/>
      <c r="AN6" s="424" t="str">
        <f t="shared" si="0"/>
        <v>Группа потребителей</v>
      </c>
      <c r="AO6" s="424"/>
      <c r="AP6" s="424"/>
    </row>
    <row r="7" spans="1:42" ht="23.25" hidden="1" customHeight="1">
      <c r="A7" s="1284"/>
      <c r="B7" s="1284"/>
      <c r="C7" s="1284"/>
      <c r="D7" s="1284"/>
      <c r="E7" s="8884"/>
      <c r="F7" s="8884"/>
      <c r="G7" s="8884"/>
      <c r="H7" s="8884"/>
      <c r="I7" s="8904"/>
      <c r="J7" s="8904"/>
      <c r="K7" s="8881" t="e">
        <f>J6&amp;".1"</f>
        <v>#N/A</v>
      </c>
      <c r="L7" s="1285"/>
      <c r="P7" s="8882"/>
      <c r="Q7" s="8882"/>
      <c r="R7" s="278">
        <v>1</v>
      </c>
      <c r="S7" s="1375" t="e">
        <f>$K7</f>
        <v>#N/A</v>
      </c>
      <c r="T7" s="1357"/>
      <c r="U7" s="214"/>
      <c r="V7" s="666"/>
      <c r="W7" s="666"/>
      <c r="X7" s="1181"/>
      <c r="Y7" s="8886"/>
      <c r="Z7" s="8734" t="s">
        <v>63</v>
      </c>
      <c r="AA7" s="8886"/>
      <c r="AB7" s="8734" t="s">
        <v>63</v>
      </c>
      <c r="AC7" s="666"/>
      <c r="AD7" s="666"/>
      <c r="AE7" s="1181"/>
      <c r="AF7" s="8886"/>
      <c r="AG7" s="8734" t="s">
        <v>63</v>
      </c>
      <c r="AH7" s="8905"/>
      <c r="AI7" s="8734" t="s">
        <v>63</v>
      </c>
      <c r="AJ7" s="1358"/>
      <c r="AK7"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8884"/>
      <c r="F8" s="8884"/>
      <c r="G8" s="8884"/>
      <c r="H8" s="8884"/>
      <c r="I8" s="8904"/>
      <c r="J8" s="8904"/>
      <c r="K8" s="8881"/>
      <c r="L8" s="1285"/>
      <c r="P8" s="8882"/>
      <c r="Q8" s="8882"/>
      <c r="R8" s="278"/>
      <c r="S8" s="1374"/>
      <c r="T8" s="214"/>
      <c r="U8" s="214"/>
      <c r="V8" s="246"/>
      <c r="W8" s="246"/>
      <c r="X8" s="250" t="str">
        <f>Y7&amp;"-"&amp;AA7</f>
        <v>-</v>
      </c>
      <c r="Y8" s="8887"/>
      <c r="Z8" s="8734"/>
      <c r="AA8" s="8887"/>
      <c r="AB8" s="8734"/>
      <c r="AC8" s="246"/>
      <c r="AD8" s="246"/>
      <c r="AE8" s="250" t="str">
        <f>AF7&amp;"-"&amp;AH7</f>
        <v>-</v>
      </c>
      <c r="AF8" s="8887"/>
      <c r="AG8" s="8734"/>
      <c r="AH8" s="8906"/>
      <c r="AI8" s="8734"/>
      <c r="AJ8" s="1359"/>
      <c r="AK8" s="8941"/>
      <c r="AM8" s="424"/>
      <c r="AN8" s="424" t="str">
        <f t="shared" si="0"/>
        <v/>
      </c>
      <c r="AO8" s="424"/>
      <c r="AP8" s="424"/>
    </row>
    <row r="9" spans="1:42" ht="21" hidden="1" customHeight="1">
      <c r="A9" s="1284"/>
      <c r="B9" s="1284"/>
      <c r="C9" s="1284"/>
      <c r="D9" s="1284"/>
      <c r="E9" s="8884"/>
      <c r="F9" s="8884"/>
      <c r="G9" s="8884"/>
      <c r="H9" s="8884"/>
      <c r="I9" s="8904"/>
      <c r="J9" s="8881"/>
      <c r="K9" s="1284"/>
      <c r="L9" s="1285"/>
      <c r="P9" s="8882"/>
      <c r="Q9" s="8882"/>
      <c r="R9" s="277"/>
      <c r="S9" s="1203"/>
      <c r="T9" s="202" t="s">
        <v>948</v>
      </c>
      <c r="U9" s="291"/>
      <c r="V9" s="291"/>
      <c r="W9" s="291"/>
      <c r="X9" s="291"/>
      <c r="Y9" s="291"/>
      <c r="Z9" s="291"/>
      <c r="AA9" s="291"/>
      <c r="AB9" s="291"/>
      <c r="AC9" s="291"/>
      <c r="AD9" s="291"/>
      <c r="AE9" s="291"/>
      <c r="AF9" s="291"/>
      <c r="AG9" s="291"/>
      <c r="AH9" s="291"/>
      <c r="AI9" s="291"/>
      <c r="AJ9" s="291"/>
      <c r="AK9" s="1182" t="s">
        <v>949</v>
      </c>
      <c r="AM9" s="424"/>
      <c r="AN9" s="424" t="str">
        <f t="shared" si="0"/>
        <v>Добавить значение признака дифференциации</v>
      </c>
      <c r="AO9" s="424"/>
      <c r="AP9" s="424"/>
    </row>
    <row r="10" spans="1:42" ht="21" hidden="1" customHeight="1">
      <c r="A10" s="1284"/>
      <c r="B10" s="1284"/>
      <c r="C10" s="1284"/>
      <c r="D10" s="1284"/>
      <c r="E10" s="8884"/>
      <c r="F10" s="8884"/>
      <c r="G10" s="8884"/>
      <c r="H10" s="8884"/>
      <c r="I10" s="8881"/>
      <c r="J10" s="1284"/>
      <c r="K10" s="1284"/>
      <c r="L10" s="1285"/>
      <c r="P10" s="8882"/>
      <c r="Q10" s="1368"/>
      <c r="R10" s="277"/>
      <c r="S10" s="1203"/>
      <c r="T10" s="288" t="s">
        <v>877</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8884"/>
      <c r="F11" s="8884"/>
      <c r="G11" s="8884"/>
      <c r="H11" s="8883"/>
      <c r="I11" s="1284"/>
      <c r="J11" s="1284"/>
      <c r="K11" s="1284"/>
      <c r="L11" s="1285"/>
      <c r="M11" s="1286"/>
      <c r="N11" s="1286"/>
      <c r="O11" s="460"/>
      <c r="P11" s="281"/>
      <c r="Q11" s="299"/>
      <c r="R11" s="276"/>
      <c r="S11" s="1203"/>
      <c r="T11" s="296" t="s">
        <v>950</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8884"/>
      <c r="F12" s="8883"/>
      <c r="G12" s="1237"/>
      <c r="H12" s="1237"/>
      <c r="I12" s="1237"/>
      <c r="J12" s="1237"/>
      <c r="K12" s="1237"/>
      <c r="L12" s="1376"/>
      <c r="M12" s="1244"/>
      <c r="N12" s="1244"/>
      <c r="P12" s="1239"/>
      <c r="Q12" s="1240"/>
      <c r="R12" s="1239"/>
      <c r="S12" s="1245"/>
      <c r="T12" s="1248" t="s">
        <v>314</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8883"/>
      <c r="F13" s="1265"/>
      <c r="G13" s="1265"/>
      <c r="H13" s="1265"/>
      <c r="I13" s="1265"/>
      <c r="J13" s="1265"/>
      <c r="K13" s="1265"/>
      <c r="L13" s="1268"/>
      <c r="M13" s="1244"/>
      <c r="N13" s="1244"/>
      <c r="O13" s="442"/>
      <c r="P13" s="308"/>
      <c r="Q13" s="1266"/>
      <c r="R13" s="308"/>
      <c r="S13" s="1245"/>
      <c r="T13" s="1248" t="s">
        <v>315</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8888"/>
      <c r="AG15" s="8889" t="s">
        <v>63</v>
      </c>
      <c r="AH15" s="8888"/>
      <c r="AI15" s="8889" t="s">
        <v>63</v>
      </c>
    </row>
    <row r="16" spans="1:42" ht="14.25" hidden="1" customHeight="1">
      <c r="AC16" s="1281"/>
      <c r="AD16" s="1281"/>
      <c r="AE16" s="250" t="str">
        <f>AF15&amp;"-"&amp;AH15</f>
        <v>-</v>
      </c>
      <c r="AF16" s="8889"/>
      <c r="AG16" s="8889"/>
      <c r="AH16" s="8889"/>
      <c r="AI16" s="8889"/>
    </row>
    <row r="17" spans="1:42" ht="14.25" hidden="1" customHeight="1">
      <c r="AI17" s="249"/>
    </row>
    <row r="18" spans="1:42" s="1287" customFormat="1" ht="22.5" hidden="1" customHeight="1">
      <c r="L18" s="1365"/>
      <c r="M18" s="1283"/>
      <c r="N18" s="1283"/>
      <c r="O18" s="1288" t="s">
        <v>880</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881</v>
      </c>
      <c r="P20" s="1283"/>
      <c r="Q20" s="1361"/>
      <c r="R20" s="1361"/>
      <c r="S20" s="646"/>
      <c r="T20" s="1065" t="s">
        <v>882</v>
      </c>
      <c r="Z20" s="104" t="s">
        <v>883</v>
      </c>
      <c r="AB20" s="104" t="s">
        <v>884</v>
      </c>
      <c r="AC20" s="1065" t="s">
        <v>882</v>
      </c>
      <c r="AG20" s="104" t="s">
        <v>885</v>
      </c>
      <c r="AI20" s="104" t="s">
        <v>884</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88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8867"/>
      <c r="U24" s="8867"/>
      <c r="V24" s="8867"/>
      <c r="W24" s="8867"/>
      <c r="X24" s="8867"/>
      <c r="Y24" s="8867"/>
      <c r="Z24" s="8867"/>
      <c r="AA24" s="8867"/>
      <c r="AB24" s="8867"/>
      <c r="AC24" s="8867"/>
      <c r="AD24" s="8867"/>
      <c r="AE24" s="8867"/>
      <c r="AF24" s="8867"/>
      <c r="AG24" s="8867"/>
      <c r="AH24" s="8867"/>
      <c r="AI24" s="1157"/>
    </row>
    <row r="25" spans="1:42" ht="14.25" customHeight="1">
      <c r="Q25" s="300"/>
      <c r="R25" s="300"/>
      <c r="S25" s="8814" t="str">
        <f>IF(org=0,"Не определено",org)</f>
        <v>ГУП СК "Ставрополькрайводоканал"</v>
      </c>
      <c r="T25" s="8814"/>
      <c r="U25" s="8814"/>
      <c r="V25" s="8814"/>
      <c r="W25" s="8814"/>
      <c r="X25" s="8814"/>
      <c r="Y25" s="8814"/>
      <c r="Z25" s="8814"/>
      <c r="AA25" s="8814"/>
      <c r="AB25" s="8814"/>
      <c r="AC25" s="8814"/>
      <c r="AD25" s="8814"/>
      <c r="AE25" s="8814"/>
      <c r="AF25" s="8814"/>
      <c r="AG25" s="8814"/>
      <c r="AH25" s="8814"/>
      <c r="AI25" s="1157"/>
    </row>
    <row r="26" spans="1:42" ht="14.25" hidden="1"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hidden="1" customHeight="1">
      <c r="A27" s="1289"/>
      <c r="B27" s="1289"/>
      <c r="C27" s="1289"/>
      <c r="D27" s="1289"/>
      <c r="E27" s="1289"/>
      <c r="F27" s="1289"/>
      <c r="G27" s="1289"/>
      <c r="H27" s="1289"/>
      <c r="I27" s="1289"/>
      <c r="J27" s="1289"/>
      <c r="K27" s="1289"/>
      <c r="L27" s="1290"/>
      <c r="M27" s="1289"/>
      <c r="N27" s="1289"/>
      <c r="O27" s="1289"/>
      <c r="S27" s="8875" t="s">
        <v>38</v>
      </c>
      <c r="T27" s="8875"/>
      <c r="U27" s="1293"/>
      <c r="V27" s="8876" t="str">
        <f>IF(TITLE_NAME_OR_PR_CHANGE="",IF(TITLE_NAME_OR_PR="","",TITLE_NAME_OR_PR),TITLE_NAME_OR_PR_CHANGE)</f>
        <v/>
      </c>
      <c r="W27" s="8876"/>
      <c r="X27" s="8876"/>
      <c r="Y27" s="8876"/>
      <c r="Z27" s="8876"/>
      <c r="AA27" s="8876"/>
      <c r="AB27" s="248"/>
      <c r="AC27" s="8876" t="str">
        <f>IF(TITLE_NAME_OR_PR_CHANGE="",IF(TITLE_NAME_OR_PR="","",TITLE_NAME_OR_PR),TITLE_NAME_OR_PR_CHANGE)</f>
        <v/>
      </c>
      <c r="AD27" s="8876"/>
      <c r="AE27" s="8876"/>
      <c r="AF27" s="8876"/>
      <c r="AG27" s="8876"/>
      <c r="AH27" s="8876"/>
      <c r="AI27" s="248"/>
      <c r="AJ27" s="248"/>
      <c r="AK27" s="196"/>
      <c r="AL27" s="292"/>
      <c r="AM27" s="292"/>
      <c r="AN27" s="292"/>
      <c r="AO27" s="292"/>
      <c r="AP27" s="292"/>
    </row>
    <row r="28" spans="1:42" s="1771" customFormat="1" ht="18.75" hidden="1" customHeight="1">
      <c r="A28" s="1289"/>
      <c r="B28" s="1289"/>
      <c r="C28" s="1289"/>
      <c r="D28" s="1289"/>
      <c r="E28" s="1289"/>
      <c r="F28" s="1289"/>
      <c r="G28" s="1289"/>
      <c r="H28" s="1289"/>
      <c r="I28" s="1289"/>
      <c r="J28" s="1289"/>
      <c r="K28" s="1289"/>
      <c r="L28" s="1290"/>
      <c r="M28" s="1289"/>
      <c r="N28" s="1289"/>
      <c r="O28" s="1289"/>
      <c r="S28" s="8875" t="s">
        <v>886</v>
      </c>
      <c r="T28" s="8875"/>
      <c r="U28" s="1293"/>
      <c r="V28" s="8885">
        <f>IF(TITLE_DATE_PR_CHANGE="",IF(TITLE_DATE_PR="","",TITLE_DATE_PR),TITLE_DATE_PR_CHANGE)</f>
        <v>45281.411851851852</v>
      </c>
      <c r="W28" s="8885"/>
      <c r="X28" s="8885"/>
      <c r="Y28" s="8885"/>
      <c r="Z28" s="8885"/>
      <c r="AA28" s="8885"/>
      <c r="AB28" s="248"/>
      <c r="AC28" s="8885">
        <f>IF(TITLE_DATE_PR_CHANGE="",IF(TITLE_DATE_PR="","",TITLE_DATE_PR),TITLE_DATE_PR_CHANGE)</f>
        <v>45281.411851851852</v>
      </c>
      <c r="AD28" s="8885"/>
      <c r="AE28" s="8885"/>
      <c r="AF28" s="8885"/>
      <c r="AG28" s="8885"/>
      <c r="AH28" s="8885"/>
      <c r="AI28" s="248"/>
      <c r="AJ28" s="248"/>
      <c r="AK28" s="196"/>
      <c r="AL28" s="292"/>
      <c r="AM28" s="292"/>
      <c r="AN28" s="292"/>
      <c r="AO28" s="292"/>
      <c r="AP28" s="292"/>
    </row>
    <row r="29" spans="1:42" s="1771" customFormat="1" ht="18.75" hidden="1" customHeight="1">
      <c r="A29" s="1289"/>
      <c r="B29" s="1289"/>
      <c r="C29" s="1289"/>
      <c r="D29" s="1289"/>
      <c r="E29" s="1289"/>
      <c r="F29" s="1289"/>
      <c r="G29" s="1289"/>
      <c r="H29" s="1289"/>
      <c r="I29" s="1289"/>
      <c r="J29" s="1289"/>
      <c r="K29" s="1289"/>
      <c r="L29" s="1290"/>
      <c r="M29" s="1289"/>
      <c r="N29" s="1289"/>
      <c r="O29" s="1289"/>
      <c r="S29" s="8875" t="s">
        <v>887</v>
      </c>
      <c r="T29" s="8875"/>
      <c r="U29" s="1293"/>
      <c r="V29" s="8876" t="str">
        <f>IF(TITLE_NUMBER_PR_CHANGE="",IF(TITLE_NUMBER_PR="","",TITLE_NUMBER_PR),TITLE_NUMBER_PR_CHANGE)</f>
        <v>06-11/11398</v>
      </c>
      <c r="W29" s="8876"/>
      <c r="X29" s="8876"/>
      <c r="Y29" s="8876"/>
      <c r="Z29" s="8876"/>
      <c r="AA29" s="8876"/>
      <c r="AB29" s="248"/>
      <c r="AC29" s="8876" t="str">
        <f>IF(TITLE_NUMBER_PR_CHANGE="",IF(TITLE_NUMBER_PR="","",TITLE_NUMBER_PR),TITLE_NUMBER_PR_CHANGE)</f>
        <v>06-11/11398</v>
      </c>
      <c r="AD29" s="8876"/>
      <c r="AE29" s="8876"/>
      <c r="AF29" s="8876"/>
      <c r="AG29" s="8876"/>
      <c r="AH29" s="8876"/>
      <c r="AI29" s="248"/>
      <c r="AJ29" s="248"/>
      <c r="AK29" s="196"/>
      <c r="AL29" s="292"/>
      <c r="AM29" s="292"/>
      <c r="AN29" s="292"/>
      <c r="AO29" s="292"/>
      <c r="AP29" s="292"/>
    </row>
    <row r="30" spans="1:42" s="1771" customFormat="1" ht="18.75" hidden="1" customHeight="1">
      <c r="A30" s="1289"/>
      <c r="B30" s="1289"/>
      <c r="C30" s="1289"/>
      <c r="D30" s="1289"/>
      <c r="E30" s="1289"/>
      <c r="F30" s="1289"/>
      <c r="G30" s="1289"/>
      <c r="H30" s="1289"/>
      <c r="I30" s="1289"/>
      <c r="J30" s="1289"/>
      <c r="K30" s="1289"/>
      <c r="L30" s="1290"/>
      <c r="M30" s="1289"/>
      <c r="N30" s="1289"/>
      <c r="O30" s="1289"/>
      <c r="S30" s="8875" t="s">
        <v>39</v>
      </c>
      <c r="T30" s="8875"/>
      <c r="U30" s="1293"/>
      <c r="V30" s="8876" t="str">
        <f>IF(TITLE_IST_PUB_CHANGE="",IF(TITLE_IST_PUB="","",TITLE_IST_PUB),TITLE_IST_PUB_CHANGE)</f>
        <v/>
      </c>
      <c r="W30" s="8876"/>
      <c r="X30" s="8876"/>
      <c r="Y30" s="8876"/>
      <c r="Z30" s="8876"/>
      <c r="AA30" s="8876"/>
      <c r="AB30" s="248"/>
      <c r="AC30" s="8876" t="str">
        <f>IF(TITLE_IST_PUB_CHANGE="",IF(TITLE_IST_PUB="","",TITLE_IST_PUB),TITLE_IST_PUB_CHANGE)</f>
        <v/>
      </c>
      <c r="AD30" s="8876"/>
      <c r="AE30" s="8876"/>
      <c r="AF30" s="8876"/>
      <c r="AG30" s="8876"/>
      <c r="AH30" s="8876"/>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8875" t="s">
        <v>888</v>
      </c>
      <c r="T32" s="8875"/>
      <c r="U32" s="1293"/>
      <c r="V32" s="8885">
        <f>IF(TITLE_DATE_PR_CHANGE="",IF(TITLE_DATE_PR="","",TITLE_DATE_PR),TITLE_DATE_PR_CHANGE)</f>
        <v>45281.411851851852</v>
      </c>
      <c r="W32" s="8885"/>
      <c r="X32" s="8885"/>
      <c r="Y32" s="8885"/>
      <c r="Z32" s="8885"/>
      <c r="AA32" s="8885"/>
      <c r="AB32" s="248"/>
      <c r="AC32" s="8885">
        <f>IF(TITLE_DATE_PR_CHANGE="",IF(TITLE_DATE_PR="","",TITLE_DATE_PR),TITLE_DATE_PR_CHANGE)</f>
        <v>45281.411851851852</v>
      </c>
      <c r="AD32" s="8885"/>
      <c r="AE32" s="8885"/>
      <c r="AF32" s="8885"/>
      <c r="AG32" s="8885"/>
      <c r="AH32" s="8885"/>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8875" t="s">
        <v>889</v>
      </c>
      <c r="T33" s="8875"/>
      <c r="U33" s="1293"/>
      <c r="V33" s="8876" t="str">
        <f>IF(TITLE_NUMBER_PR_CHANGE="",IF(TITLE_NUMBER_PR="","",TITLE_NUMBER_PR),TITLE_NUMBER_PR_CHANGE)</f>
        <v>06-11/11398</v>
      </c>
      <c r="W33" s="8876"/>
      <c r="X33" s="8876"/>
      <c r="Y33" s="8876"/>
      <c r="Z33" s="8876"/>
      <c r="AA33" s="8876"/>
      <c r="AB33" s="248"/>
      <c r="AC33" s="8876" t="str">
        <f>IF(TITLE_NUMBER_PR_CHANGE="",IF(TITLE_NUMBER_PR="","",TITLE_NUMBER_PR),TITLE_NUMBER_PR_CHANGE)</f>
        <v>06-11/11398</v>
      </c>
      <c r="AD33" s="8876"/>
      <c r="AE33" s="8876"/>
      <c r="AF33" s="8876"/>
      <c r="AG33" s="8876"/>
      <c r="AH33" s="8876"/>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890</v>
      </c>
      <c r="AC34" s="248"/>
      <c r="AD34" s="248"/>
      <c r="AE34" s="248"/>
      <c r="AF34" s="248"/>
      <c r="AG34" s="248"/>
      <c r="AH34" s="248"/>
      <c r="AI34" s="194" t="s">
        <v>890</v>
      </c>
      <c r="AL34" s="292"/>
      <c r="AM34" s="292"/>
      <c r="AN34" s="292"/>
      <c r="AO34" s="292"/>
      <c r="AP34" s="292"/>
    </row>
    <row r="35" spans="1:42" ht="14.25" customHeight="1">
      <c r="Q35" s="300"/>
      <c r="R35" s="300"/>
      <c r="S35" s="1200"/>
      <c r="T35" s="286"/>
      <c r="U35" s="1158"/>
      <c r="V35" s="8877"/>
      <c r="W35" s="8877"/>
      <c r="X35" s="8877"/>
      <c r="Y35" s="8877"/>
      <c r="Z35" s="8877"/>
      <c r="AA35" s="8877"/>
      <c r="AB35" s="8877"/>
      <c r="AC35" s="8877"/>
      <c r="AD35" s="8877"/>
      <c r="AE35" s="8877"/>
      <c r="AF35" s="8877"/>
      <c r="AG35" s="8877"/>
      <c r="AH35" s="8877"/>
      <c r="AI35" s="8877"/>
    </row>
    <row r="36" spans="1:42" ht="14.25" customHeight="1">
      <c r="Q36" s="300"/>
      <c r="R36" s="300"/>
      <c r="S36" s="8753" t="s">
        <v>763</v>
      </c>
      <c r="T36" s="8753"/>
      <c r="U36" s="8753"/>
      <c r="V36" s="8753"/>
      <c r="W36" s="8753"/>
      <c r="X36" s="8753"/>
      <c r="Y36" s="8753"/>
      <c r="Z36" s="8753"/>
      <c r="AA36" s="8753"/>
      <c r="AB36" s="8753"/>
      <c r="AC36" s="8753"/>
      <c r="AD36" s="8753"/>
      <c r="AE36" s="8753"/>
      <c r="AF36" s="8753"/>
      <c r="AG36" s="8753"/>
      <c r="AH36" s="8753"/>
      <c r="AI36" s="8753"/>
      <c r="AJ36" s="8753"/>
      <c r="AK36" s="8753" t="s">
        <v>764</v>
      </c>
    </row>
    <row r="37" spans="1:42" ht="14.25" customHeight="1">
      <c r="Q37" s="300"/>
      <c r="R37" s="300"/>
      <c r="S37" s="8891" t="s">
        <v>84</v>
      </c>
      <c r="T37" s="8843" t="s">
        <v>891</v>
      </c>
      <c r="U37" s="215"/>
      <c r="V37" s="8892" t="s">
        <v>892</v>
      </c>
      <c r="W37" s="8893"/>
      <c r="X37" s="8893"/>
      <c r="Y37" s="8893"/>
      <c r="Z37" s="8893"/>
      <c r="AA37" s="8894"/>
      <c r="AB37" s="8895" t="s">
        <v>893</v>
      </c>
      <c r="AC37" s="8892" t="s">
        <v>892</v>
      </c>
      <c r="AD37" s="8893"/>
      <c r="AE37" s="8893"/>
      <c r="AF37" s="8893"/>
      <c r="AG37" s="8893"/>
      <c r="AH37" s="8894"/>
      <c r="AI37" s="8895" t="s">
        <v>894</v>
      </c>
      <c r="AJ37" s="8898" t="s">
        <v>895</v>
      </c>
      <c r="AK37" s="8753"/>
    </row>
    <row r="38" spans="1:42" ht="33.75" customHeight="1">
      <c r="Q38" s="300"/>
      <c r="R38" s="300"/>
      <c r="S38" s="8891"/>
      <c r="T38" s="8843"/>
      <c r="U38" s="942"/>
      <c r="V38" s="1370" t="s">
        <v>951</v>
      </c>
      <c r="W38" s="8724" t="s">
        <v>898</v>
      </c>
      <c r="X38" s="8723"/>
      <c r="Y38" s="8724" t="s">
        <v>899</v>
      </c>
      <c r="Z38" s="8729"/>
      <c r="AA38" s="8723"/>
      <c r="AB38" s="8896"/>
      <c r="AC38" s="1370" t="s">
        <v>951</v>
      </c>
      <c r="AD38" s="8724" t="s">
        <v>898</v>
      </c>
      <c r="AE38" s="8723"/>
      <c r="AF38" s="8724" t="s">
        <v>899</v>
      </c>
      <c r="AG38" s="8729"/>
      <c r="AH38" s="8723"/>
      <c r="AI38" s="8896"/>
      <c r="AJ38" s="8899"/>
      <c r="AK38" s="8753"/>
    </row>
    <row r="39" spans="1:42" ht="33.75" customHeight="1">
      <c r="A39" s="1291"/>
      <c r="B39" s="1291" t="s">
        <v>223</v>
      </c>
      <c r="C39" s="1291" t="s">
        <v>224</v>
      </c>
      <c r="D39" s="1291" t="s">
        <v>225</v>
      </c>
      <c r="E39" s="1285" t="s">
        <v>900</v>
      </c>
      <c r="F39" s="1285" t="s">
        <v>901</v>
      </c>
      <c r="G39" s="1285" t="s">
        <v>902</v>
      </c>
      <c r="H39" s="1285"/>
      <c r="I39" s="1285" t="s">
        <v>952</v>
      </c>
      <c r="J39" s="1285" t="s">
        <v>905</v>
      </c>
      <c r="K39" s="1285" t="s">
        <v>953</v>
      </c>
      <c r="L39" s="1285" t="s">
        <v>881</v>
      </c>
      <c r="Q39" s="300"/>
      <c r="R39" s="300"/>
      <c r="S39" s="8891"/>
      <c r="T39" s="8843"/>
      <c r="U39" s="216"/>
      <c r="V39" s="1370" t="s">
        <v>954</v>
      </c>
      <c r="W39" s="1133" t="s">
        <v>955</v>
      </c>
      <c r="X39" s="1133" t="s">
        <v>956</v>
      </c>
      <c r="Y39" s="1373" t="s">
        <v>909</v>
      </c>
      <c r="Z39" s="8851" t="s">
        <v>910</v>
      </c>
      <c r="AA39" s="8853"/>
      <c r="AB39" s="8897"/>
      <c r="AC39" s="1370" t="s">
        <v>954</v>
      </c>
      <c r="AD39" s="1133" t="s">
        <v>955</v>
      </c>
      <c r="AE39" s="1133" t="s">
        <v>956</v>
      </c>
      <c r="AF39" s="1373" t="s">
        <v>909</v>
      </c>
      <c r="AG39" s="8851" t="s">
        <v>910</v>
      </c>
      <c r="AH39" s="8853"/>
      <c r="AI39" s="8897"/>
      <c r="AJ39" s="8900"/>
      <c r="AK39" s="8753"/>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95</v>
      </c>
      <c r="T40" s="1177" t="s">
        <v>99</v>
      </c>
      <c r="U40" s="1159" t="str">
        <f ca="1">OFFSET(U40,0,-1)</f>
        <v>2</v>
      </c>
      <c r="V40" s="1369">
        <f ca="1">OFFSET(V40,0,-1)+1</f>
        <v>3</v>
      </c>
      <c r="W40" s="1369">
        <f ca="1">OFFSET(W40,0,-1)+1</f>
        <v>4</v>
      </c>
      <c r="X40" s="1369">
        <f ca="1">OFFSET(X40,0,-1)+1</f>
        <v>5</v>
      </c>
      <c r="Y40" s="1369">
        <f ca="1">OFFSET(Y40,0,-1)+1</f>
        <v>6</v>
      </c>
      <c r="Z40" s="8890">
        <f ca="1">OFFSET(Z40,0,-1)+1</f>
        <v>7</v>
      </c>
      <c r="AA40" s="8890"/>
      <c r="AB40" s="1369">
        <f ca="1">OFFSET(AB40,0,-2)+1</f>
        <v>8</v>
      </c>
      <c r="AC40" s="1369">
        <f ca="1">OFFSET(AC40,0,-1)+1</f>
        <v>9</v>
      </c>
      <c r="AD40" s="1369">
        <f ca="1">OFFSET(AD40,0,-1)+1</f>
        <v>10</v>
      </c>
      <c r="AE40" s="1369">
        <f ca="1">OFFSET(AE40,0,-1)+1</f>
        <v>11</v>
      </c>
      <c r="AF40" s="1369">
        <f ca="1">OFFSET(AF40,0,-1)+1</f>
        <v>12</v>
      </c>
      <c r="AG40" s="8890">
        <f ca="1">OFFSET(AG40,0,-1)+1</f>
        <v>13</v>
      </c>
      <c r="AH40" s="8890"/>
      <c r="AI40" s="1369">
        <f ca="1">OFFSET(AI40,0,-2)+1</f>
        <v>14</v>
      </c>
      <c r="AJ40" s="1159">
        <f ca="1">OFFSET(AJ40,0,-1)</f>
        <v>14</v>
      </c>
      <c r="AK40" s="1369">
        <f ca="1">OFFSET(AK40,0,-1)+1</f>
        <v>15</v>
      </c>
      <c r="AL40" s="435"/>
      <c r="AM40" s="435"/>
      <c r="AN40" s="435"/>
      <c r="AO40" s="435"/>
      <c r="AP40" s="435"/>
    </row>
    <row r="41" spans="1:42" ht="23.25" customHeight="1">
      <c r="A41" s="1284" t="s">
        <v>299</v>
      </c>
      <c r="B41" s="1284"/>
      <c r="C41" s="1284"/>
      <c r="D41" s="1284"/>
      <c r="E41" s="8883">
        <v>1</v>
      </c>
      <c r="F41" s="1284"/>
      <c r="G41" s="1284"/>
      <c r="H41" s="1284"/>
      <c r="I41" s="1284"/>
      <c r="J41" s="1284"/>
      <c r="K41" s="1284"/>
      <c r="L41" s="1285"/>
      <c r="M41" s="1286"/>
      <c r="N41" s="1286"/>
      <c r="O41" s="1286"/>
      <c r="P41" s="282"/>
      <c r="Q41" s="281"/>
      <c r="R41" s="276"/>
      <c r="S41" s="1375">
        <f>INDEX(PT_DIFFERENTIATION_NUM_NTAR,MATCH(A41,PT_DIFFERENTIATION_NTAR_ID,0))</f>
        <v>0</v>
      </c>
      <c r="T41" s="212" t="s">
        <v>211</v>
      </c>
      <c r="U41" s="214"/>
      <c r="V41" s="8869"/>
      <c r="W41" s="8870"/>
      <c r="X41" s="8870"/>
      <c r="Y41" s="8870"/>
      <c r="Z41" s="8870"/>
      <c r="AA41" s="8870"/>
      <c r="AB41" s="8871"/>
      <c r="AC41" s="8869" t="str">
        <f>INDEX(PT_DIFFERENTIATION_NTAR,MATCH(A41,PT_DIFFERENTIATION_NTAR_ID,0))</f>
        <v/>
      </c>
      <c r="AD41" s="8870"/>
      <c r="AE41" s="8870"/>
      <c r="AF41" s="8870"/>
      <c r="AG41" s="8870"/>
      <c r="AH41" s="8870"/>
      <c r="AI41" s="8870"/>
      <c r="AJ41" s="887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299</v>
      </c>
      <c r="B42" s="1284" t="s">
        <v>300</v>
      </c>
      <c r="C42" s="1284"/>
      <c r="D42" s="1284"/>
      <c r="E42" s="8884"/>
      <c r="F42" s="8883">
        <v>1</v>
      </c>
      <c r="G42" s="1284"/>
      <c r="H42" s="1284"/>
      <c r="I42" s="1284"/>
      <c r="J42" s="1284"/>
      <c r="K42" s="1284"/>
      <c r="L42" s="1285"/>
      <c r="M42" s="1286"/>
      <c r="N42" s="1286"/>
      <c r="O42" s="1286"/>
      <c r="P42" s="1371"/>
      <c r="Q42" s="273"/>
      <c r="R42" s="274"/>
      <c r="S42" s="1375" t="str">
        <f>INDEX(PT_DIFFERENTIATION_NUM_TER,MATCH(B42,PT_DIFFERENTIATION_TER_ID,0))</f>
        <v>.</v>
      </c>
      <c r="T42" s="224" t="s">
        <v>862</v>
      </c>
      <c r="U42" s="214"/>
      <c r="V42" s="8869"/>
      <c r="W42" s="8870"/>
      <c r="X42" s="8870"/>
      <c r="Y42" s="8870"/>
      <c r="Z42" s="8870"/>
      <c r="AA42" s="8870"/>
      <c r="AB42" s="8871"/>
      <c r="AC42" s="8869" t="str">
        <f>INDEX(PT_DIFFERENTIATION_TER,MATCH(B42,PT_DIFFERENTIATION_TER_ID,0))</f>
        <v/>
      </c>
      <c r="AD42" s="8870"/>
      <c r="AE42" s="8870"/>
      <c r="AF42" s="8870"/>
      <c r="AG42" s="8870"/>
      <c r="AH42" s="8870"/>
      <c r="AI42" s="8870"/>
      <c r="AJ42" s="8871"/>
      <c r="AK42" s="1182" t="s">
        <v>863</v>
      </c>
      <c r="AM42" s="424"/>
      <c r="AN42" s="424" t="str">
        <f t="shared" si="1"/>
        <v>Территория действия тарифа</v>
      </c>
      <c r="AO42" s="424"/>
      <c r="AP42" s="424"/>
    </row>
    <row r="43" spans="1:42" ht="23.25" customHeight="1">
      <c r="A43" s="1284" t="s">
        <v>299</v>
      </c>
      <c r="B43" s="1284" t="s">
        <v>300</v>
      </c>
      <c r="C43" s="1284" t="s">
        <v>301</v>
      </c>
      <c r="D43" s="1284"/>
      <c r="E43" s="8884"/>
      <c r="F43" s="8884"/>
      <c r="G43" s="8883">
        <v>1</v>
      </c>
      <c r="H43" s="1284"/>
      <c r="I43" s="1284"/>
      <c r="J43" s="1284"/>
      <c r="K43" s="1284"/>
      <c r="L43" s="1285"/>
      <c r="M43" s="1286"/>
      <c r="N43" s="1286"/>
      <c r="O43" s="1286"/>
      <c r="P43" s="275"/>
      <c r="Q43" s="273"/>
      <c r="R43" s="274"/>
      <c r="S43" s="1375" t="str">
        <f>INDEX(PT_DIFFERENTIATION_NUM_CS,MATCH(C43,PT_DIFFERENTIATION_CS_ID,0))</f>
        <v>..</v>
      </c>
      <c r="T43" s="225" t="s">
        <v>943</v>
      </c>
      <c r="U43" s="214"/>
      <c r="V43" s="8869"/>
      <c r="W43" s="8870"/>
      <c r="X43" s="8870"/>
      <c r="Y43" s="8870"/>
      <c r="Z43" s="8870"/>
      <c r="AA43" s="8870"/>
      <c r="AB43" s="8871"/>
      <c r="AC43" s="8869" t="str">
        <f>INDEX(PT_DIFFERENTIATION_CS,MATCH(C43,PT_DIFFERENTIATION_CS_ID,0))</f>
        <v/>
      </c>
      <c r="AD43" s="8870"/>
      <c r="AE43" s="8870"/>
      <c r="AF43" s="8870"/>
      <c r="AG43" s="8870"/>
      <c r="AH43" s="8870"/>
      <c r="AI43" s="8870"/>
      <c r="AJ43" s="8871"/>
      <c r="AK43" s="1182" t="s">
        <v>944</v>
      </c>
      <c r="AM43" s="424"/>
      <c r="AN43" s="424" t="str">
        <f t="shared" si="1"/>
        <v>Наименование централизованной системы холодного водоснабжения</v>
      </c>
      <c r="AO43" s="424"/>
      <c r="AP43" s="424"/>
    </row>
    <row r="44" spans="1:42" ht="23.25" customHeight="1">
      <c r="A44" s="1284" t="s">
        <v>299</v>
      </c>
      <c r="B44" s="1284" t="s">
        <v>300</v>
      </c>
      <c r="C44" s="1284" t="s">
        <v>301</v>
      </c>
      <c r="D44" s="1284" t="s">
        <v>958</v>
      </c>
      <c r="E44" s="8884"/>
      <c r="F44" s="8884"/>
      <c r="G44" s="8884"/>
      <c r="H44" s="8884"/>
      <c r="I44" s="8881" t="str">
        <f>S43&amp;".1"</f>
        <v>...1</v>
      </c>
      <c r="J44" s="1284"/>
      <c r="K44" s="1284"/>
      <c r="L44" s="1285"/>
      <c r="P44" s="8882">
        <v>1</v>
      </c>
      <c r="Q44" s="1368"/>
      <c r="R44" s="277"/>
      <c r="S44" s="1375" t="str">
        <f>$I44</f>
        <v>...1</v>
      </c>
      <c r="T44" s="200" t="s">
        <v>945</v>
      </c>
      <c r="U44" s="214"/>
      <c r="V44" s="8942"/>
      <c r="W44" s="8943"/>
      <c r="X44" s="8943"/>
      <c r="Y44" s="8943"/>
      <c r="Z44" s="8943"/>
      <c r="AA44" s="8943"/>
      <c r="AB44" s="8944"/>
      <c r="AC44" s="8945"/>
      <c r="AD44" s="8946"/>
      <c r="AE44" s="8946"/>
      <c r="AF44" s="8946"/>
      <c r="AG44" s="8946"/>
      <c r="AH44" s="8946"/>
      <c r="AI44" s="8946"/>
      <c r="AJ44" s="8947"/>
      <c r="AK44" s="1182" t="s">
        <v>946</v>
      </c>
      <c r="AM44" s="424"/>
      <c r="AN44" s="424" t="str">
        <f t="shared" si="1"/>
        <v>Наименование признака дифференциации</v>
      </c>
      <c r="AO44" s="424"/>
      <c r="AP44" s="424"/>
    </row>
    <row r="45" spans="1:42" ht="23.25" customHeight="1">
      <c r="A45" s="1284" t="s">
        <v>299</v>
      </c>
      <c r="B45" s="1284" t="s">
        <v>300</v>
      </c>
      <c r="C45" s="1284" t="s">
        <v>301</v>
      </c>
      <c r="D45" s="1284" t="s">
        <v>958</v>
      </c>
      <c r="E45" s="8884"/>
      <c r="F45" s="8884"/>
      <c r="G45" s="8884"/>
      <c r="H45" s="8884"/>
      <c r="I45" s="8904"/>
      <c r="J45" s="8881" t="str">
        <f>I44&amp;".1"</f>
        <v>...1.1</v>
      </c>
      <c r="K45" s="1284"/>
      <c r="L45" s="1285" t="s">
        <v>871</v>
      </c>
      <c r="P45" s="8882"/>
      <c r="Q45" s="8882">
        <v>1</v>
      </c>
      <c r="R45" s="278"/>
      <c r="S45" s="1375" t="str">
        <f>$J45</f>
        <v>...1.1</v>
      </c>
      <c r="T45" s="201" t="s">
        <v>872</v>
      </c>
      <c r="U45" s="214"/>
      <c r="V45" s="8872"/>
      <c r="W45" s="8873"/>
      <c r="X45" s="8873"/>
      <c r="Y45" s="8873"/>
      <c r="Z45" s="8873"/>
      <c r="AA45" s="8873"/>
      <c r="AB45" s="8874"/>
      <c r="AC45" s="8872"/>
      <c r="AD45" s="8873"/>
      <c r="AE45" s="8873"/>
      <c r="AF45" s="8873"/>
      <c r="AG45" s="8873"/>
      <c r="AH45" s="8873"/>
      <c r="AI45" s="8873"/>
      <c r="AJ45" s="8874"/>
      <c r="AK45" s="1231" t="s">
        <v>947</v>
      </c>
      <c r="AM45" s="424"/>
      <c r="AN45" s="424" t="str">
        <f t="shared" si="1"/>
        <v>Группа потребителей</v>
      </c>
      <c r="AO45" s="424"/>
      <c r="AP45" s="424"/>
    </row>
    <row r="46" spans="1:42" ht="23.25" customHeight="1">
      <c r="A46" s="1284" t="s">
        <v>299</v>
      </c>
      <c r="B46" s="1284" t="s">
        <v>300</v>
      </c>
      <c r="C46" s="1284" t="s">
        <v>301</v>
      </c>
      <c r="D46" s="1284" t="s">
        <v>958</v>
      </c>
      <c r="E46" s="8884"/>
      <c r="F46" s="8884"/>
      <c r="G46" s="8884"/>
      <c r="H46" s="8884"/>
      <c r="I46" s="8904"/>
      <c r="J46" s="8904"/>
      <c r="K46" s="8881" t="str">
        <f>J45&amp;".1"</f>
        <v>...1.1.1</v>
      </c>
      <c r="L46" s="1285"/>
      <c r="P46" s="8882"/>
      <c r="Q46" s="8882"/>
      <c r="R46" s="278">
        <v>1</v>
      </c>
      <c r="S46" s="1375" t="str">
        <f>$K46</f>
        <v>...1.1.1</v>
      </c>
      <c r="T46" s="1357"/>
      <c r="U46" s="214"/>
      <c r="V46" s="666"/>
      <c r="W46" s="666"/>
      <c r="X46" s="1181"/>
      <c r="Y46" s="8886"/>
      <c r="Z46" s="8734" t="s">
        <v>63</v>
      </c>
      <c r="AA46" s="8886"/>
      <c r="AB46" s="8734" t="s">
        <v>63</v>
      </c>
      <c r="AC46" s="666"/>
      <c r="AD46" s="666"/>
      <c r="AE46" s="1181"/>
      <c r="AF46" s="8886"/>
      <c r="AG46" s="8734" t="s">
        <v>63</v>
      </c>
      <c r="AH46" s="8905"/>
      <c r="AI46" s="8734" t="s">
        <v>63</v>
      </c>
      <c r="AJ46" s="1358"/>
      <c r="AK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299</v>
      </c>
      <c r="B47" s="1284" t="s">
        <v>300</v>
      </c>
      <c r="C47" s="1284" t="s">
        <v>301</v>
      </c>
      <c r="D47" s="1284" t="s">
        <v>958</v>
      </c>
      <c r="E47" s="8884"/>
      <c r="F47" s="8884"/>
      <c r="G47" s="8884"/>
      <c r="H47" s="8884"/>
      <c r="I47" s="8904"/>
      <c r="J47" s="8904"/>
      <c r="K47" s="8881"/>
      <c r="L47" s="1285"/>
      <c r="P47" s="8882"/>
      <c r="Q47" s="8882"/>
      <c r="R47" s="278"/>
      <c r="S47" s="1374"/>
      <c r="T47" s="214"/>
      <c r="U47" s="214"/>
      <c r="V47" s="246"/>
      <c r="W47" s="246"/>
      <c r="X47" s="250" t="str">
        <f>Y46&amp;"-"&amp;AA46</f>
        <v>-</v>
      </c>
      <c r="Y47" s="8887"/>
      <c r="Z47" s="8734"/>
      <c r="AA47" s="8887"/>
      <c r="AB47" s="8734"/>
      <c r="AC47" s="246"/>
      <c r="AD47" s="246"/>
      <c r="AE47" s="250" t="str">
        <f>AF46&amp;"-"&amp;AH46</f>
        <v>-</v>
      </c>
      <c r="AF47" s="8887"/>
      <c r="AG47" s="8734"/>
      <c r="AH47" s="8906"/>
      <c r="AI47" s="8734"/>
      <c r="AJ47" s="1359"/>
      <c r="AK47" s="8941"/>
      <c r="AM47" s="424"/>
      <c r="AN47" s="424" t="str">
        <f t="shared" si="1"/>
        <v/>
      </c>
      <c r="AO47" s="424"/>
      <c r="AP47" s="424"/>
    </row>
    <row r="48" spans="1:42" ht="21" customHeight="1">
      <c r="A48" s="1284" t="s">
        <v>299</v>
      </c>
      <c r="B48" s="1284" t="s">
        <v>300</v>
      </c>
      <c r="C48" s="1284" t="s">
        <v>301</v>
      </c>
      <c r="D48" s="1284" t="s">
        <v>958</v>
      </c>
      <c r="E48" s="8884"/>
      <c r="F48" s="8884"/>
      <c r="G48" s="8884"/>
      <c r="H48" s="8884"/>
      <c r="I48" s="8904"/>
      <c r="J48" s="8881"/>
      <c r="K48" s="1284"/>
      <c r="L48" s="1285"/>
      <c r="P48" s="8882"/>
      <c r="Q48" s="8882"/>
      <c r="R48" s="277"/>
      <c r="S48" s="1203"/>
      <c r="T48" s="202" t="s">
        <v>948</v>
      </c>
      <c r="U48" s="291"/>
      <c r="V48" s="291"/>
      <c r="W48" s="291"/>
      <c r="X48" s="291"/>
      <c r="Y48" s="291"/>
      <c r="Z48" s="291"/>
      <c r="AA48" s="291"/>
      <c r="AB48" s="291"/>
      <c r="AC48" s="291"/>
      <c r="AD48" s="291"/>
      <c r="AE48" s="291"/>
      <c r="AF48" s="291"/>
      <c r="AG48" s="291"/>
      <c r="AH48" s="291"/>
      <c r="AI48" s="291"/>
      <c r="AJ48" s="291"/>
      <c r="AK48" s="1182" t="s">
        <v>949</v>
      </c>
      <c r="AM48" s="424"/>
      <c r="AN48" s="424" t="str">
        <f t="shared" si="1"/>
        <v>Добавить значение признака дифференциации</v>
      </c>
      <c r="AO48" s="424"/>
      <c r="AP48" s="424"/>
    </row>
    <row r="49" spans="1:42" ht="21" customHeight="1">
      <c r="A49" s="1284" t="s">
        <v>299</v>
      </c>
      <c r="B49" s="1284" t="s">
        <v>300</v>
      </c>
      <c r="C49" s="1284" t="s">
        <v>301</v>
      </c>
      <c r="D49" s="1284" t="s">
        <v>958</v>
      </c>
      <c r="E49" s="8884"/>
      <c r="F49" s="8884"/>
      <c r="G49" s="8884"/>
      <c r="H49" s="8884"/>
      <c r="I49" s="8881"/>
      <c r="J49" s="1284"/>
      <c r="K49" s="1284"/>
      <c r="L49" s="1285"/>
      <c r="P49" s="8882"/>
      <c r="Q49" s="1368"/>
      <c r="R49" s="277"/>
      <c r="S49" s="1203"/>
      <c r="T49" s="288" t="s">
        <v>877</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299</v>
      </c>
      <c r="B50" s="1284" t="s">
        <v>300</v>
      </c>
      <c r="C50" s="1284" t="s">
        <v>301</v>
      </c>
      <c r="D50" s="1284" t="s">
        <v>958</v>
      </c>
      <c r="E50" s="8884"/>
      <c r="F50" s="8884"/>
      <c r="G50" s="8884"/>
      <c r="H50" s="8883"/>
      <c r="I50" s="1284"/>
      <c r="J50" s="1284"/>
      <c r="K50" s="1284"/>
      <c r="L50" s="1285"/>
      <c r="M50" s="1286"/>
      <c r="N50" s="1286"/>
      <c r="O50" s="460"/>
      <c r="P50" s="281"/>
      <c r="Q50" s="299"/>
      <c r="R50" s="276"/>
      <c r="S50" s="1203"/>
      <c r="T50" s="296" t="s">
        <v>950</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299</v>
      </c>
      <c r="B51" s="1265" t="s">
        <v>300</v>
      </c>
      <c r="C51" s="1237"/>
      <c r="D51" s="1237"/>
      <c r="E51" s="8884"/>
      <c r="F51" s="8883"/>
      <c r="G51" s="1237"/>
      <c r="H51" s="1237"/>
      <c r="I51" s="1237"/>
      <c r="J51" s="1237"/>
      <c r="K51" s="1237"/>
      <c r="L51" s="1376"/>
      <c r="M51" s="1244"/>
      <c r="N51" s="1244"/>
      <c r="P51" s="1239"/>
      <c r="Q51" s="1240"/>
      <c r="R51" s="1239"/>
      <c r="S51" s="1245"/>
      <c r="T51" s="1248" t="s">
        <v>314</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299</v>
      </c>
      <c r="B52" s="1265"/>
      <c r="C52" s="1265"/>
      <c r="D52" s="1265"/>
      <c r="E52" s="8883"/>
      <c r="F52" s="1265"/>
      <c r="G52" s="1265"/>
      <c r="H52" s="1265"/>
      <c r="I52" s="1265"/>
      <c r="J52" s="1265"/>
      <c r="K52" s="1265"/>
      <c r="L52" s="1268"/>
      <c r="M52" s="1244"/>
      <c r="N52" s="1244"/>
      <c r="O52" s="442"/>
      <c r="P52" s="308"/>
      <c r="Q52" s="1266"/>
      <c r="R52" s="308"/>
      <c r="S52" s="1245"/>
      <c r="T52" s="1248" t="s">
        <v>315</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706</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8903"/>
      <c r="U55" s="8903"/>
      <c r="V55" s="8903"/>
      <c r="W55" s="8903"/>
      <c r="X55" s="8903"/>
      <c r="Y55" s="8903"/>
      <c r="Z55" s="8903"/>
      <c r="AA55" s="8903"/>
      <c r="AB55" s="8903"/>
      <c r="AC55" s="8903"/>
      <c r="AD55" s="8903"/>
      <c r="AE55" s="8903"/>
      <c r="AF55" s="8903"/>
      <c r="AG55" s="8903"/>
      <c r="AH55" s="8903"/>
      <c r="AI55" s="8903"/>
      <c r="AJ55" s="8903"/>
      <c r="AK55" s="8903"/>
    </row>
    <row r="56" spans="1:42" ht="14.25" customHeight="1">
      <c r="O56" s="460"/>
    </row>
    <row r="57" spans="1:42" ht="14.25" customHeight="1">
      <c r="O57" s="460"/>
      <c r="S57" s="1169"/>
      <c r="T57" s="8903"/>
      <c r="U57" s="8903"/>
      <c r="V57" s="8903"/>
      <c r="W57" s="8903"/>
      <c r="X57" s="8903"/>
      <c r="Y57" s="8903"/>
      <c r="Z57" s="8903"/>
      <c r="AA57" s="8903"/>
      <c r="AB57" s="8903"/>
      <c r="AC57" s="8903"/>
      <c r="AD57" s="8903"/>
      <c r="AE57" s="8903"/>
      <c r="AF57" s="8903"/>
      <c r="AG57" s="8903"/>
      <c r="AH57" s="8903"/>
      <c r="AI57" s="8903"/>
      <c r="AJ57" s="8903"/>
      <c r="AK57" s="8903"/>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8883">
        <v>1</v>
      </c>
      <c r="F2" s="1284"/>
      <c r="G2" s="1284"/>
      <c r="H2" s="1284"/>
      <c r="I2" s="1284"/>
      <c r="J2" s="1284"/>
      <c r="K2" s="1284"/>
      <c r="L2" s="1285"/>
      <c r="M2" s="1286"/>
      <c r="N2" s="1286"/>
      <c r="O2" s="1286"/>
      <c r="P2" s="282"/>
      <c r="Q2" s="281"/>
      <c r="R2" s="276"/>
      <c r="S2" s="1375" t="e">
        <f>INDEX(PT_DIFFERENTIATION_NUM_NTAR,MATCH(A2,PT_DIFFERENTIATION_NTAR_ID,0))</f>
        <v>#N/A</v>
      </c>
      <c r="T2" s="212" t="s">
        <v>211</v>
      </c>
      <c r="U2" s="214"/>
      <c r="V2" s="8869"/>
      <c r="W2" s="8870"/>
      <c r="X2" s="8870"/>
      <c r="Y2" s="8870"/>
      <c r="Z2" s="8870"/>
      <c r="AA2" s="8870"/>
      <c r="AB2" s="8871"/>
      <c r="AC2" s="8869" t="e">
        <f>INDEX(PT_DIFFERENTIATION_NTAR,MATCH(A2,PT_DIFFERENTIATION_NTAR_ID,0))</f>
        <v>#N/A</v>
      </c>
      <c r="AD2" s="8870"/>
      <c r="AE2" s="8870"/>
      <c r="AF2" s="8870"/>
      <c r="AG2" s="8870"/>
      <c r="AH2" s="8870"/>
      <c r="AI2" s="8870"/>
      <c r="AJ2" s="887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8884"/>
      <c r="F3" s="8883">
        <v>1</v>
      </c>
      <c r="G3" s="1284"/>
      <c r="H3" s="1284"/>
      <c r="I3" s="1284"/>
      <c r="J3" s="1284"/>
      <c r="K3" s="1284"/>
      <c r="L3" s="1285"/>
      <c r="M3" s="1286"/>
      <c r="N3" s="1286"/>
      <c r="O3" s="1286"/>
      <c r="P3" s="1371"/>
      <c r="Q3" s="273"/>
      <c r="R3" s="274"/>
      <c r="S3" s="1375" t="e">
        <f>INDEX(PT_DIFFERENTIATION_NUM_TER,MATCH(B3,PT_DIFFERENTIATION_TER_ID,0))</f>
        <v>#N/A</v>
      </c>
      <c r="T3" s="224" t="s">
        <v>862</v>
      </c>
      <c r="U3" s="214"/>
      <c r="V3" s="8869"/>
      <c r="W3" s="8870"/>
      <c r="X3" s="8870"/>
      <c r="Y3" s="8870"/>
      <c r="Z3" s="8870"/>
      <c r="AA3" s="8870"/>
      <c r="AB3" s="8871"/>
      <c r="AC3" s="8869" t="e">
        <f>INDEX(PT_DIFFERENTIATION_TER,MATCH(B3,PT_DIFFERENTIATION_TER_ID,0))</f>
        <v>#N/A</v>
      </c>
      <c r="AD3" s="8870"/>
      <c r="AE3" s="8870"/>
      <c r="AF3" s="8870"/>
      <c r="AG3" s="8870"/>
      <c r="AH3" s="8870"/>
      <c r="AI3" s="8870"/>
      <c r="AJ3" s="8871"/>
      <c r="AK3" s="1182" t="s">
        <v>863</v>
      </c>
      <c r="AM3" s="424"/>
      <c r="AN3" s="424" t="str">
        <f t="shared" si="0"/>
        <v>Территория действия тарифа</v>
      </c>
      <c r="AO3" s="424"/>
      <c r="AP3" s="424"/>
    </row>
    <row r="4" spans="1:42" ht="23.25" hidden="1" customHeight="1">
      <c r="A4" s="1284"/>
      <c r="B4" s="1284"/>
      <c r="C4" s="1284"/>
      <c r="D4" s="1284"/>
      <c r="E4" s="8884"/>
      <c r="F4" s="8884"/>
      <c r="G4" s="8883">
        <v>1</v>
      </c>
      <c r="H4" s="1284"/>
      <c r="I4" s="1284"/>
      <c r="J4" s="1284"/>
      <c r="K4" s="1284"/>
      <c r="L4" s="1285"/>
      <c r="M4" s="1286"/>
      <c r="N4" s="1286"/>
      <c r="O4" s="1286"/>
      <c r="P4" s="275"/>
      <c r="Q4" s="273"/>
      <c r="R4" s="274"/>
      <c r="S4" s="1375" t="e">
        <f>INDEX(PT_DIFFERENTIATION_NUM_CS,MATCH(C4,PT_DIFFERENTIATION_CS_ID,0))</f>
        <v>#N/A</v>
      </c>
      <c r="T4" s="225" t="s">
        <v>943</v>
      </c>
      <c r="U4" s="214"/>
      <c r="V4" s="8869"/>
      <c r="W4" s="8870"/>
      <c r="X4" s="8870"/>
      <c r="Y4" s="8870"/>
      <c r="Z4" s="8870"/>
      <c r="AA4" s="8870"/>
      <c r="AB4" s="8871"/>
      <c r="AC4" s="8869" t="e">
        <f>INDEX(PT_DIFFERENTIATION_CS,MATCH(C4,PT_DIFFERENTIATION_CS_ID,0))</f>
        <v>#N/A</v>
      </c>
      <c r="AD4" s="8870"/>
      <c r="AE4" s="8870"/>
      <c r="AF4" s="8870"/>
      <c r="AG4" s="8870"/>
      <c r="AH4" s="8870"/>
      <c r="AI4" s="8870"/>
      <c r="AJ4" s="8871"/>
      <c r="AK4" s="1182" t="s">
        <v>944</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8884"/>
      <c r="F5" s="8884"/>
      <c r="G5" s="8884"/>
      <c r="H5" s="8884"/>
      <c r="I5" s="8881" t="e">
        <f>S4&amp;".1"</f>
        <v>#N/A</v>
      </c>
      <c r="J5" s="1284"/>
      <c r="K5" s="1284"/>
      <c r="L5" s="1285"/>
      <c r="P5" s="8882">
        <v>1</v>
      </c>
      <c r="Q5" s="1368"/>
      <c r="R5" s="277"/>
      <c r="S5" s="1375" t="e">
        <f>$I5</f>
        <v>#N/A</v>
      </c>
      <c r="T5" s="200" t="s">
        <v>945</v>
      </c>
      <c r="U5" s="214"/>
      <c r="V5" s="8942"/>
      <c r="W5" s="8943"/>
      <c r="X5" s="8943"/>
      <c r="Y5" s="8943"/>
      <c r="Z5" s="8943"/>
      <c r="AA5" s="8943"/>
      <c r="AB5" s="8944"/>
      <c r="AC5" s="8945"/>
      <c r="AD5" s="8946"/>
      <c r="AE5" s="8946"/>
      <c r="AF5" s="8946"/>
      <c r="AG5" s="8946"/>
      <c r="AH5" s="8946"/>
      <c r="AI5" s="8946"/>
      <c r="AJ5" s="8947"/>
      <c r="AK5" s="1182" t="s">
        <v>946</v>
      </c>
      <c r="AM5" s="424"/>
      <c r="AN5" s="424" t="str">
        <f t="shared" si="0"/>
        <v>Наименование признака дифференциации</v>
      </c>
      <c r="AO5" s="424"/>
      <c r="AP5" s="424"/>
    </row>
    <row r="6" spans="1:42" ht="23.25" hidden="1" customHeight="1">
      <c r="A6" s="1284"/>
      <c r="B6" s="1284"/>
      <c r="C6" s="1284"/>
      <c r="D6" s="1284"/>
      <c r="E6" s="8884"/>
      <c r="F6" s="8884"/>
      <c r="G6" s="8884"/>
      <c r="H6" s="8884"/>
      <c r="I6" s="8904"/>
      <c r="J6" s="8881" t="e">
        <f>I5&amp;".1"</f>
        <v>#N/A</v>
      </c>
      <c r="K6" s="1284"/>
      <c r="L6" s="1285" t="s">
        <v>871</v>
      </c>
      <c r="P6" s="8882"/>
      <c r="Q6" s="8882">
        <v>1</v>
      </c>
      <c r="R6" s="278"/>
      <c r="S6" s="1375" t="e">
        <f>$J6</f>
        <v>#N/A</v>
      </c>
      <c r="T6" s="201" t="s">
        <v>872</v>
      </c>
      <c r="U6" s="214"/>
      <c r="V6" s="8872"/>
      <c r="W6" s="8873"/>
      <c r="X6" s="8873"/>
      <c r="Y6" s="8873"/>
      <c r="Z6" s="8873"/>
      <c r="AA6" s="8873"/>
      <c r="AB6" s="8874"/>
      <c r="AC6" s="8872"/>
      <c r="AD6" s="8873"/>
      <c r="AE6" s="8873"/>
      <c r="AF6" s="8873"/>
      <c r="AG6" s="8873"/>
      <c r="AH6" s="8873"/>
      <c r="AI6" s="8873"/>
      <c r="AJ6" s="8874"/>
      <c r="AK6" s="1231" t="s">
        <v>947</v>
      </c>
      <c r="AM6" s="424"/>
      <c r="AN6" s="424" t="str">
        <f t="shared" si="0"/>
        <v>Группа потребителей</v>
      </c>
      <c r="AO6" s="424"/>
      <c r="AP6" s="424"/>
    </row>
    <row r="7" spans="1:42" ht="23.25" hidden="1" customHeight="1">
      <c r="A7" s="1284"/>
      <c r="B7" s="1284"/>
      <c r="C7" s="1284"/>
      <c r="D7" s="1284"/>
      <c r="E7" s="8884"/>
      <c r="F7" s="8884"/>
      <c r="G7" s="8884"/>
      <c r="H7" s="8884"/>
      <c r="I7" s="8904"/>
      <c r="J7" s="8904"/>
      <c r="K7" s="8881" t="e">
        <f>J6&amp;".1"</f>
        <v>#N/A</v>
      </c>
      <c r="L7" s="1285"/>
      <c r="P7" s="8882"/>
      <c r="Q7" s="8882"/>
      <c r="R7" s="278">
        <v>1</v>
      </c>
      <c r="S7" s="1375" t="e">
        <f>$K7</f>
        <v>#N/A</v>
      </c>
      <c r="T7" s="1357"/>
      <c r="U7" s="214"/>
      <c r="V7" s="666"/>
      <c r="W7" s="666"/>
      <c r="X7" s="1181"/>
      <c r="Y7" s="8886"/>
      <c r="Z7" s="8734" t="s">
        <v>63</v>
      </c>
      <c r="AA7" s="8886"/>
      <c r="AB7" s="8734" t="s">
        <v>63</v>
      </c>
      <c r="AC7" s="666"/>
      <c r="AD7" s="666"/>
      <c r="AE7" s="1181"/>
      <c r="AF7" s="8886"/>
      <c r="AG7" s="8734" t="s">
        <v>63</v>
      </c>
      <c r="AH7" s="8905"/>
      <c r="AI7" s="8734" t="s">
        <v>63</v>
      </c>
      <c r="AJ7" s="1358"/>
      <c r="AK7"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8884"/>
      <c r="F8" s="8884"/>
      <c r="G8" s="8884"/>
      <c r="H8" s="8884"/>
      <c r="I8" s="8904"/>
      <c r="J8" s="8904"/>
      <c r="K8" s="8881"/>
      <c r="L8" s="1285"/>
      <c r="P8" s="8882"/>
      <c r="Q8" s="8882"/>
      <c r="R8" s="278"/>
      <c r="S8" s="1374"/>
      <c r="T8" s="214"/>
      <c r="U8" s="214"/>
      <c r="V8" s="246"/>
      <c r="W8" s="246"/>
      <c r="X8" s="250" t="str">
        <f>Y7&amp;"-"&amp;AA7</f>
        <v>-</v>
      </c>
      <c r="Y8" s="8887"/>
      <c r="Z8" s="8734"/>
      <c r="AA8" s="8887"/>
      <c r="AB8" s="8734"/>
      <c r="AC8" s="246"/>
      <c r="AD8" s="246"/>
      <c r="AE8" s="250" t="str">
        <f>AF7&amp;"-"&amp;AH7</f>
        <v>-</v>
      </c>
      <c r="AF8" s="8887"/>
      <c r="AG8" s="8734"/>
      <c r="AH8" s="8906"/>
      <c r="AI8" s="8734"/>
      <c r="AJ8" s="1359"/>
      <c r="AK8" s="8941"/>
      <c r="AM8" s="424"/>
      <c r="AN8" s="424" t="str">
        <f t="shared" si="0"/>
        <v/>
      </c>
      <c r="AO8" s="424"/>
      <c r="AP8" s="424"/>
    </row>
    <row r="9" spans="1:42" ht="21" hidden="1" customHeight="1">
      <c r="A9" s="1284"/>
      <c r="B9" s="1284"/>
      <c r="C9" s="1284"/>
      <c r="D9" s="1284"/>
      <c r="E9" s="8884"/>
      <c r="F9" s="8884"/>
      <c r="G9" s="8884"/>
      <c r="H9" s="8884"/>
      <c r="I9" s="8904"/>
      <c r="J9" s="8881"/>
      <c r="K9" s="1284"/>
      <c r="L9" s="1285"/>
      <c r="P9" s="8882"/>
      <c r="Q9" s="8882"/>
      <c r="R9" s="277"/>
      <c r="S9" s="1203"/>
      <c r="T9" s="202" t="s">
        <v>948</v>
      </c>
      <c r="U9" s="291"/>
      <c r="V9" s="291"/>
      <c r="W9" s="291"/>
      <c r="X9" s="291"/>
      <c r="Y9" s="291"/>
      <c r="Z9" s="291"/>
      <c r="AA9" s="291"/>
      <c r="AB9" s="291"/>
      <c r="AC9" s="291"/>
      <c r="AD9" s="291"/>
      <c r="AE9" s="291"/>
      <c r="AF9" s="291"/>
      <c r="AG9" s="291"/>
      <c r="AH9" s="291"/>
      <c r="AI9" s="291"/>
      <c r="AJ9" s="291"/>
      <c r="AK9" s="1182" t="s">
        <v>949</v>
      </c>
      <c r="AM9" s="424"/>
      <c r="AN9" s="424" t="str">
        <f t="shared" si="0"/>
        <v>Добавить значение признака дифференциации</v>
      </c>
      <c r="AO9" s="424"/>
      <c r="AP9" s="424"/>
    </row>
    <row r="10" spans="1:42" ht="21" hidden="1" customHeight="1">
      <c r="A10" s="1284"/>
      <c r="B10" s="1284"/>
      <c r="C10" s="1284"/>
      <c r="D10" s="1284"/>
      <c r="E10" s="8884"/>
      <c r="F10" s="8884"/>
      <c r="G10" s="8884"/>
      <c r="H10" s="8884"/>
      <c r="I10" s="8881"/>
      <c r="J10" s="1284"/>
      <c r="K10" s="1284"/>
      <c r="L10" s="1285"/>
      <c r="P10" s="8882"/>
      <c r="Q10" s="1368"/>
      <c r="R10" s="277"/>
      <c r="S10" s="1203"/>
      <c r="T10" s="288" t="s">
        <v>877</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8884"/>
      <c r="F11" s="8884"/>
      <c r="G11" s="8884"/>
      <c r="H11" s="8883"/>
      <c r="I11" s="1284"/>
      <c r="J11" s="1284"/>
      <c r="K11" s="1284"/>
      <c r="L11" s="1285"/>
      <c r="M11" s="1286"/>
      <c r="N11" s="1286"/>
      <c r="O11" s="460"/>
      <c r="P11" s="281"/>
      <c r="Q11" s="299"/>
      <c r="R11" s="276"/>
      <c r="S11" s="1203"/>
      <c r="T11" s="296" t="s">
        <v>950</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8884"/>
      <c r="F12" s="8883"/>
      <c r="G12" s="1237"/>
      <c r="H12" s="1237"/>
      <c r="I12" s="1237"/>
      <c r="J12" s="1237"/>
      <c r="K12" s="1237"/>
      <c r="L12" s="1376"/>
      <c r="M12" s="1244"/>
      <c r="N12" s="1244"/>
      <c r="P12" s="1239"/>
      <c r="Q12" s="1240"/>
      <c r="R12" s="1239"/>
      <c r="S12" s="1245"/>
      <c r="T12" s="1248" t="s">
        <v>314</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8883"/>
      <c r="F13" s="1265"/>
      <c r="G13" s="1265"/>
      <c r="H13" s="1265"/>
      <c r="I13" s="1265"/>
      <c r="J13" s="1265"/>
      <c r="K13" s="1265"/>
      <c r="L13" s="1268"/>
      <c r="M13" s="1244"/>
      <c r="N13" s="1244"/>
      <c r="O13" s="442"/>
      <c r="P13" s="308"/>
      <c r="Q13" s="1266"/>
      <c r="R13" s="308"/>
      <c r="S13" s="1245"/>
      <c r="T13" s="1248" t="s">
        <v>315</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8888"/>
      <c r="AG15" s="8889" t="s">
        <v>63</v>
      </c>
      <c r="AH15" s="8888"/>
      <c r="AI15" s="8889" t="s">
        <v>63</v>
      </c>
    </row>
    <row r="16" spans="1:42" ht="14.25" hidden="1" customHeight="1">
      <c r="AC16" s="1281"/>
      <c r="AD16" s="1281"/>
      <c r="AE16" s="250" t="str">
        <f>AF15&amp;"-"&amp;AH15</f>
        <v>-</v>
      </c>
      <c r="AF16" s="8889"/>
      <c r="AG16" s="8889"/>
      <c r="AH16" s="8889"/>
      <c r="AI16" s="8889"/>
    </row>
    <row r="17" spans="1:42" ht="14.25" hidden="1" customHeight="1">
      <c r="AI17" s="249"/>
    </row>
    <row r="18" spans="1:42" s="1287" customFormat="1" ht="22.5" hidden="1" customHeight="1">
      <c r="L18" s="1365"/>
      <c r="M18" s="1283"/>
      <c r="N18" s="1283"/>
      <c r="O18" s="1288" t="s">
        <v>880</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881</v>
      </c>
      <c r="P20" s="1283"/>
      <c r="Q20" s="1361"/>
      <c r="R20" s="1361"/>
      <c r="S20" s="646"/>
      <c r="T20" s="1065" t="s">
        <v>882</v>
      </c>
      <c r="Z20" s="104" t="s">
        <v>883</v>
      </c>
      <c r="AB20" s="104" t="s">
        <v>884</v>
      </c>
      <c r="AC20" s="1065" t="s">
        <v>882</v>
      </c>
      <c r="AG20" s="104" t="s">
        <v>885</v>
      </c>
      <c r="AI20" s="104" t="s">
        <v>884</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88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8867"/>
      <c r="U24" s="8867"/>
      <c r="V24" s="8867"/>
      <c r="W24" s="8867"/>
      <c r="X24" s="8867"/>
      <c r="Y24" s="8867"/>
      <c r="Z24" s="8867"/>
      <c r="AA24" s="8867"/>
      <c r="AB24" s="8867"/>
      <c r="AC24" s="8867"/>
      <c r="AD24" s="8867"/>
      <c r="AE24" s="8867"/>
      <c r="AF24" s="8867"/>
      <c r="AG24" s="8867"/>
      <c r="AH24" s="8867"/>
      <c r="AI24" s="1157"/>
    </row>
    <row r="25" spans="1:42" ht="14.25" customHeight="1">
      <c r="Q25" s="300"/>
      <c r="R25" s="300"/>
      <c r="S25" s="8814" t="str">
        <f>IF(org=0,"Не определено",org)</f>
        <v>ГУП СК "Ставрополькрайводоканал"</v>
      </c>
      <c r="T25" s="8814"/>
      <c r="U25" s="8814"/>
      <c r="V25" s="8814"/>
      <c r="W25" s="8814"/>
      <c r="X25" s="8814"/>
      <c r="Y25" s="8814"/>
      <c r="Z25" s="8814"/>
      <c r="AA25" s="8814"/>
      <c r="AB25" s="8814"/>
      <c r="AC25" s="8814"/>
      <c r="AD25" s="8814"/>
      <c r="AE25" s="8814"/>
      <c r="AF25" s="8814"/>
      <c r="AG25" s="8814"/>
      <c r="AH25" s="8814"/>
      <c r="AI25" s="1157"/>
    </row>
    <row r="26" spans="1:42" ht="14.25" hidden="1"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hidden="1" customHeight="1">
      <c r="A27" s="1289"/>
      <c r="B27" s="1289"/>
      <c r="C27" s="1289"/>
      <c r="D27" s="1289"/>
      <c r="E27" s="1289"/>
      <c r="F27" s="1289"/>
      <c r="G27" s="1289"/>
      <c r="H27" s="1289"/>
      <c r="I27" s="1289"/>
      <c r="J27" s="1289"/>
      <c r="K27" s="1289"/>
      <c r="L27" s="1290"/>
      <c r="M27" s="1289"/>
      <c r="N27" s="1289"/>
      <c r="O27" s="1289"/>
      <c r="S27" s="8875" t="s">
        <v>38</v>
      </c>
      <c r="T27" s="8875"/>
      <c r="U27" s="1293"/>
      <c r="V27" s="8876" t="str">
        <f>IF(TITLE_NAME_OR_PR_CHANGE="",IF(TITLE_NAME_OR_PR="","",TITLE_NAME_OR_PR),TITLE_NAME_OR_PR_CHANGE)</f>
        <v/>
      </c>
      <c r="W27" s="8876"/>
      <c r="X27" s="8876"/>
      <c r="Y27" s="8876"/>
      <c r="Z27" s="8876"/>
      <c r="AA27" s="8876"/>
      <c r="AB27" s="248"/>
      <c r="AC27" s="8876" t="str">
        <f>IF(TITLE_NAME_OR_PR_CHANGE="",IF(TITLE_NAME_OR_PR="","",TITLE_NAME_OR_PR),TITLE_NAME_OR_PR_CHANGE)</f>
        <v/>
      </c>
      <c r="AD27" s="8876"/>
      <c r="AE27" s="8876"/>
      <c r="AF27" s="8876"/>
      <c r="AG27" s="8876"/>
      <c r="AH27" s="8876"/>
      <c r="AI27" s="248"/>
      <c r="AJ27" s="248"/>
      <c r="AK27" s="196"/>
      <c r="AL27" s="292"/>
      <c r="AM27" s="292"/>
      <c r="AN27" s="292"/>
      <c r="AO27" s="292"/>
      <c r="AP27" s="292"/>
    </row>
    <row r="28" spans="1:42" s="1771" customFormat="1" ht="18.75" hidden="1" customHeight="1">
      <c r="A28" s="1289"/>
      <c r="B28" s="1289"/>
      <c r="C28" s="1289"/>
      <c r="D28" s="1289"/>
      <c r="E28" s="1289"/>
      <c r="F28" s="1289"/>
      <c r="G28" s="1289"/>
      <c r="H28" s="1289"/>
      <c r="I28" s="1289"/>
      <c r="J28" s="1289"/>
      <c r="K28" s="1289"/>
      <c r="L28" s="1290"/>
      <c r="M28" s="1289"/>
      <c r="N28" s="1289"/>
      <c r="O28" s="1289"/>
      <c r="S28" s="8875" t="s">
        <v>886</v>
      </c>
      <c r="T28" s="8875"/>
      <c r="U28" s="1293"/>
      <c r="V28" s="8885">
        <f>IF(TITLE_DATE_PR_CHANGE="",IF(TITLE_DATE_PR="","",TITLE_DATE_PR),TITLE_DATE_PR_CHANGE)</f>
        <v>45281.411851851852</v>
      </c>
      <c r="W28" s="8885"/>
      <c r="X28" s="8885"/>
      <c r="Y28" s="8885"/>
      <c r="Z28" s="8885"/>
      <c r="AA28" s="8885"/>
      <c r="AB28" s="248"/>
      <c r="AC28" s="8885">
        <f>IF(TITLE_DATE_PR_CHANGE="",IF(TITLE_DATE_PR="","",TITLE_DATE_PR),TITLE_DATE_PR_CHANGE)</f>
        <v>45281.411851851852</v>
      </c>
      <c r="AD28" s="8885"/>
      <c r="AE28" s="8885"/>
      <c r="AF28" s="8885"/>
      <c r="AG28" s="8885"/>
      <c r="AH28" s="8885"/>
      <c r="AI28" s="248"/>
      <c r="AJ28" s="248"/>
      <c r="AK28" s="196"/>
      <c r="AL28" s="292"/>
      <c r="AM28" s="292"/>
      <c r="AN28" s="292"/>
      <c r="AO28" s="292"/>
      <c r="AP28" s="292"/>
    </row>
    <row r="29" spans="1:42" s="1771" customFormat="1" ht="18.75" hidden="1" customHeight="1">
      <c r="A29" s="1289"/>
      <c r="B29" s="1289"/>
      <c r="C29" s="1289"/>
      <c r="D29" s="1289"/>
      <c r="E29" s="1289"/>
      <c r="F29" s="1289"/>
      <c r="G29" s="1289"/>
      <c r="H29" s="1289"/>
      <c r="I29" s="1289"/>
      <c r="J29" s="1289"/>
      <c r="K29" s="1289"/>
      <c r="L29" s="1290"/>
      <c r="M29" s="1289"/>
      <c r="N29" s="1289"/>
      <c r="O29" s="1289"/>
      <c r="S29" s="8875" t="s">
        <v>887</v>
      </c>
      <c r="T29" s="8875"/>
      <c r="U29" s="1293"/>
      <c r="V29" s="8876" t="str">
        <f>IF(TITLE_NUMBER_PR_CHANGE="",IF(TITLE_NUMBER_PR="","",TITLE_NUMBER_PR),TITLE_NUMBER_PR_CHANGE)</f>
        <v>06-11/11398</v>
      </c>
      <c r="W29" s="8876"/>
      <c r="X29" s="8876"/>
      <c r="Y29" s="8876"/>
      <c r="Z29" s="8876"/>
      <c r="AA29" s="8876"/>
      <c r="AB29" s="248"/>
      <c r="AC29" s="8876" t="str">
        <f>IF(TITLE_NUMBER_PR_CHANGE="",IF(TITLE_NUMBER_PR="","",TITLE_NUMBER_PR),TITLE_NUMBER_PR_CHANGE)</f>
        <v>06-11/11398</v>
      </c>
      <c r="AD29" s="8876"/>
      <c r="AE29" s="8876"/>
      <c r="AF29" s="8876"/>
      <c r="AG29" s="8876"/>
      <c r="AH29" s="8876"/>
      <c r="AI29" s="248"/>
      <c r="AJ29" s="248"/>
      <c r="AK29" s="196"/>
      <c r="AL29" s="292"/>
      <c r="AM29" s="292"/>
      <c r="AN29" s="292"/>
      <c r="AO29" s="292"/>
      <c r="AP29" s="292"/>
    </row>
    <row r="30" spans="1:42" s="1771" customFormat="1" ht="18.75" hidden="1" customHeight="1">
      <c r="A30" s="1289"/>
      <c r="B30" s="1289"/>
      <c r="C30" s="1289"/>
      <c r="D30" s="1289"/>
      <c r="E30" s="1289"/>
      <c r="F30" s="1289"/>
      <c r="G30" s="1289"/>
      <c r="H30" s="1289"/>
      <c r="I30" s="1289"/>
      <c r="J30" s="1289"/>
      <c r="K30" s="1289"/>
      <c r="L30" s="1290"/>
      <c r="M30" s="1289"/>
      <c r="N30" s="1289"/>
      <c r="O30" s="1289"/>
      <c r="S30" s="8875" t="s">
        <v>39</v>
      </c>
      <c r="T30" s="8875"/>
      <c r="U30" s="1293"/>
      <c r="V30" s="8876" t="str">
        <f>IF(TITLE_IST_PUB_CHANGE="",IF(TITLE_IST_PUB="","",TITLE_IST_PUB),TITLE_IST_PUB_CHANGE)</f>
        <v/>
      </c>
      <c r="W30" s="8876"/>
      <c r="X30" s="8876"/>
      <c r="Y30" s="8876"/>
      <c r="Z30" s="8876"/>
      <c r="AA30" s="8876"/>
      <c r="AB30" s="248"/>
      <c r="AC30" s="8876" t="str">
        <f>IF(TITLE_IST_PUB_CHANGE="",IF(TITLE_IST_PUB="","",TITLE_IST_PUB),TITLE_IST_PUB_CHANGE)</f>
        <v/>
      </c>
      <c r="AD30" s="8876"/>
      <c r="AE30" s="8876"/>
      <c r="AF30" s="8876"/>
      <c r="AG30" s="8876"/>
      <c r="AH30" s="8876"/>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8875" t="s">
        <v>888</v>
      </c>
      <c r="T32" s="8875"/>
      <c r="U32" s="1293"/>
      <c r="V32" s="8885">
        <f>IF(TITLE_DATE_PR_CHANGE="",IF(TITLE_DATE_PR="","",TITLE_DATE_PR),TITLE_DATE_PR_CHANGE)</f>
        <v>45281.411851851852</v>
      </c>
      <c r="W32" s="8885"/>
      <c r="X32" s="8885"/>
      <c r="Y32" s="8885"/>
      <c r="Z32" s="8885"/>
      <c r="AA32" s="8885"/>
      <c r="AB32" s="248"/>
      <c r="AC32" s="8885">
        <f>IF(TITLE_DATE_PR_CHANGE="",IF(TITLE_DATE_PR="","",TITLE_DATE_PR),TITLE_DATE_PR_CHANGE)</f>
        <v>45281.411851851852</v>
      </c>
      <c r="AD32" s="8885"/>
      <c r="AE32" s="8885"/>
      <c r="AF32" s="8885"/>
      <c r="AG32" s="8885"/>
      <c r="AH32" s="8885"/>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8875" t="s">
        <v>889</v>
      </c>
      <c r="T33" s="8875"/>
      <c r="U33" s="1293"/>
      <c r="V33" s="8876" t="str">
        <f>IF(TITLE_NUMBER_PR_CHANGE="",IF(TITLE_NUMBER_PR="","",TITLE_NUMBER_PR),TITLE_NUMBER_PR_CHANGE)</f>
        <v>06-11/11398</v>
      </c>
      <c r="W33" s="8876"/>
      <c r="X33" s="8876"/>
      <c r="Y33" s="8876"/>
      <c r="Z33" s="8876"/>
      <c r="AA33" s="8876"/>
      <c r="AB33" s="248"/>
      <c r="AC33" s="8876" t="str">
        <f>IF(TITLE_NUMBER_PR_CHANGE="",IF(TITLE_NUMBER_PR="","",TITLE_NUMBER_PR),TITLE_NUMBER_PR_CHANGE)</f>
        <v>06-11/11398</v>
      </c>
      <c r="AD33" s="8876"/>
      <c r="AE33" s="8876"/>
      <c r="AF33" s="8876"/>
      <c r="AG33" s="8876"/>
      <c r="AH33" s="8876"/>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890</v>
      </c>
      <c r="AC34" s="248"/>
      <c r="AD34" s="248"/>
      <c r="AE34" s="248"/>
      <c r="AF34" s="248"/>
      <c r="AG34" s="248"/>
      <c r="AH34" s="248"/>
      <c r="AI34" s="194" t="s">
        <v>890</v>
      </c>
      <c r="AL34" s="292"/>
      <c r="AM34" s="292"/>
      <c r="AN34" s="292"/>
      <c r="AO34" s="292"/>
      <c r="AP34" s="292"/>
    </row>
    <row r="35" spans="1:42" ht="14.25" customHeight="1">
      <c r="Q35" s="300"/>
      <c r="R35" s="300"/>
      <c r="S35" s="1200"/>
      <c r="T35" s="286"/>
      <c r="U35" s="1158"/>
      <c r="V35" s="8877"/>
      <c r="W35" s="8877"/>
      <c r="X35" s="8877"/>
      <c r="Y35" s="8877"/>
      <c r="Z35" s="8877"/>
      <c r="AA35" s="8877"/>
      <c r="AB35" s="8877"/>
      <c r="AC35" s="8877"/>
      <c r="AD35" s="8877"/>
      <c r="AE35" s="8877"/>
      <c r="AF35" s="8877"/>
      <c r="AG35" s="8877"/>
      <c r="AH35" s="8877"/>
      <c r="AI35" s="8877"/>
    </row>
    <row r="36" spans="1:42" ht="14.25" customHeight="1">
      <c r="Q36" s="300"/>
      <c r="R36" s="300"/>
      <c r="S36" s="8753" t="s">
        <v>763</v>
      </c>
      <c r="T36" s="8753"/>
      <c r="U36" s="8753"/>
      <c r="V36" s="8753"/>
      <c r="W36" s="8753"/>
      <c r="X36" s="8753"/>
      <c r="Y36" s="8753"/>
      <c r="Z36" s="8753"/>
      <c r="AA36" s="8753"/>
      <c r="AB36" s="8753"/>
      <c r="AC36" s="8753"/>
      <c r="AD36" s="8753"/>
      <c r="AE36" s="8753"/>
      <c r="AF36" s="8753"/>
      <c r="AG36" s="8753"/>
      <c r="AH36" s="8753"/>
      <c r="AI36" s="8753"/>
      <c r="AJ36" s="8753"/>
      <c r="AK36" s="8753" t="s">
        <v>764</v>
      </c>
    </row>
    <row r="37" spans="1:42" ht="14.25" customHeight="1">
      <c r="Q37" s="300"/>
      <c r="R37" s="300"/>
      <c r="S37" s="8891" t="s">
        <v>84</v>
      </c>
      <c r="T37" s="8843" t="s">
        <v>891</v>
      </c>
      <c r="U37" s="215"/>
      <c r="V37" s="8892" t="s">
        <v>892</v>
      </c>
      <c r="W37" s="8893"/>
      <c r="X37" s="8893"/>
      <c r="Y37" s="8893"/>
      <c r="Z37" s="8893"/>
      <c r="AA37" s="8894"/>
      <c r="AB37" s="8895" t="s">
        <v>893</v>
      </c>
      <c r="AC37" s="8892" t="s">
        <v>892</v>
      </c>
      <c r="AD37" s="8893"/>
      <c r="AE37" s="8893"/>
      <c r="AF37" s="8893"/>
      <c r="AG37" s="8893"/>
      <c r="AH37" s="8894"/>
      <c r="AI37" s="8895" t="s">
        <v>894</v>
      </c>
      <c r="AJ37" s="8898" t="s">
        <v>895</v>
      </c>
      <c r="AK37" s="8753"/>
    </row>
    <row r="38" spans="1:42" ht="33.75" customHeight="1">
      <c r="Q38" s="300"/>
      <c r="R38" s="300"/>
      <c r="S38" s="8891"/>
      <c r="T38" s="8843"/>
      <c r="U38" s="942"/>
      <c r="V38" s="1370" t="s">
        <v>951</v>
      </c>
      <c r="W38" s="8724" t="s">
        <v>898</v>
      </c>
      <c r="X38" s="8723"/>
      <c r="Y38" s="8724" t="s">
        <v>899</v>
      </c>
      <c r="Z38" s="8729"/>
      <c r="AA38" s="8723"/>
      <c r="AB38" s="8896"/>
      <c r="AC38" s="1370" t="s">
        <v>951</v>
      </c>
      <c r="AD38" s="8724" t="s">
        <v>898</v>
      </c>
      <c r="AE38" s="8723"/>
      <c r="AF38" s="8724" t="s">
        <v>899</v>
      </c>
      <c r="AG38" s="8729"/>
      <c r="AH38" s="8723"/>
      <c r="AI38" s="8896"/>
      <c r="AJ38" s="8899"/>
      <c r="AK38" s="8753"/>
    </row>
    <row r="39" spans="1:42" ht="33.75" customHeight="1">
      <c r="A39" s="1291"/>
      <c r="B39" s="1291" t="s">
        <v>223</v>
      </c>
      <c r="C39" s="1291" t="s">
        <v>224</v>
      </c>
      <c r="D39" s="1291" t="s">
        <v>225</v>
      </c>
      <c r="E39" s="1285" t="s">
        <v>900</v>
      </c>
      <c r="F39" s="1285" t="s">
        <v>901</v>
      </c>
      <c r="G39" s="1285" t="s">
        <v>902</v>
      </c>
      <c r="H39" s="1285"/>
      <c r="I39" s="1285" t="s">
        <v>952</v>
      </c>
      <c r="J39" s="1285" t="s">
        <v>905</v>
      </c>
      <c r="K39" s="1285" t="s">
        <v>953</v>
      </c>
      <c r="L39" s="1285" t="s">
        <v>881</v>
      </c>
      <c r="Q39" s="300"/>
      <c r="R39" s="300"/>
      <c r="S39" s="8891"/>
      <c r="T39" s="8843"/>
      <c r="U39" s="216"/>
      <c r="V39" s="1370" t="s">
        <v>954</v>
      </c>
      <c r="W39" s="1133" t="s">
        <v>955</v>
      </c>
      <c r="X39" s="1133" t="s">
        <v>956</v>
      </c>
      <c r="Y39" s="1373" t="s">
        <v>909</v>
      </c>
      <c r="Z39" s="8851" t="s">
        <v>910</v>
      </c>
      <c r="AA39" s="8853"/>
      <c r="AB39" s="8897"/>
      <c r="AC39" s="1370" t="s">
        <v>954</v>
      </c>
      <c r="AD39" s="1133" t="s">
        <v>955</v>
      </c>
      <c r="AE39" s="1133" t="s">
        <v>956</v>
      </c>
      <c r="AF39" s="1373" t="s">
        <v>909</v>
      </c>
      <c r="AG39" s="8851" t="s">
        <v>910</v>
      </c>
      <c r="AH39" s="8853"/>
      <c r="AI39" s="8897"/>
      <c r="AJ39" s="8900"/>
      <c r="AK39" s="8753"/>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95</v>
      </c>
      <c r="T40" s="1177" t="s">
        <v>99</v>
      </c>
      <c r="U40" s="1159" t="str">
        <f ca="1">OFFSET(U40,0,-1)</f>
        <v>2</v>
      </c>
      <c r="V40" s="1369">
        <f ca="1">OFFSET(V40,0,-1)+1</f>
        <v>3</v>
      </c>
      <c r="W40" s="1369">
        <f ca="1">OFFSET(W40,0,-1)+1</f>
        <v>4</v>
      </c>
      <c r="X40" s="1369">
        <f ca="1">OFFSET(X40,0,-1)+1</f>
        <v>5</v>
      </c>
      <c r="Y40" s="1369">
        <f ca="1">OFFSET(Y40,0,-1)+1</f>
        <v>6</v>
      </c>
      <c r="Z40" s="8890">
        <f ca="1">OFFSET(Z40,0,-1)+1</f>
        <v>7</v>
      </c>
      <c r="AA40" s="8890"/>
      <c r="AB40" s="1369">
        <f ca="1">OFFSET(AB40,0,-2)+1</f>
        <v>8</v>
      </c>
      <c r="AC40" s="1369">
        <f ca="1">OFFSET(AC40,0,-1)+1</f>
        <v>9</v>
      </c>
      <c r="AD40" s="1369">
        <f ca="1">OFFSET(AD40,0,-1)+1</f>
        <v>10</v>
      </c>
      <c r="AE40" s="1369">
        <f ca="1">OFFSET(AE40,0,-1)+1</f>
        <v>11</v>
      </c>
      <c r="AF40" s="1369">
        <f ca="1">OFFSET(AF40,0,-1)+1</f>
        <v>12</v>
      </c>
      <c r="AG40" s="8890">
        <f ca="1">OFFSET(AG40,0,-1)+1</f>
        <v>13</v>
      </c>
      <c r="AH40" s="8890"/>
      <c r="AI40" s="1369">
        <f ca="1">OFFSET(AI40,0,-2)+1</f>
        <v>14</v>
      </c>
      <c r="AJ40" s="1159">
        <f ca="1">OFFSET(AJ40,0,-1)</f>
        <v>14</v>
      </c>
      <c r="AK40" s="1369">
        <f ca="1">OFFSET(AK40,0,-1)+1</f>
        <v>15</v>
      </c>
      <c r="AL40" s="435"/>
      <c r="AM40" s="435"/>
      <c r="AN40" s="435"/>
      <c r="AO40" s="435"/>
      <c r="AP40" s="435"/>
    </row>
    <row r="41" spans="1:42" ht="23.25" customHeight="1">
      <c r="A41" s="1284" t="s">
        <v>304</v>
      </c>
      <c r="B41" s="1284"/>
      <c r="C41" s="1284"/>
      <c r="D41" s="1284"/>
      <c r="E41" s="8883">
        <v>1</v>
      </c>
      <c r="F41" s="1284"/>
      <c r="G41" s="1284"/>
      <c r="H41" s="1284"/>
      <c r="I41" s="1284"/>
      <c r="J41" s="1284"/>
      <c r="K41" s="1284"/>
      <c r="L41" s="1285"/>
      <c r="M41" s="1286"/>
      <c r="N41" s="1286"/>
      <c r="O41" s="1286"/>
      <c r="P41" s="282"/>
      <c r="Q41" s="281"/>
      <c r="R41" s="276"/>
      <c r="S41" s="1375">
        <f>INDEX(PT_DIFFERENTIATION_NUM_NTAR,MATCH(A41,PT_DIFFERENTIATION_NTAR_ID,0))</f>
        <v>0</v>
      </c>
      <c r="T41" s="212" t="s">
        <v>211</v>
      </c>
      <c r="U41" s="214"/>
      <c r="V41" s="8869"/>
      <c r="W41" s="8870"/>
      <c r="X41" s="8870"/>
      <c r="Y41" s="8870"/>
      <c r="Z41" s="8870"/>
      <c r="AA41" s="8870"/>
      <c r="AB41" s="8871"/>
      <c r="AC41" s="8869" t="str">
        <f>INDEX(PT_DIFFERENTIATION_NTAR,MATCH(A41,PT_DIFFERENTIATION_NTAR_ID,0))</f>
        <v/>
      </c>
      <c r="AD41" s="8870"/>
      <c r="AE41" s="8870"/>
      <c r="AF41" s="8870"/>
      <c r="AG41" s="8870"/>
      <c r="AH41" s="8870"/>
      <c r="AI41" s="8870"/>
      <c r="AJ41" s="887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304</v>
      </c>
      <c r="B42" s="1284" t="s">
        <v>305</v>
      </c>
      <c r="C42" s="1284"/>
      <c r="D42" s="1284"/>
      <c r="E42" s="8884"/>
      <c r="F42" s="8883">
        <v>1</v>
      </c>
      <c r="G42" s="1284"/>
      <c r="H42" s="1284"/>
      <c r="I42" s="1284"/>
      <c r="J42" s="1284"/>
      <c r="K42" s="1284"/>
      <c r="L42" s="1285"/>
      <c r="M42" s="1286"/>
      <c r="N42" s="1286"/>
      <c r="O42" s="1286"/>
      <c r="P42" s="1371"/>
      <c r="Q42" s="273"/>
      <c r="R42" s="274"/>
      <c r="S42" s="1375" t="str">
        <f>INDEX(PT_DIFFERENTIATION_NUM_TER,MATCH(B42,PT_DIFFERENTIATION_TER_ID,0))</f>
        <v>.</v>
      </c>
      <c r="T42" s="224" t="s">
        <v>862</v>
      </c>
      <c r="U42" s="214"/>
      <c r="V42" s="8869"/>
      <c r="W42" s="8870"/>
      <c r="X42" s="8870"/>
      <c r="Y42" s="8870"/>
      <c r="Z42" s="8870"/>
      <c r="AA42" s="8870"/>
      <c r="AB42" s="8871"/>
      <c r="AC42" s="8869" t="str">
        <f>INDEX(PT_DIFFERENTIATION_TER,MATCH(B42,PT_DIFFERENTIATION_TER_ID,0))</f>
        <v/>
      </c>
      <c r="AD42" s="8870"/>
      <c r="AE42" s="8870"/>
      <c r="AF42" s="8870"/>
      <c r="AG42" s="8870"/>
      <c r="AH42" s="8870"/>
      <c r="AI42" s="8870"/>
      <c r="AJ42" s="8871"/>
      <c r="AK42" s="1182" t="s">
        <v>863</v>
      </c>
      <c r="AM42" s="424"/>
      <c r="AN42" s="424" t="str">
        <f t="shared" si="1"/>
        <v>Территория действия тарифа</v>
      </c>
      <c r="AO42" s="424"/>
      <c r="AP42" s="424"/>
    </row>
    <row r="43" spans="1:42" ht="23.25" customHeight="1">
      <c r="A43" s="1284" t="s">
        <v>304</v>
      </c>
      <c r="B43" s="1284" t="s">
        <v>305</v>
      </c>
      <c r="C43" s="1284" t="s">
        <v>306</v>
      </c>
      <c r="D43" s="1284"/>
      <c r="E43" s="8884"/>
      <c r="F43" s="8884"/>
      <c r="G43" s="8883">
        <v>1</v>
      </c>
      <c r="H43" s="1284"/>
      <c r="I43" s="1284"/>
      <c r="J43" s="1284"/>
      <c r="K43" s="1284"/>
      <c r="L43" s="1285"/>
      <c r="M43" s="1286"/>
      <c r="N43" s="1286"/>
      <c r="O43" s="1286"/>
      <c r="P43" s="275"/>
      <c r="Q43" s="273"/>
      <c r="R43" s="274"/>
      <c r="S43" s="1375" t="str">
        <f>INDEX(PT_DIFFERENTIATION_NUM_CS,MATCH(C43,PT_DIFFERENTIATION_CS_ID,0))</f>
        <v>..</v>
      </c>
      <c r="T43" s="225" t="s">
        <v>943</v>
      </c>
      <c r="U43" s="214"/>
      <c r="V43" s="8869"/>
      <c r="W43" s="8870"/>
      <c r="X43" s="8870"/>
      <c r="Y43" s="8870"/>
      <c r="Z43" s="8870"/>
      <c r="AA43" s="8870"/>
      <c r="AB43" s="8871"/>
      <c r="AC43" s="8869" t="str">
        <f>INDEX(PT_DIFFERENTIATION_CS,MATCH(C43,PT_DIFFERENTIATION_CS_ID,0))</f>
        <v/>
      </c>
      <c r="AD43" s="8870"/>
      <c r="AE43" s="8870"/>
      <c r="AF43" s="8870"/>
      <c r="AG43" s="8870"/>
      <c r="AH43" s="8870"/>
      <c r="AI43" s="8870"/>
      <c r="AJ43" s="8871"/>
      <c r="AK43" s="1182" t="s">
        <v>944</v>
      </c>
      <c r="AM43" s="424"/>
      <c r="AN43" s="424" t="str">
        <f t="shared" si="1"/>
        <v>Наименование централизованной системы холодного водоснабжения</v>
      </c>
      <c r="AO43" s="424"/>
      <c r="AP43" s="424"/>
    </row>
    <row r="44" spans="1:42" ht="23.25" customHeight="1">
      <c r="A44" s="1284" t="s">
        <v>304</v>
      </c>
      <c r="B44" s="1284" t="s">
        <v>305</v>
      </c>
      <c r="C44" s="1284" t="s">
        <v>306</v>
      </c>
      <c r="D44" s="1284" t="s">
        <v>959</v>
      </c>
      <c r="E44" s="8884"/>
      <c r="F44" s="8884"/>
      <c r="G44" s="8884"/>
      <c r="H44" s="8884"/>
      <c r="I44" s="8881" t="str">
        <f>S43&amp;".1"</f>
        <v>...1</v>
      </c>
      <c r="J44" s="1284"/>
      <c r="K44" s="1284"/>
      <c r="L44" s="1285"/>
      <c r="P44" s="8882">
        <v>1</v>
      </c>
      <c r="Q44" s="1368"/>
      <c r="R44" s="277"/>
      <c r="S44" s="1375" t="str">
        <f>$I44</f>
        <v>...1</v>
      </c>
      <c r="T44" s="200" t="s">
        <v>945</v>
      </c>
      <c r="U44" s="214"/>
      <c r="V44" s="8942"/>
      <c r="W44" s="8943"/>
      <c r="X44" s="8943"/>
      <c r="Y44" s="8943"/>
      <c r="Z44" s="8943"/>
      <c r="AA44" s="8943"/>
      <c r="AB44" s="8944"/>
      <c r="AC44" s="8945"/>
      <c r="AD44" s="8946"/>
      <c r="AE44" s="8946"/>
      <c r="AF44" s="8946"/>
      <c r="AG44" s="8946"/>
      <c r="AH44" s="8946"/>
      <c r="AI44" s="8946"/>
      <c r="AJ44" s="8947"/>
      <c r="AK44" s="1182" t="s">
        <v>946</v>
      </c>
      <c r="AM44" s="424"/>
      <c r="AN44" s="424" t="str">
        <f t="shared" si="1"/>
        <v>Наименование признака дифференциации</v>
      </c>
      <c r="AO44" s="424"/>
      <c r="AP44" s="424"/>
    </row>
    <row r="45" spans="1:42" ht="23.25" customHeight="1">
      <c r="A45" s="1284" t="s">
        <v>304</v>
      </c>
      <c r="B45" s="1284" t="s">
        <v>305</v>
      </c>
      <c r="C45" s="1284" t="s">
        <v>306</v>
      </c>
      <c r="D45" s="1284" t="s">
        <v>959</v>
      </c>
      <c r="E45" s="8884"/>
      <c r="F45" s="8884"/>
      <c r="G45" s="8884"/>
      <c r="H45" s="8884"/>
      <c r="I45" s="8904"/>
      <c r="J45" s="8881" t="str">
        <f>I44&amp;".1"</f>
        <v>...1.1</v>
      </c>
      <c r="K45" s="1284"/>
      <c r="L45" s="1285" t="s">
        <v>871</v>
      </c>
      <c r="P45" s="8882"/>
      <c r="Q45" s="8882">
        <v>1</v>
      </c>
      <c r="R45" s="278"/>
      <c r="S45" s="1375" t="str">
        <f>$J45</f>
        <v>...1.1</v>
      </c>
      <c r="T45" s="201" t="s">
        <v>872</v>
      </c>
      <c r="U45" s="214"/>
      <c r="V45" s="8872"/>
      <c r="W45" s="8873"/>
      <c r="X45" s="8873"/>
      <c r="Y45" s="8873"/>
      <c r="Z45" s="8873"/>
      <c r="AA45" s="8873"/>
      <c r="AB45" s="8874"/>
      <c r="AC45" s="8872"/>
      <c r="AD45" s="8873"/>
      <c r="AE45" s="8873"/>
      <c r="AF45" s="8873"/>
      <c r="AG45" s="8873"/>
      <c r="AH45" s="8873"/>
      <c r="AI45" s="8873"/>
      <c r="AJ45" s="8874"/>
      <c r="AK45" s="1231" t="s">
        <v>947</v>
      </c>
      <c r="AM45" s="424"/>
      <c r="AN45" s="424" t="str">
        <f t="shared" si="1"/>
        <v>Группа потребителей</v>
      </c>
      <c r="AO45" s="424"/>
      <c r="AP45" s="424"/>
    </row>
    <row r="46" spans="1:42" ht="23.25" customHeight="1">
      <c r="A46" s="1284" t="s">
        <v>304</v>
      </c>
      <c r="B46" s="1284" t="s">
        <v>305</v>
      </c>
      <c r="C46" s="1284" t="s">
        <v>306</v>
      </c>
      <c r="D46" s="1284" t="s">
        <v>959</v>
      </c>
      <c r="E46" s="8884"/>
      <c r="F46" s="8884"/>
      <c r="G46" s="8884"/>
      <c r="H46" s="8884"/>
      <c r="I46" s="8904"/>
      <c r="J46" s="8904"/>
      <c r="K46" s="8881" t="str">
        <f>J45&amp;".1"</f>
        <v>...1.1.1</v>
      </c>
      <c r="L46" s="1285"/>
      <c r="P46" s="8882"/>
      <c r="Q46" s="8882"/>
      <c r="R46" s="278">
        <v>1</v>
      </c>
      <c r="S46" s="1375" t="str">
        <f>$K46</f>
        <v>...1.1.1</v>
      </c>
      <c r="T46" s="1357"/>
      <c r="U46" s="214"/>
      <c r="V46" s="666"/>
      <c r="W46" s="666"/>
      <c r="X46" s="1181"/>
      <c r="Y46" s="8886"/>
      <c r="Z46" s="8734" t="s">
        <v>63</v>
      </c>
      <c r="AA46" s="8886"/>
      <c r="AB46" s="8734" t="s">
        <v>63</v>
      </c>
      <c r="AC46" s="666"/>
      <c r="AD46" s="666"/>
      <c r="AE46" s="1181"/>
      <c r="AF46" s="8886"/>
      <c r="AG46" s="8734" t="s">
        <v>63</v>
      </c>
      <c r="AH46" s="8905"/>
      <c r="AI46" s="8734" t="s">
        <v>63</v>
      </c>
      <c r="AJ46" s="1358"/>
      <c r="AK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304</v>
      </c>
      <c r="B47" s="1284" t="s">
        <v>305</v>
      </c>
      <c r="C47" s="1284" t="s">
        <v>306</v>
      </c>
      <c r="D47" s="1284" t="s">
        <v>959</v>
      </c>
      <c r="E47" s="8884"/>
      <c r="F47" s="8884"/>
      <c r="G47" s="8884"/>
      <c r="H47" s="8884"/>
      <c r="I47" s="8904"/>
      <c r="J47" s="8904"/>
      <c r="K47" s="8881"/>
      <c r="L47" s="1285"/>
      <c r="P47" s="8882"/>
      <c r="Q47" s="8882"/>
      <c r="R47" s="278"/>
      <c r="S47" s="1374"/>
      <c r="T47" s="214"/>
      <c r="U47" s="214"/>
      <c r="V47" s="246"/>
      <c r="W47" s="246"/>
      <c r="X47" s="250" t="str">
        <f>Y46&amp;"-"&amp;AA46</f>
        <v>-</v>
      </c>
      <c r="Y47" s="8887"/>
      <c r="Z47" s="8734"/>
      <c r="AA47" s="8887"/>
      <c r="AB47" s="8734"/>
      <c r="AC47" s="246"/>
      <c r="AD47" s="246"/>
      <c r="AE47" s="250" t="str">
        <f>AF46&amp;"-"&amp;AH46</f>
        <v>-</v>
      </c>
      <c r="AF47" s="8887"/>
      <c r="AG47" s="8734"/>
      <c r="AH47" s="8906"/>
      <c r="AI47" s="8734"/>
      <c r="AJ47" s="1359"/>
      <c r="AK47" s="8941"/>
      <c r="AM47" s="424"/>
      <c r="AN47" s="424" t="str">
        <f t="shared" si="1"/>
        <v/>
      </c>
      <c r="AO47" s="424"/>
      <c r="AP47" s="424"/>
    </row>
    <row r="48" spans="1:42" ht="21" customHeight="1">
      <c r="A48" s="1284" t="s">
        <v>304</v>
      </c>
      <c r="B48" s="1284" t="s">
        <v>305</v>
      </c>
      <c r="C48" s="1284" t="s">
        <v>306</v>
      </c>
      <c r="D48" s="1284" t="s">
        <v>959</v>
      </c>
      <c r="E48" s="8884"/>
      <c r="F48" s="8884"/>
      <c r="G48" s="8884"/>
      <c r="H48" s="8884"/>
      <c r="I48" s="8904"/>
      <c r="J48" s="8881"/>
      <c r="K48" s="1284"/>
      <c r="L48" s="1285"/>
      <c r="P48" s="8882"/>
      <c r="Q48" s="8882"/>
      <c r="R48" s="277"/>
      <c r="S48" s="1203"/>
      <c r="T48" s="202" t="s">
        <v>948</v>
      </c>
      <c r="U48" s="291"/>
      <c r="V48" s="291"/>
      <c r="W48" s="291"/>
      <c r="X48" s="291"/>
      <c r="Y48" s="291"/>
      <c r="Z48" s="291"/>
      <c r="AA48" s="291"/>
      <c r="AB48" s="291"/>
      <c r="AC48" s="291"/>
      <c r="AD48" s="291"/>
      <c r="AE48" s="291"/>
      <c r="AF48" s="291"/>
      <c r="AG48" s="291"/>
      <c r="AH48" s="291"/>
      <c r="AI48" s="291"/>
      <c r="AJ48" s="291"/>
      <c r="AK48" s="1182" t="s">
        <v>949</v>
      </c>
      <c r="AM48" s="424"/>
      <c r="AN48" s="424" t="str">
        <f t="shared" si="1"/>
        <v>Добавить значение признака дифференциации</v>
      </c>
      <c r="AO48" s="424"/>
      <c r="AP48" s="424"/>
    </row>
    <row r="49" spans="1:42" ht="21" customHeight="1">
      <c r="A49" s="1284" t="s">
        <v>304</v>
      </c>
      <c r="B49" s="1284" t="s">
        <v>305</v>
      </c>
      <c r="C49" s="1284" t="s">
        <v>306</v>
      </c>
      <c r="D49" s="1284" t="s">
        <v>959</v>
      </c>
      <c r="E49" s="8884"/>
      <c r="F49" s="8884"/>
      <c r="G49" s="8884"/>
      <c r="H49" s="8884"/>
      <c r="I49" s="8881"/>
      <c r="J49" s="1284"/>
      <c r="K49" s="1284"/>
      <c r="L49" s="1285"/>
      <c r="P49" s="8882"/>
      <c r="Q49" s="1368"/>
      <c r="R49" s="277"/>
      <c r="S49" s="1203"/>
      <c r="T49" s="288" t="s">
        <v>877</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304</v>
      </c>
      <c r="B50" s="1284" t="s">
        <v>305</v>
      </c>
      <c r="C50" s="1284" t="s">
        <v>306</v>
      </c>
      <c r="D50" s="1284" t="s">
        <v>959</v>
      </c>
      <c r="E50" s="8884"/>
      <c r="F50" s="8884"/>
      <c r="G50" s="8884"/>
      <c r="H50" s="8883"/>
      <c r="I50" s="1284"/>
      <c r="J50" s="1284"/>
      <c r="K50" s="1284"/>
      <c r="L50" s="1285"/>
      <c r="M50" s="1286"/>
      <c r="N50" s="1286"/>
      <c r="O50" s="460"/>
      <c r="P50" s="281"/>
      <c r="Q50" s="299"/>
      <c r="R50" s="276"/>
      <c r="S50" s="1203"/>
      <c r="T50" s="296" t="s">
        <v>950</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304</v>
      </c>
      <c r="B51" s="1265" t="s">
        <v>305</v>
      </c>
      <c r="C51" s="1237"/>
      <c r="D51" s="1237"/>
      <c r="E51" s="8884"/>
      <c r="F51" s="8883"/>
      <c r="G51" s="1237"/>
      <c r="H51" s="1237"/>
      <c r="I51" s="1237"/>
      <c r="J51" s="1237"/>
      <c r="K51" s="1237"/>
      <c r="L51" s="1376"/>
      <c r="M51" s="1244"/>
      <c r="N51" s="1244"/>
      <c r="P51" s="1239"/>
      <c r="Q51" s="1240"/>
      <c r="R51" s="1239"/>
      <c r="S51" s="1245"/>
      <c r="T51" s="1248" t="s">
        <v>314</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304</v>
      </c>
      <c r="B52" s="1265"/>
      <c r="C52" s="1265"/>
      <c r="D52" s="1265"/>
      <c r="E52" s="8883"/>
      <c r="F52" s="1265"/>
      <c r="G52" s="1265"/>
      <c r="H52" s="1265"/>
      <c r="I52" s="1265"/>
      <c r="J52" s="1265"/>
      <c r="K52" s="1265"/>
      <c r="L52" s="1268"/>
      <c r="M52" s="1244"/>
      <c r="N52" s="1244"/>
      <c r="O52" s="442"/>
      <c r="P52" s="308"/>
      <c r="Q52" s="1266"/>
      <c r="R52" s="308"/>
      <c r="S52" s="1245"/>
      <c r="T52" s="1248" t="s">
        <v>315</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706</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8903"/>
      <c r="U55" s="8903"/>
      <c r="V55" s="8903"/>
      <c r="W55" s="8903"/>
      <c r="X55" s="8903"/>
      <c r="Y55" s="8903"/>
      <c r="Z55" s="8903"/>
      <c r="AA55" s="8903"/>
      <c r="AB55" s="8903"/>
      <c r="AC55" s="8903"/>
      <c r="AD55" s="8903"/>
      <c r="AE55" s="8903"/>
      <c r="AF55" s="8903"/>
      <c r="AG55" s="8903"/>
      <c r="AH55" s="8903"/>
      <c r="AI55" s="8903"/>
      <c r="AJ55" s="8903"/>
      <c r="AK55" s="8903"/>
    </row>
    <row r="56" spans="1:42" ht="14.25" customHeight="1">
      <c r="O56" s="460"/>
    </row>
    <row r="57" spans="1:42" ht="14.25" customHeight="1">
      <c r="O57" s="460"/>
      <c r="S57" s="1169"/>
      <c r="T57" s="8903"/>
      <c r="U57" s="8903"/>
      <c r="V57" s="8903"/>
      <c r="W57" s="8903"/>
      <c r="X57" s="8903"/>
      <c r="Y57" s="8903"/>
      <c r="Z57" s="8903"/>
      <c r="AA57" s="8903"/>
      <c r="AB57" s="8903"/>
      <c r="AC57" s="8903"/>
      <c r="AD57" s="8903"/>
      <c r="AE57" s="8903"/>
      <c r="AF57" s="8903"/>
      <c r="AG57" s="8903"/>
      <c r="AH57" s="8903"/>
      <c r="AI57" s="8903"/>
      <c r="AJ57" s="8903"/>
      <c r="AK57" s="890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1165"/>
  <sheetViews>
    <sheetView showGridLines="0" tabSelected="1" topLeftCell="P255" zoomScale="90" workbookViewId="0">
      <selection activeCell="AC273" sqref="AC273:AJ273"/>
    </sheetView>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29" width="24.7109375" style="1555" customWidth="1"/>
    <col min="30" max="30" width="9.85546875" style="1555" customWidth="1"/>
    <col min="31" max="31" width="8.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8883">
        <v>1</v>
      </c>
      <c r="F2" s="1284"/>
      <c r="G2" s="1284"/>
      <c r="H2" s="1284"/>
      <c r="I2" s="1284"/>
      <c r="J2" s="1284"/>
      <c r="K2" s="1284"/>
      <c r="L2" s="1285"/>
      <c r="M2" s="1286"/>
      <c r="N2" s="1286"/>
      <c r="O2" s="1286"/>
      <c r="P2" s="282"/>
      <c r="Q2" s="281"/>
      <c r="R2" s="276"/>
      <c r="S2" s="1375" t="e">
        <f>INDEX(PT_DIFFERENTIATION_NUM_NTAR,MATCH(A2,PT_DIFFERENTIATION_NTAR_ID,0))</f>
        <v>#N/A</v>
      </c>
      <c r="T2" s="212" t="s">
        <v>211</v>
      </c>
      <c r="U2" s="214"/>
      <c r="V2" s="8869"/>
      <c r="W2" s="8870"/>
      <c r="X2" s="8870"/>
      <c r="Y2" s="8870"/>
      <c r="Z2" s="8870"/>
      <c r="AA2" s="8870"/>
      <c r="AB2" s="8871"/>
      <c r="AC2" s="8869" t="e">
        <f>INDEX(PT_DIFFERENTIATION_NTAR,MATCH(A2,PT_DIFFERENTIATION_NTAR_ID,0))</f>
        <v>#N/A</v>
      </c>
      <c r="AD2" s="8870"/>
      <c r="AE2" s="8870"/>
      <c r="AF2" s="8870"/>
      <c r="AG2" s="8870"/>
      <c r="AH2" s="8870"/>
      <c r="AI2" s="8870"/>
      <c r="AJ2" s="887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8884"/>
      <c r="F3" s="8883">
        <v>1</v>
      </c>
      <c r="G3" s="1284"/>
      <c r="H3" s="1284"/>
      <c r="I3" s="1284"/>
      <c r="J3" s="1284"/>
      <c r="K3" s="1284"/>
      <c r="L3" s="1285"/>
      <c r="M3" s="1286"/>
      <c r="N3" s="1286"/>
      <c r="O3" s="1286"/>
      <c r="P3" s="1371"/>
      <c r="Q3" s="273"/>
      <c r="R3" s="274"/>
      <c r="S3" s="1375" t="e">
        <f>INDEX(PT_DIFFERENTIATION_NUM_TER,MATCH(B3,PT_DIFFERENTIATION_TER_ID,0))</f>
        <v>#N/A</v>
      </c>
      <c r="T3" s="224" t="s">
        <v>862</v>
      </c>
      <c r="U3" s="214"/>
      <c r="V3" s="8869"/>
      <c r="W3" s="8870"/>
      <c r="X3" s="8870"/>
      <c r="Y3" s="8870"/>
      <c r="Z3" s="8870"/>
      <c r="AA3" s="8870"/>
      <c r="AB3" s="8871"/>
      <c r="AC3" s="8869" t="e">
        <f>INDEX(PT_DIFFERENTIATION_TER,MATCH(B3,PT_DIFFERENTIATION_TER_ID,0))</f>
        <v>#N/A</v>
      </c>
      <c r="AD3" s="8870"/>
      <c r="AE3" s="8870"/>
      <c r="AF3" s="8870"/>
      <c r="AG3" s="8870"/>
      <c r="AH3" s="8870"/>
      <c r="AI3" s="8870"/>
      <c r="AJ3" s="8871"/>
      <c r="AK3" s="1182" t="s">
        <v>863</v>
      </c>
      <c r="AM3" s="424"/>
      <c r="AN3" s="424" t="str">
        <f t="shared" si="0"/>
        <v>Территория действия тарифа</v>
      </c>
      <c r="AO3" s="424"/>
      <c r="AP3" s="424"/>
    </row>
    <row r="4" spans="1:42" ht="23.25" hidden="1" customHeight="1">
      <c r="A4" s="1284"/>
      <c r="B4" s="1284"/>
      <c r="C4" s="1284"/>
      <c r="D4" s="1284"/>
      <c r="E4" s="8884"/>
      <c r="F4" s="8884"/>
      <c r="G4" s="8883">
        <v>1</v>
      </c>
      <c r="H4" s="1284"/>
      <c r="I4" s="1284"/>
      <c r="J4" s="1284"/>
      <c r="K4" s="1284"/>
      <c r="L4" s="1285"/>
      <c r="M4" s="1286"/>
      <c r="N4" s="1286"/>
      <c r="O4" s="1286"/>
      <c r="P4" s="275"/>
      <c r="Q4" s="273"/>
      <c r="R4" s="274"/>
      <c r="S4" s="1375" t="e">
        <f>INDEX(PT_DIFFERENTIATION_NUM_CS,MATCH(C4,PT_DIFFERENTIATION_CS_ID,0))</f>
        <v>#N/A</v>
      </c>
      <c r="T4" s="225" t="s">
        <v>943</v>
      </c>
      <c r="U4" s="214"/>
      <c r="V4" s="8869"/>
      <c r="W4" s="8870"/>
      <c r="X4" s="8870"/>
      <c r="Y4" s="8870"/>
      <c r="Z4" s="8870"/>
      <c r="AA4" s="8870"/>
      <c r="AB4" s="8871"/>
      <c r="AC4" s="8869" t="e">
        <f>INDEX(PT_DIFFERENTIATION_CS,MATCH(C4,PT_DIFFERENTIATION_CS_ID,0))</f>
        <v>#N/A</v>
      </c>
      <c r="AD4" s="8870"/>
      <c r="AE4" s="8870"/>
      <c r="AF4" s="8870"/>
      <c r="AG4" s="8870"/>
      <c r="AH4" s="8870"/>
      <c r="AI4" s="8870"/>
      <c r="AJ4" s="8871"/>
      <c r="AK4" s="1182" t="s">
        <v>944</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8884"/>
      <c r="F5" s="8884"/>
      <c r="G5" s="8884"/>
      <c r="H5" s="8884"/>
      <c r="I5" s="8881" t="e">
        <f>S4&amp;".1"</f>
        <v>#N/A</v>
      </c>
      <c r="J5" s="1284"/>
      <c r="K5" s="1284"/>
      <c r="L5" s="1285"/>
      <c r="P5" s="8882">
        <v>1</v>
      </c>
      <c r="Q5" s="1368"/>
      <c r="R5" s="277"/>
      <c r="S5" s="1375" t="e">
        <f>$I5</f>
        <v>#N/A</v>
      </c>
      <c r="T5" s="200" t="s">
        <v>945</v>
      </c>
      <c r="U5" s="214"/>
      <c r="V5" s="8942"/>
      <c r="W5" s="8943"/>
      <c r="X5" s="8943"/>
      <c r="Y5" s="8943"/>
      <c r="Z5" s="8943"/>
      <c r="AA5" s="8943"/>
      <c r="AB5" s="8944"/>
      <c r="AC5" s="8945"/>
      <c r="AD5" s="8946"/>
      <c r="AE5" s="8946"/>
      <c r="AF5" s="8946"/>
      <c r="AG5" s="8946"/>
      <c r="AH5" s="8946"/>
      <c r="AI5" s="8946"/>
      <c r="AJ5" s="8947"/>
      <c r="AK5" s="1182" t="s">
        <v>946</v>
      </c>
      <c r="AM5" s="424"/>
      <c r="AN5" s="424" t="str">
        <f t="shared" si="0"/>
        <v>Наименование признака дифференциации</v>
      </c>
      <c r="AO5" s="424"/>
      <c r="AP5" s="424"/>
    </row>
    <row r="6" spans="1:42" ht="23.25" hidden="1" customHeight="1">
      <c r="A6" s="1284"/>
      <c r="B6" s="1284"/>
      <c r="C6" s="1284"/>
      <c r="D6" s="1284"/>
      <c r="E6" s="8884"/>
      <c r="F6" s="8884"/>
      <c r="G6" s="8884"/>
      <c r="H6" s="8884"/>
      <c r="I6" s="8904"/>
      <c r="J6" s="8881" t="e">
        <f>I5&amp;".1"</f>
        <v>#N/A</v>
      </c>
      <c r="K6" s="1284"/>
      <c r="L6" s="1285" t="s">
        <v>871</v>
      </c>
      <c r="P6" s="8882"/>
      <c r="Q6" s="8882">
        <v>1</v>
      </c>
      <c r="R6" s="278"/>
      <c r="S6" s="1375" t="e">
        <f>$J6</f>
        <v>#N/A</v>
      </c>
      <c r="T6" s="201" t="s">
        <v>872</v>
      </c>
      <c r="U6" s="214"/>
      <c r="V6" s="8872"/>
      <c r="W6" s="8873"/>
      <c r="X6" s="8873"/>
      <c r="Y6" s="8873"/>
      <c r="Z6" s="8873"/>
      <c r="AA6" s="8873"/>
      <c r="AB6" s="8874"/>
      <c r="AC6" s="8872"/>
      <c r="AD6" s="8873"/>
      <c r="AE6" s="8873"/>
      <c r="AF6" s="8873"/>
      <c r="AG6" s="8873"/>
      <c r="AH6" s="8873"/>
      <c r="AI6" s="8873"/>
      <c r="AJ6" s="8874"/>
      <c r="AK6" s="1231" t="s">
        <v>947</v>
      </c>
      <c r="AM6" s="424"/>
      <c r="AN6" s="424" t="str">
        <f t="shared" si="0"/>
        <v>Группа потребителей</v>
      </c>
      <c r="AO6" s="424"/>
      <c r="AP6" s="424"/>
    </row>
    <row r="7" spans="1:42" ht="23.25" hidden="1" customHeight="1">
      <c r="A7" s="1284"/>
      <c r="B7" s="1284"/>
      <c r="C7" s="1284"/>
      <c r="D7" s="1284"/>
      <c r="E7" s="8884"/>
      <c r="F7" s="8884"/>
      <c r="G7" s="8884"/>
      <c r="H7" s="8884"/>
      <c r="I7" s="8904"/>
      <c r="J7" s="8904"/>
      <c r="K7" s="8881" t="e">
        <f>J6&amp;".1"</f>
        <v>#N/A</v>
      </c>
      <c r="L7" s="1285"/>
      <c r="P7" s="8882"/>
      <c r="Q7" s="8882"/>
      <c r="R7" s="278">
        <v>1</v>
      </c>
      <c r="S7" s="1375" t="e">
        <f>$K7</f>
        <v>#N/A</v>
      </c>
      <c r="T7" s="1357"/>
      <c r="U7" s="214"/>
      <c r="V7" s="666"/>
      <c r="W7" s="666"/>
      <c r="X7" s="1181"/>
      <c r="Y7" s="8886"/>
      <c r="Z7" s="8734" t="s">
        <v>63</v>
      </c>
      <c r="AA7" s="8886"/>
      <c r="AB7" s="8734" t="s">
        <v>63</v>
      </c>
      <c r="AC7" s="666"/>
      <c r="AD7" s="666"/>
      <c r="AE7" s="1181"/>
      <c r="AF7" s="8886"/>
      <c r="AG7" s="8734" t="s">
        <v>63</v>
      </c>
      <c r="AH7" s="8905"/>
      <c r="AI7" s="8734" t="s">
        <v>63</v>
      </c>
      <c r="AJ7" s="1358"/>
      <c r="AK7"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8884"/>
      <c r="F8" s="8884"/>
      <c r="G8" s="8884"/>
      <c r="H8" s="8884"/>
      <c r="I8" s="8904"/>
      <c r="J8" s="8904"/>
      <c r="K8" s="8881"/>
      <c r="L8" s="1285"/>
      <c r="P8" s="8882"/>
      <c r="Q8" s="8882"/>
      <c r="R8" s="278"/>
      <c r="S8" s="1374"/>
      <c r="T8" s="214"/>
      <c r="U8" s="214"/>
      <c r="V8" s="246"/>
      <c r="W8" s="246"/>
      <c r="X8" s="250" t="str">
        <f>Y7&amp;"-"&amp;AA7</f>
        <v>-</v>
      </c>
      <c r="Y8" s="8887"/>
      <c r="Z8" s="8734"/>
      <c r="AA8" s="8887"/>
      <c r="AB8" s="8734"/>
      <c r="AC8" s="246"/>
      <c r="AD8" s="246"/>
      <c r="AE8" s="250" t="str">
        <f>AF7&amp;"-"&amp;AH7</f>
        <v>-</v>
      </c>
      <c r="AF8" s="8887"/>
      <c r="AG8" s="8734"/>
      <c r="AH8" s="8906"/>
      <c r="AI8" s="8734"/>
      <c r="AJ8" s="1359"/>
      <c r="AK8" s="8941"/>
      <c r="AM8" s="424"/>
      <c r="AN8" s="424" t="str">
        <f t="shared" si="0"/>
        <v/>
      </c>
      <c r="AO8" s="424"/>
      <c r="AP8" s="424"/>
    </row>
    <row r="9" spans="1:42" ht="21" hidden="1" customHeight="1">
      <c r="A9" s="1284"/>
      <c r="B9" s="1284"/>
      <c r="C9" s="1284"/>
      <c r="D9" s="1284"/>
      <c r="E9" s="8884"/>
      <c r="F9" s="8884"/>
      <c r="G9" s="8884"/>
      <c r="H9" s="8884"/>
      <c r="I9" s="8904"/>
      <c r="J9" s="8881"/>
      <c r="K9" s="1284"/>
      <c r="L9" s="1285"/>
      <c r="P9" s="8882"/>
      <c r="Q9" s="8882"/>
      <c r="R9" s="277"/>
      <c r="S9" s="1203"/>
      <c r="T9" s="202" t="s">
        <v>948</v>
      </c>
      <c r="U9" s="291"/>
      <c r="V9" s="291"/>
      <c r="W9" s="291"/>
      <c r="X9" s="291"/>
      <c r="Y9" s="291"/>
      <c r="Z9" s="291"/>
      <c r="AA9" s="291"/>
      <c r="AB9" s="291"/>
      <c r="AC9" s="291"/>
      <c r="AD9" s="291"/>
      <c r="AE9" s="291"/>
      <c r="AF9" s="291"/>
      <c r="AG9" s="291"/>
      <c r="AH9" s="291"/>
      <c r="AI9" s="291"/>
      <c r="AJ9" s="291"/>
      <c r="AK9" s="1182" t="s">
        <v>949</v>
      </c>
      <c r="AM9" s="424"/>
      <c r="AN9" s="424" t="str">
        <f t="shared" si="0"/>
        <v>Добавить значение признака дифференциации</v>
      </c>
      <c r="AO9" s="424"/>
      <c r="AP9" s="424"/>
    </row>
    <row r="10" spans="1:42" ht="21" hidden="1" customHeight="1">
      <c r="A10" s="1284"/>
      <c r="B10" s="1284"/>
      <c r="C10" s="1284"/>
      <c r="D10" s="1284"/>
      <c r="E10" s="8884"/>
      <c r="F10" s="8884"/>
      <c r="G10" s="8884"/>
      <c r="H10" s="8884"/>
      <c r="I10" s="8881"/>
      <c r="J10" s="1284"/>
      <c r="K10" s="1284"/>
      <c r="L10" s="1285"/>
      <c r="P10" s="8882"/>
      <c r="Q10" s="1368"/>
      <c r="R10" s="277"/>
      <c r="S10" s="1203"/>
      <c r="T10" s="288" t="s">
        <v>877</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8884"/>
      <c r="F11" s="8884"/>
      <c r="G11" s="8884"/>
      <c r="H11" s="8883"/>
      <c r="I11" s="1284"/>
      <c r="J11" s="1284"/>
      <c r="K11" s="1284"/>
      <c r="L11" s="1285"/>
      <c r="M11" s="1286"/>
      <c r="N11" s="1286"/>
      <c r="O11" s="460"/>
      <c r="P11" s="281"/>
      <c r="Q11" s="299"/>
      <c r="R11" s="276"/>
      <c r="S11" s="1203"/>
      <c r="T11" s="296" t="s">
        <v>950</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8884"/>
      <c r="F12" s="8883"/>
      <c r="G12" s="1237"/>
      <c r="H12" s="1237"/>
      <c r="I12" s="1237"/>
      <c r="J12" s="1237"/>
      <c r="K12" s="1237"/>
      <c r="L12" s="1376"/>
      <c r="M12" s="1244"/>
      <c r="N12" s="1244"/>
      <c r="P12" s="1239"/>
      <c r="Q12" s="1240"/>
      <c r="R12" s="1239"/>
      <c r="S12" s="1245"/>
      <c r="T12" s="1248" t="s">
        <v>314</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8883"/>
      <c r="F13" s="1265"/>
      <c r="G13" s="1265"/>
      <c r="H13" s="1265"/>
      <c r="I13" s="1265"/>
      <c r="J13" s="1265"/>
      <c r="K13" s="1265"/>
      <c r="L13" s="1268"/>
      <c r="M13" s="1244"/>
      <c r="N13" s="1244"/>
      <c r="O13" s="442"/>
      <c r="P13" s="308"/>
      <c r="Q13" s="1266"/>
      <c r="R13" s="308"/>
      <c r="S13" s="1245"/>
      <c r="T13" s="1248" t="s">
        <v>315</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8888"/>
      <c r="AG15" s="8889" t="s">
        <v>63</v>
      </c>
      <c r="AH15" s="8888"/>
      <c r="AI15" s="8889" t="s">
        <v>63</v>
      </c>
    </row>
    <row r="16" spans="1:42" ht="14.25" hidden="1" customHeight="1">
      <c r="AC16" s="1281"/>
      <c r="AD16" s="1281"/>
      <c r="AE16" s="250" t="str">
        <f>AF15&amp;"-"&amp;AH15</f>
        <v>-</v>
      </c>
      <c r="AF16" s="8889"/>
      <c r="AG16" s="8889"/>
      <c r="AH16" s="8889"/>
      <c r="AI16" s="8889"/>
    </row>
    <row r="17" spans="1:42" ht="14.25" hidden="1" customHeight="1">
      <c r="AI17" s="249"/>
    </row>
    <row r="18" spans="1:42" s="1287" customFormat="1" ht="22.5" hidden="1" customHeight="1">
      <c r="L18" s="1365"/>
      <c r="M18" s="1283"/>
      <c r="N18" s="1283"/>
      <c r="O18" s="1288" t="s">
        <v>880</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881</v>
      </c>
      <c r="P20" s="1283"/>
      <c r="Q20" s="1361"/>
      <c r="R20" s="1361"/>
      <c r="S20" s="646"/>
      <c r="T20" s="1065" t="s">
        <v>882</v>
      </c>
      <c r="Z20" s="104" t="s">
        <v>883</v>
      </c>
      <c r="AB20" s="104" t="s">
        <v>884</v>
      </c>
      <c r="AC20" s="1065" t="s">
        <v>882</v>
      </c>
      <c r="AG20" s="104" t="s">
        <v>885</v>
      </c>
      <c r="AI20" s="104" t="s">
        <v>884</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88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8867"/>
      <c r="U24" s="8867"/>
      <c r="V24" s="8867"/>
      <c r="W24" s="8867"/>
      <c r="X24" s="8867"/>
      <c r="Y24" s="8867"/>
      <c r="Z24" s="8867"/>
      <c r="AA24" s="8867"/>
      <c r="AB24" s="8867"/>
      <c r="AC24" s="8867"/>
      <c r="AD24" s="8867"/>
      <c r="AE24" s="8867"/>
      <c r="AF24" s="8867"/>
      <c r="AG24" s="8867"/>
      <c r="AH24" s="8867"/>
      <c r="AI24" s="1157"/>
    </row>
    <row r="25" spans="1:42" ht="14.25" customHeight="1">
      <c r="Q25" s="300"/>
      <c r="R25" s="300"/>
      <c r="S25" s="8814" t="str">
        <f>IF(org=0,"Не определено",org)</f>
        <v>ГУП СК "Ставрополькрайводоканал"</v>
      </c>
      <c r="T25" s="8814"/>
      <c r="U25" s="8814"/>
      <c r="V25" s="8814"/>
      <c r="W25" s="8814"/>
      <c r="X25" s="8814"/>
      <c r="Y25" s="8814"/>
      <c r="Z25" s="8814"/>
      <c r="AA25" s="8814"/>
      <c r="AB25" s="8814"/>
      <c r="AC25" s="8814"/>
      <c r="AD25" s="8814"/>
      <c r="AE25" s="8814"/>
      <c r="AF25" s="8814"/>
      <c r="AG25" s="8814"/>
      <c r="AH25" s="8814"/>
      <c r="AI25" s="1157"/>
    </row>
    <row r="26" spans="1:42" ht="14.25" hidden="1"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hidden="1" customHeight="1">
      <c r="A27" s="1289"/>
      <c r="B27" s="1289"/>
      <c r="C27" s="1289"/>
      <c r="D27" s="1289"/>
      <c r="E27" s="1289"/>
      <c r="F27" s="1289"/>
      <c r="G27" s="1289"/>
      <c r="H27" s="1289"/>
      <c r="I27" s="1289"/>
      <c r="J27" s="1289"/>
      <c r="K27" s="1289"/>
      <c r="L27" s="1290"/>
      <c r="M27" s="1289"/>
      <c r="N27" s="1289"/>
      <c r="O27" s="1289"/>
      <c r="S27" s="8875" t="s">
        <v>38</v>
      </c>
      <c r="T27" s="8875"/>
      <c r="U27" s="1293"/>
      <c r="V27" s="8876" t="str">
        <f>IF(TITLE_NAME_OR_PR_CHANGE="",IF(TITLE_NAME_OR_PR="","",TITLE_NAME_OR_PR),TITLE_NAME_OR_PR_CHANGE)</f>
        <v/>
      </c>
      <c r="W27" s="8876"/>
      <c r="X27" s="8876"/>
      <c r="Y27" s="8876"/>
      <c r="Z27" s="8876"/>
      <c r="AA27" s="8876"/>
      <c r="AB27" s="248"/>
      <c r="AC27" s="8876" t="str">
        <f>IF(TITLE_NAME_OR_PR_CHANGE="",IF(TITLE_NAME_OR_PR="","",TITLE_NAME_OR_PR),TITLE_NAME_OR_PR_CHANGE)</f>
        <v/>
      </c>
      <c r="AD27" s="8876"/>
      <c r="AE27" s="8876"/>
      <c r="AF27" s="8876"/>
      <c r="AG27" s="8876"/>
      <c r="AH27" s="8876"/>
      <c r="AI27" s="248"/>
      <c r="AJ27" s="248"/>
      <c r="AK27" s="196"/>
      <c r="AL27" s="292"/>
      <c r="AM27" s="292"/>
      <c r="AN27" s="292"/>
      <c r="AO27" s="292"/>
      <c r="AP27" s="292"/>
    </row>
    <row r="28" spans="1:42" s="1771" customFormat="1" ht="18.75" hidden="1" customHeight="1">
      <c r="A28" s="1289"/>
      <c r="B28" s="1289"/>
      <c r="C28" s="1289"/>
      <c r="D28" s="1289"/>
      <c r="E28" s="1289"/>
      <c r="F28" s="1289"/>
      <c r="G28" s="1289"/>
      <c r="H28" s="1289"/>
      <c r="I28" s="1289"/>
      <c r="J28" s="1289"/>
      <c r="K28" s="1289"/>
      <c r="L28" s="1290"/>
      <c r="M28" s="1289"/>
      <c r="N28" s="1289"/>
      <c r="O28" s="1289"/>
      <c r="S28" s="8875" t="s">
        <v>886</v>
      </c>
      <c r="T28" s="8875"/>
      <c r="U28" s="1293"/>
      <c r="V28" s="8885">
        <f>IF(TITLE_DATE_PR_CHANGE="",IF(TITLE_DATE_PR="","",TITLE_DATE_PR),TITLE_DATE_PR_CHANGE)</f>
        <v>45281.411851851852</v>
      </c>
      <c r="W28" s="8885"/>
      <c r="X28" s="8885"/>
      <c r="Y28" s="8885"/>
      <c r="Z28" s="8885"/>
      <c r="AA28" s="8885"/>
      <c r="AB28" s="248"/>
      <c r="AC28" s="8885">
        <f>IF(TITLE_DATE_PR_CHANGE="",IF(TITLE_DATE_PR="","",TITLE_DATE_PR),TITLE_DATE_PR_CHANGE)</f>
        <v>45281.411851851852</v>
      </c>
      <c r="AD28" s="8885"/>
      <c r="AE28" s="8885"/>
      <c r="AF28" s="8885"/>
      <c r="AG28" s="8885"/>
      <c r="AH28" s="8885"/>
      <c r="AI28" s="248"/>
      <c r="AJ28" s="248"/>
      <c r="AK28" s="196"/>
      <c r="AL28" s="292"/>
      <c r="AM28" s="292"/>
      <c r="AN28" s="292"/>
      <c r="AO28" s="292"/>
      <c r="AP28" s="292"/>
    </row>
    <row r="29" spans="1:42" s="1771" customFormat="1" ht="18.75" hidden="1" customHeight="1">
      <c r="A29" s="1289"/>
      <c r="B29" s="1289"/>
      <c r="C29" s="1289"/>
      <c r="D29" s="1289"/>
      <c r="E29" s="1289"/>
      <c r="F29" s="1289"/>
      <c r="G29" s="1289"/>
      <c r="H29" s="1289"/>
      <c r="I29" s="1289"/>
      <c r="J29" s="1289"/>
      <c r="K29" s="1289"/>
      <c r="L29" s="1290"/>
      <c r="M29" s="1289"/>
      <c r="N29" s="1289"/>
      <c r="O29" s="1289"/>
      <c r="S29" s="8875" t="s">
        <v>887</v>
      </c>
      <c r="T29" s="8875"/>
      <c r="U29" s="1293"/>
      <c r="V29" s="8876" t="str">
        <f>IF(TITLE_NUMBER_PR_CHANGE="",IF(TITLE_NUMBER_PR="","",TITLE_NUMBER_PR),TITLE_NUMBER_PR_CHANGE)</f>
        <v>06-11/11398</v>
      </c>
      <c r="W29" s="8876"/>
      <c r="X29" s="8876"/>
      <c r="Y29" s="8876"/>
      <c r="Z29" s="8876"/>
      <c r="AA29" s="8876"/>
      <c r="AB29" s="248"/>
      <c r="AC29" s="8876" t="str">
        <f>IF(TITLE_NUMBER_PR_CHANGE="",IF(TITLE_NUMBER_PR="","",TITLE_NUMBER_PR),TITLE_NUMBER_PR_CHANGE)</f>
        <v>06-11/11398</v>
      </c>
      <c r="AD29" s="8876"/>
      <c r="AE29" s="8876"/>
      <c r="AF29" s="8876"/>
      <c r="AG29" s="8876"/>
      <c r="AH29" s="8876"/>
      <c r="AI29" s="248"/>
      <c r="AJ29" s="248"/>
      <c r="AK29" s="196"/>
      <c r="AL29" s="292"/>
      <c r="AM29" s="292"/>
      <c r="AN29" s="292"/>
      <c r="AO29" s="292"/>
      <c r="AP29" s="292"/>
    </row>
    <row r="30" spans="1:42" s="1771" customFormat="1" ht="18.75" hidden="1" customHeight="1">
      <c r="A30" s="1289"/>
      <c r="B30" s="1289"/>
      <c r="C30" s="1289"/>
      <c r="D30" s="1289"/>
      <c r="E30" s="1289"/>
      <c r="F30" s="1289"/>
      <c r="G30" s="1289"/>
      <c r="H30" s="1289"/>
      <c r="I30" s="1289"/>
      <c r="J30" s="1289"/>
      <c r="K30" s="1289"/>
      <c r="L30" s="1290"/>
      <c r="M30" s="1289"/>
      <c r="N30" s="1289"/>
      <c r="O30" s="1289"/>
      <c r="S30" s="8875" t="s">
        <v>39</v>
      </c>
      <c r="T30" s="8875"/>
      <c r="U30" s="1293"/>
      <c r="V30" s="8876" t="str">
        <f>IF(TITLE_IST_PUB_CHANGE="",IF(TITLE_IST_PUB="","",TITLE_IST_PUB),TITLE_IST_PUB_CHANGE)</f>
        <v/>
      </c>
      <c r="W30" s="8876"/>
      <c r="X30" s="8876"/>
      <c r="Y30" s="8876"/>
      <c r="Z30" s="8876"/>
      <c r="AA30" s="8876"/>
      <c r="AB30" s="248"/>
      <c r="AC30" s="8876" t="str">
        <f>IF(TITLE_IST_PUB_CHANGE="",IF(TITLE_IST_PUB="","",TITLE_IST_PUB),TITLE_IST_PUB_CHANGE)</f>
        <v/>
      </c>
      <c r="AD30" s="8876"/>
      <c r="AE30" s="8876"/>
      <c r="AF30" s="8876"/>
      <c r="AG30" s="8876"/>
      <c r="AH30" s="8876"/>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8875" t="s">
        <v>888</v>
      </c>
      <c r="T32" s="8875"/>
      <c r="U32" s="1293"/>
      <c r="V32" s="8885">
        <f>IF(TITLE_DATE_PR_CHANGE="",IF(TITLE_DATE_PR="","",TITLE_DATE_PR),TITLE_DATE_PR_CHANGE)</f>
        <v>45281.411851851852</v>
      </c>
      <c r="W32" s="8885"/>
      <c r="X32" s="8885"/>
      <c r="Y32" s="8885"/>
      <c r="Z32" s="8885"/>
      <c r="AA32" s="8885"/>
      <c r="AB32" s="248"/>
      <c r="AC32" s="8885">
        <f>IF(TITLE_DATE_PR_CHANGE="",IF(TITLE_DATE_PR="","",TITLE_DATE_PR),TITLE_DATE_PR_CHANGE)</f>
        <v>45281.411851851852</v>
      </c>
      <c r="AD32" s="8885"/>
      <c r="AE32" s="8885"/>
      <c r="AF32" s="8885"/>
      <c r="AG32" s="8885"/>
      <c r="AH32" s="8885"/>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8875" t="s">
        <v>889</v>
      </c>
      <c r="T33" s="8875"/>
      <c r="U33" s="1293"/>
      <c r="V33" s="8876" t="str">
        <f>IF(TITLE_NUMBER_PR_CHANGE="",IF(TITLE_NUMBER_PR="","",TITLE_NUMBER_PR),TITLE_NUMBER_PR_CHANGE)</f>
        <v>06-11/11398</v>
      </c>
      <c r="W33" s="8876"/>
      <c r="X33" s="8876"/>
      <c r="Y33" s="8876"/>
      <c r="Z33" s="8876"/>
      <c r="AA33" s="8876"/>
      <c r="AB33" s="248"/>
      <c r="AC33" s="8876" t="str">
        <f>IF(TITLE_NUMBER_PR_CHANGE="",IF(TITLE_NUMBER_PR="","",TITLE_NUMBER_PR),TITLE_NUMBER_PR_CHANGE)</f>
        <v>06-11/11398</v>
      </c>
      <c r="AD33" s="8876"/>
      <c r="AE33" s="8876"/>
      <c r="AF33" s="8876"/>
      <c r="AG33" s="8876"/>
      <c r="AH33" s="8876"/>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890</v>
      </c>
      <c r="AC34" s="248"/>
      <c r="AD34" s="248"/>
      <c r="AE34" s="248"/>
      <c r="AF34" s="248"/>
      <c r="AG34" s="248"/>
      <c r="AH34" s="248"/>
      <c r="AI34" s="194" t="s">
        <v>890</v>
      </c>
      <c r="AL34" s="292"/>
      <c r="AM34" s="292"/>
      <c r="AN34" s="292"/>
      <c r="AO34" s="292"/>
      <c r="AP34" s="292"/>
    </row>
    <row r="35" spans="1:42" ht="14.25" customHeight="1">
      <c r="Q35" s="300"/>
      <c r="R35" s="300"/>
      <c r="S35" s="1200"/>
      <c r="T35" s="286"/>
      <c r="U35" s="1158"/>
      <c r="V35" s="8877"/>
      <c r="W35" s="8877"/>
      <c r="X35" s="8877"/>
      <c r="Y35" s="8877"/>
      <c r="Z35" s="8877"/>
      <c r="AA35" s="8877"/>
      <c r="AB35" s="8877"/>
      <c r="AC35" s="8877"/>
      <c r="AD35" s="8877"/>
      <c r="AE35" s="8877"/>
      <c r="AF35" s="8877"/>
      <c r="AG35" s="8877"/>
      <c r="AH35" s="8877"/>
      <c r="AI35" s="8877"/>
    </row>
    <row r="36" spans="1:42" ht="14.25" customHeight="1">
      <c r="Q36" s="300"/>
      <c r="R36" s="300"/>
      <c r="S36" s="8753" t="s">
        <v>763</v>
      </c>
      <c r="T36" s="8753"/>
      <c r="U36" s="8753"/>
      <c r="V36" s="8753"/>
      <c r="W36" s="8753"/>
      <c r="X36" s="8753"/>
      <c r="Y36" s="8753"/>
      <c r="Z36" s="8753"/>
      <c r="AA36" s="8753"/>
      <c r="AB36" s="8753"/>
      <c r="AC36" s="8753"/>
      <c r="AD36" s="8753"/>
      <c r="AE36" s="8753"/>
      <c r="AF36" s="8753"/>
      <c r="AG36" s="8753"/>
      <c r="AH36" s="8753"/>
      <c r="AI36" s="8753"/>
      <c r="AJ36" s="8753"/>
      <c r="AK36" s="8753" t="s">
        <v>764</v>
      </c>
    </row>
    <row r="37" spans="1:42" ht="14.25" customHeight="1">
      <c r="Q37" s="300"/>
      <c r="R37" s="300"/>
      <c r="S37" s="8891" t="s">
        <v>84</v>
      </c>
      <c r="T37" s="8843" t="s">
        <v>891</v>
      </c>
      <c r="U37" s="215"/>
      <c r="V37" s="8892" t="s">
        <v>892</v>
      </c>
      <c r="W37" s="8893"/>
      <c r="X37" s="8893"/>
      <c r="Y37" s="8893"/>
      <c r="Z37" s="8893"/>
      <c r="AA37" s="8894"/>
      <c r="AB37" s="8895" t="s">
        <v>893</v>
      </c>
      <c r="AC37" s="8892" t="s">
        <v>892</v>
      </c>
      <c r="AD37" s="8893"/>
      <c r="AE37" s="8893"/>
      <c r="AF37" s="8893"/>
      <c r="AG37" s="8893"/>
      <c r="AH37" s="8894"/>
      <c r="AI37" s="8895" t="s">
        <v>894</v>
      </c>
      <c r="AJ37" s="8898" t="s">
        <v>895</v>
      </c>
      <c r="AK37" s="8753"/>
    </row>
    <row r="38" spans="1:42" ht="33.75" customHeight="1">
      <c r="Q38" s="300"/>
      <c r="R38" s="300"/>
      <c r="S38" s="8891"/>
      <c r="T38" s="8843"/>
      <c r="U38" s="942"/>
      <c r="V38" s="1370" t="s">
        <v>951</v>
      </c>
      <c r="W38" s="8724" t="s">
        <v>898</v>
      </c>
      <c r="X38" s="8723"/>
      <c r="Y38" s="8724" t="s">
        <v>899</v>
      </c>
      <c r="Z38" s="8729"/>
      <c r="AA38" s="8723"/>
      <c r="AB38" s="8896"/>
      <c r="AC38" s="1370" t="s">
        <v>951</v>
      </c>
      <c r="AD38" s="8724" t="s">
        <v>898</v>
      </c>
      <c r="AE38" s="8723"/>
      <c r="AF38" s="8724" t="s">
        <v>899</v>
      </c>
      <c r="AG38" s="8729"/>
      <c r="AH38" s="8723"/>
      <c r="AI38" s="8896"/>
      <c r="AJ38" s="8899"/>
      <c r="AK38" s="8753"/>
    </row>
    <row r="39" spans="1:42" ht="33.75" customHeight="1">
      <c r="A39" s="1291"/>
      <c r="B39" s="1291" t="s">
        <v>223</v>
      </c>
      <c r="C39" s="1291" t="s">
        <v>224</v>
      </c>
      <c r="D39" s="1291" t="s">
        <v>225</v>
      </c>
      <c r="E39" s="1285" t="s">
        <v>900</v>
      </c>
      <c r="F39" s="1285" t="s">
        <v>901</v>
      </c>
      <c r="G39" s="1285" t="s">
        <v>902</v>
      </c>
      <c r="H39" s="1285"/>
      <c r="I39" s="1285" t="s">
        <v>952</v>
      </c>
      <c r="J39" s="1285" t="s">
        <v>905</v>
      </c>
      <c r="K39" s="1285" t="s">
        <v>953</v>
      </c>
      <c r="L39" s="1285" t="s">
        <v>881</v>
      </c>
      <c r="Q39" s="300"/>
      <c r="R39" s="300"/>
      <c r="S39" s="8891"/>
      <c r="T39" s="8843"/>
      <c r="U39" s="216"/>
      <c r="V39" s="1370" t="s">
        <v>954</v>
      </c>
      <c r="W39" s="1133" t="s">
        <v>955</v>
      </c>
      <c r="X39" s="1133" t="s">
        <v>956</v>
      </c>
      <c r="Y39" s="1373" t="s">
        <v>909</v>
      </c>
      <c r="Z39" s="8851" t="s">
        <v>910</v>
      </c>
      <c r="AA39" s="8853"/>
      <c r="AB39" s="8897"/>
      <c r="AC39" s="1370" t="s">
        <v>954</v>
      </c>
      <c r="AD39" s="1133" t="s">
        <v>955</v>
      </c>
      <c r="AE39" s="1133" t="s">
        <v>956</v>
      </c>
      <c r="AF39" s="1373" t="s">
        <v>909</v>
      </c>
      <c r="AG39" s="8851" t="s">
        <v>910</v>
      </c>
      <c r="AH39" s="8853"/>
      <c r="AI39" s="8897"/>
      <c r="AJ39" s="8900"/>
      <c r="AK39" s="8753"/>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95</v>
      </c>
      <c r="T40" s="1177" t="s">
        <v>99</v>
      </c>
      <c r="U40" s="1159" t="str">
        <f ca="1">OFFSET(U40,0,-1)</f>
        <v>2</v>
      </c>
      <c r="V40" s="1369">
        <f ca="1">OFFSET(V40,0,-1)+1</f>
        <v>3</v>
      </c>
      <c r="W40" s="1369">
        <f ca="1">OFFSET(W40,0,-1)+1</f>
        <v>4</v>
      </c>
      <c r="X40" s="1369">
        <f ca="1">OFFSET(X40,0,-1)+1</f>
        <v>5</v>
      </c>
      <c r="Y40" s="1369">
        <f ca="1">OFFSET(Y40,0,-1)+1</f>
        <v>6</v>
      </c>
      <c r="Z40" s="8890">
        <f ca="1">OFFSET(Z40,0,-1)+1</f>
        <v>7</v>
      </c>
      <c r="AA40" s="8890"/>
      <c r="AB40" s="1369">
        <f ca="1">OFFSET(AB40,0,-2)+1</f>
        <v>8</v>
      </c>
      <c r="AC40" s="1369">
        <f ca="1">OFFSET(AC40,0,-1)+1</f>
        <v>9</v>
      </c>
      <c r="AD40" s="1369">
        <f ca="1">OFFSET(AD40,0,-1)+1</f>
        <v>10</v>
      </c>
      <c r="AE40" s="1369">
        <f ca="1">OFFSET(AE40,0,-1)+1</f>
        <v>11</v>
      </c>
      <c r="AF40" s="1369">
        <f ca="1">OFFSET(AF40,0,-1)+1</f>
        <v>12</v>
      </c>
      <c r="AG40" s="8890">
        <f ca="1">OFFSET(AG40,0,-1)+1</f>
        <v>13</v>
      </c>
      <c r="AH40" s="8890"/>
      <c r="AI40" s="1369">
        <f ca="1">OFFSET(AI40,0,-2)+1</f>
        <v>14</v>
      </c>
      <c r="AJ40" s="1159">
        <f ca="1">OFFSET(AJ40,0,-1)</f>
        <v>14</v>
      </c>
      <c r="AK40" s="1369">
        <f ca="1">OFFSET(AK40,0,-1)+1</f>
        <v>15</v>
      </c>
      <c r="AL40" s="435"/>
      <c r="AM40" s="435"/>
      <c r="AN40" s="435"/>
      <c r="AO40" s="435"/>
      <c r="AP40" s="435"/>
    </row>
    <row r="41" spans="1:42" ht="23.25" customHeight="1">
      <c r="A41" s="1284" t="s">
        <v>311</v>
      </c>
      <c r="B41" s="1284"/>
      <c r="C41" s="1284"/>
      <c r="D41" s="1284"/>
      <c r="E41" s="8883">
        <v>1</v>
      </c>
      <c r="F41" s="1284"/>
      <c r="G41" s="1284"/>
      <c r="H41" s="1284"/>
      <c r="I41" s="1284"/>
      <c r="J41" s="1284"/>
      <c r="K41" s="1284"/>
      <c r="L41" s="1285"/>
      <c r="M41" s="1286"/>
      <c r="N41" s="1286"/>
      <c r="O41" s="1286"/>
      <c r="P41" s="282"/>
      <c r="Q41" s="281"/>
      <c r="R41" s="276"/>
      <c r="S41" s="1375">
        <f>INDEX(PT_DIFFERENTIATION_NUM_NTAR,MATCH(A41,PT_DIFFERENTIATION_NTAR_ID,0))</f>
        <v>1</v>
      </c>
      <c r="T41" s="212" t="s">
        <v>211</v>
      </c>
      <c r="U41" s="214"/>
      <c r="V41" s="8869"/>
      <c r="W41" s="8870"/>
      <c r="X41" s="8870"/>
      <c r="Y41" s="8870"/>
      <c r="Z41" s="8870"/>
      <c r="AA41" s="8870"/>
      <c r="AB41" s="8871"/>
      <c r="AC41" s="8869" t="str">
        <f>INDEX(PT_DIFFERENTIATION_NTAR,MATCH(A41,PT_DIFFERENTIATION_NTAR_ID,0))</f>
        <v>Подвоз воды потребителям поселка Малостепновского</v>
      </c>
      <c r="AD41" s="8870"/>
      <c r="AE41" s="8870"/>
      <c r="AF41" s="8870"/>
      <c r="AG41" s="8870"/>
      <c r="AH41" s="8870"/>
      <c r="AI41" s="8870"/>
      <c r="AJ41" s="887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4"/>
      <c r="AN41" s="424" t="str">
        <f t="shared" ref="AN41:AN104" si="1">IF(T41="","",T41)</f>
        <v>Наименование тарифа</v>
      </c>
      <c r="AO41" s="424"/>
      <c r="AP41" s="424"/>
    </row>
    <row r="42" spans="1:42" ht="23.25" customHeight="1">
      <c r="A42" s="1284" t="s">
        <v>311</v>
      </c>
      <c r="B42" s="1284" t="s">
        <v>312</v>
      </c>
      <c r="C42" s="1284"/>
      <c r="D42" s="1284"/>
      <c r="E42" s="8884"/>
      <c r="F42" s="8883">
        <v>1</v>
      </c>
      <c r="G42" s="1284"/>
      <c r="H42" s="1284"/>
      <c r="I42" s="1284"/>
      <c r="J42" s="1284"/>
      <c r="K42" s="1284"/>
      <c r="L42" s="1285"/>
      <c r="M42" s="1286"/>
      <c r="N42" s="1286"/>
      <c r="O42" s="1286"/>
      <c r="P42" s="1371"/>
      <c r="Q42" s="273"/>
      <c r="R42" s="274"/>
      <c r="S42" s="1375" t="str">
        <f>INDEX(PT_DIFFERENTIATION_NUM_TER,MATCH(B42,PT_DIFFERENTIATION_TER_ID,0))</f>
        <v>1.1</v>
      </c>
      <c r="T42" s="224" t="s">
        <v>862</v>
      </c>
      <c r="U42" s="214"/>
      <c r="V42" s="8869"/>
      <c r="W42" s="8870"/>
      <c r="X42" s="8870"/>
      <c r="Y42" s="8870"/>
      <c r="Z42" s="8870"/>
      <c r="AA42" s="8870"/>
      <c r="AB42" s="8871"/>
      <c r="AC42" s="8869" t="str">
        <f>INDEX(PT_DIFFERENTIATION_TER,MATCH(B42,PT_DIFFERENTIATION_TER_ID,0))</f>
        <v>Территория 1</v>
      </c>
      <c r="AD42" s="8870"/>
      <c r="AE42" s="8870"/>
      <c r="AF42" s="8870"/>
      <c r="AG42" s="8870"/>
      <c r="AH42" s="8870"/>
      <c r="AI42" s="8870"/>
      <c r="AJ42" s="8871"/>
      <c r="AK42" s="1182" t="s">
        <v>863</v>
      </c>
      <c r="AM42" s="424"/>
      <c r="AN42" s="424" t="str">
        <f t="shared" si="1"/>
        <v>Территория действия тарифа</v>
      </c>
      <c r="AO42" s="424"/>
      <c r="AP42" s="424"/>
    </row>
    <row r="43" spans="1:42" ht="23.25" customHeight="1">
      <c r="A43" s="1284" t="s">
        <v>311</v>
      </c>
      <c r="B43" s="1284" t="s">
        <v>312</v>
      </c>
      <c r="C43" s="1284" t="s">
        <v>313</v>
      </c>
      <c r="D43" s="1284"/>
      <c r="E43" s="8884"/>
      <c r="F43" s="8884"/>
      <c r="G43" s="8883">
        <v>1</v>
      </c>
      <c r="H43" s="1284"/>
      <c r="I43" s="1284"/>
      <c r="J43" s="1284"/>
      <c r="K43" s="1284"/>
      <c r="L43" s="1285"/>
      <c r="M43" s="1286"/>
      <c r="N43" s="1286"/>
      <c r="O43" s="1286"/>
      <c r="P43" s="275"/>
      <c r="Q43" s="273"/>
      <c r="R43" s="274"/>
      <c r="S43" s="1375" t="str">
        <f>INDEX(PT_DIFFERENTIATION_NUM_CS,MATCH(C43,PT_DIFFERENTIATION_CS_ID,0))</f>
        <v>1.1.1</v>
      </c>
      <c r="T43" s="225" t="s">
        <v>943</v>
      </c>
      <c r="U43" s="214"/>
      <c r="V43" s="8869"/>
      <c r="W43" s="8870"/>
      <c r="X43" s="8870"/>
      <c r="Y43" s="8870"/>
      <c r="Z43" s="8870"/>
      <c r="AA43" s="8870"/>
      <c r="AB43" s="8871"/>
      <c r="AC43" s="8869" t="str">
        <f>INDEX(PT_DIFFERENTIATION_CS,MATCH(C43,PT_DIFFERENTIATION_CS_ID,0))</f>
        <v>без дифференциации</v>
      </c>
      <c r="AD43" s="8870"/>
      <c r="AE43" s="8870"/>
      <c r="AF43" s="8870"/>
      <c r="AG43" s="8870"/>
      <c r="AH43" s="8870"/>
      <c r="AI43" s="8870"/>
      <c r="AJ43" s="8871"/>
      <c r="AK43" s="1182" t="s">
        <v>944</v>
      </c>
      <c r="AM43" s="424"/>
      <c r="AN43" s="424" t="str">
        <f t="shared" si="1"/>
        <v>Наименование централизованной системы холодного водоснабжения</v>
      </c>
      <c r="AO43" s="424"/>
      <c r="AP43" s="424"/>
    </row>
    <row r="44" spans="1:42" ht="23.25" customHeight="1">
      <c r="A44" s="1284" t="s">
        <v>311</v>
      </c>
      <c r="B44" s="1284" t="s">
        <v>312</v>
      </c>
      <c r="C44" s="1284" t="s">
        <v>313</v>
      </c>
      <c r="D44" s="1284" t="s">
        <v>960</v>
      </c>
      <c r="E44" s="8884"/>
      <c r="F44" s="8884"/>
      <c r="G44" s="8884"/>
      <c r="H44" s="8884"/>
      <c r="I44" s="8881" t="str">
        <f>S43&amp;".1"</f>
        <v>1.1.1.1</v>
      </c>
      <c r="J44" s="1284"/>
      <c r="K44" s="1284"/>
      <c r="L44" s="1285"/>
      <c r="P44" s="8882">
        <v>1</v>
      </c>
      <c r="Q44" s="1368"/>
      <c r="R44" s="277"/>
      <c r="S44" s="1375" t="str">
        <f>$I44</f>
        <v>1.1.1.1</v>
      </c>
      <c r="T44" s="200" t="s">
        <v>945</v>
      </c>
      <c r="U44" s="214"/>
      <c r="V44" s="8942"/>
      <c r="W44" s="8943"/>
      <c r="X44" s="8943"/>
      <c r="Y44" s="8943"/>
      <c r="Z44" s="8943"/>
      <c r="AA44" s="8943"/>
      <c r="AB44" s="8944"/>
      <c r="AC44" s="8945"/>
      <c r="AD44" s="8946"/>
      <c r="AE44" s="8946"/>
      <c r="AF44" s="8946"/>
      <c r="AG44" s="8946"/>
      <c r="AH44" s="8946"/>
      <c r="AI44" s="8946"/>
      <c r="AJ44" s="8947"/>
      <c r="AK44" s="1182" t="s">
        <v>946</v>
      </c>
      <c r="AM44" s="424"/>
      <c r="AN44" s="424" t="str">
        <f t="shared" si="1"/>
        <v>Наименование признака дифференциации</v>
      </c>
      <c r="AO44" s="424"/>
      <c r="AP44" s="424"/>
    </row>
    <row r="45" spans="1:42" ht="23.25" customHeight="1">
      <c r="A45" s="1284" t="s">
        <v>311</v>
      </c>
      <c r="B45" s="1284" t="s">
        <v>312</v>
      </c>
      <c r="C45" s="1284" t="s">
        <v>313</v>
      </c>
      <c r="D45" s="1284" t="s">
        <v>960</v>
      </c>
      <c r="E45" s="8884"/>
      <c r="F45" s="8884"/>
      <c r="G45" s="8884"/>
      <c r="H45" s="8884"/>
      <c r="I45" s="8904"/>
      <c r="J45" s="8881" t="str">
        <f>I44&amp;".1"</f>
        <v>1.1.1.1.1</v>
      </c>
      <c r="K45" s="1284"/>
      <c r="L45" s="1285" t="s">
        <v>871</v>
      </c>
      <c r="P45" s="8882"/>
      <c r="Q45" s="8882">
        <v>1</v>
      </c>
      <c r="R45" s="278"/>
      <c r="S45" s="1375" t="str">
        <f>$J45</f>
        <v>1.1.1.1.1</v>
      </c>
      <c r="T45" s="201" t="s">
        <v>872</v>
      </c>
      <c r="U45" s="214"/>
      <c r="V45" s="8872"/>
      <c r="W45" s="8873"/>
      <c r="X45" s="8873"/>
      <c r="Y45" s="8873"/>
      <c r="Z45" s="8873"/>
      <c r="AA45" s="8873"/>
      <c r="AB45" s="8874"/>
      <c r="AC45" s="8872" t="s">
        <v>961</v>
      </c>
      <c r="AD45" s="8873"/>
      <c r="AE45" s="8873"/>
      <c r="AF45" s="8873"/>
      <c r="AG45" s="8873"/>
      <c r="AH45" s="8873"/>
      <c r="AI45" s="8873"/>
      <c r="AJ45" s="8874"/>
      <c r="AK45" s="1231" t="s">
        <v>947</v>
      </c>
      <c r="AM45" s="424"/>
      <c r="AN45" s="424" t="str">
        <f t="shared" si="1"/>
        <v>Группа потребителей</v>
      </c>
      <c r="AO45" s="424"/>
      <c r="AP45" s="424"/>
    </row>
    <row r="46" spans="1:42" ht="23.25" customHeight="1">
      <c r="A46" s="1284" t="s">
        <v>311</v>
      </c>
      <c r="B46" s="1284" t="s">
        <v>312</v>
      </c>
      <c r="C46" s="1284" t="s">
        <v>313</v>
      </c>
      <c r="D46" s="1284" t="s">
        <v>960</v>
      </c>
      <c r="E46" s="8884"/>
      <c r="F46" s="8884"/>
      <c r="G46" s="8884"/>
      <c r="H46" s="8884"/>
      <c r="I46" s="8904"/>
      <c r="J46" s="8904"/>
      <c r="K46" s="8881" t="str">
        <f>J45&amp;".1"</f>
        <v>1.1.1.1.1.1</v>
      </c>
      <c r="L46" s="1285"/>
      <c r="P46" s="8882"/>
      <c r="Q46" s="8882"/>
      <c r="R46" s="278">
        <v>1</v>
      </c>
      <c r="S46" s="1375" t="str">
        <f>$K46</f>
        <v>1.1.1.1.1.1</v>
      </c>
      <c r="T46" s="1357" t="s">
        <v>962</v>
      </c>
      <c r="U46" s="214"/>
      <c r="V46" s="666"/>
      <c r="W46" s="666"/>
      <c r="X46" s="1181"/>
      <c r="Y46" s="8886"/>
      <c r="Z46" s="8734" t="s">
        <v>63</v>
      </c>
      <c r="AA46" s="8886"/>
      <c r="AB46" s="8734" t="s">
        <v>63</v>
      </c>
      <c r="AC46" s="666">
        <v>609.86</v>
      </c>
      <c r="AD46" s="666"/>
      <c r="AE46" s="1181"/>
      <c r="AF46" s="8886">
        <v>45292</v>
      </c>
      <c r="AG46" s="8734" t="s">
        <v>63</v>
      </c>
      <c r="AH46" s="8905">
        <v>45657</v>
      </c>
      <c r="AI46" s="8734" t="s">
        <v>63</v>
      </c>
      <c r="AJ46" s="1358"/>
      <c r="AK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Тариф для населения, руб. за 1 куб. метр с НДС</v>
      </c>
      <c r="AO46" s="424"/>
      <c r="AP46" s="424"/>
    </row>
    <row r="47" spans="1:42" ht="0" hidden="1" customHeight="1">
      <c r="A47" s="1284" t="s">
        <v>311</v>
      </c>
      <c r="B47" s="1284" t="s">
        <v>312</v>
      </c>
      <c r="C47" s="1284" t="s">
        <v>313</v>
      </c>
      <c r="D47" s="1284" t="s">
        <v>960</v>
      </c>
      <c r="E47" s="8884"/>
      <c r="F47" s="8884"/>
      <c r="G47" s="8884"/>
      <c r="H47" s="8884"/>
      <c r="I47" s="8904"/>
      <c r="J47" s="8904"/>
      <c r="K47" s="8881"/>
      <c r="L47" s="1285"/>
      <c r="P47" s="8882"/>
      <c r="Q47" s="8882"/>
      <c r="R47" s="278"/>
      <c r="S47" s="1374"/>
      <c r="T47" s="214"/>
      <c r="U47" s="214"/>
      <c r="V47" s="246"/>
      <c r="W47" s="246"/>
      <c r="X47" s="250" t="str">
        <f>Y46&amp;"-"&amp;AA46</f>
        <v>-</v>
      </c>
      <c r="Y47" s="8887"/>
      <c r="Z47" s="8734"/>
      <c r="AA47" s="8887"/>
      <c r="AB47" s="8734"/>
      <c r="AC47" s="246"/>
      <c r="AD47" s="246"/>
      <c r="AE47" s="250" t="str">
        <f>AF46&amp;"-"&amp;AH46</f>
        <v>45292-45657</v>
      </c>
      <c r="AF47" s="8887"/>
      <c r="AG47" s="8734"/>
      <c r="AH47" s="8906"/>
      <c r="AI47" s="8734"/>
      <c r="AJ47" s="1359"/>
      <c r="AK47" s="8941"/>
      <c r="AM47" s="424"/>
      <c r="AN47" s="424" t="str">
        <f t="shared" si="1"/>
        <v/>
      </c>
      <c r="AO47" s="424"/>
      <c r="AP47" s="424"/>
    </row>
    <row r="48" spans="1:42" ht="21" customHeight="1">
      <c r="A48" s="1284" t="s">
        <v>311</v>
      </c>
      <c r="B48" s="1284" t="s">
        <v>312</v>
      </c>
      <c r="C48" s="1284" t="s">
        <v>313</v>
      </c>
      <c r="D48" s="1284" t="s">
        <v>960</v>
      </c>
      <c r="E48" s="8884"/>
      <c r="F48" s="8884"/>
      <c r="G48" s="8884"/>
      <c r="H48" s="8884"/>
      <c r="I48" s="8904"/>
      <c r="J48" s="8881"/>
      <c r="K48" s="1284"/>
      <c r="L48" s="1285"/>
      <c r="P48" s="8882"/>
      <c r="Q48" s="8882"/>
      <c r="R48" s="277"/>
      <c r="S48" s="1203"/>
      <c r="T48" s="202" t="s">
        <v>948</v>
      </c>
      <c r="U48" s="291"/>
      <c r="V48" s="291"/>
      <c r="W48" s="291"/>
      <c r="X48" s="291"/>
      <c r="Y48" s="291"/>
      <c r="Z48" s="291"/>
      <c r="AA48" s="291"/>
      <c r="AB48" s="291"/>
      <c r="AC48" s="291"/>
      <c r="AD48" s="291"/>
      <c r="AE48" s="291"/>
      <c r="AF48" s="291"/>
      <c r="AG48" s="291"/>
      <c r="AH48" s="291"/>
      <c r="AI48" s="291"/>
      <c r="AJ48" s="291"/>
      <c r="AK48" s="1182" t="s">
        <v>949</v>
      </c>
      <c r="AM48" s="424"/>
      <c r="AN48" s="424" t="str">
        <f t="shared" si="1"/>
        <v>Добавить значение признака дифференциации</v>
      </c>
      <c r="AO48" s="424"/>
      <c r="AP48" s="424"/>
    </row>
    <row r="49" spans="1:42" s="1818" customFormat="1" ht="23.25" customHeight="1">
      <c r="A49" s="1284"/>
      <c r="B49" s="1284"/>
      <c r="C49" s="1284"/>
      <c r="D49" s="1284"/>
      <c r="E49" s="8884"/>
      <c r="F49" s="8884"/>
      <c r="G49" s="8884"/>
      <c r="H49" s="8884"/>
      <c r="I49" s="8904"/>
      <c r="J49" s="8881" t="str">
        <f>I44&amp;".2"</f>
        <v>1.1.1.1.2</v>
      </c>
      <c r="K49" s="1284"/>
      <c r="L49" s="1290" t="s">
        <v>871</v>
      </c>
      <c r="M49" s="1696"/>
      <c r="N49" s="1696"/>
      <c r="O49" s="1696"/>
      <c r="P49" s="8882"/>
      <c r="Q49" s="8948" t="s">
        <v>100</v>
      </c>
      <c r="R49" s="278"/>
      <c r="S49" s="1810" t="str">
        <f>$J49</f>
        <v>1.1.1.1.2</v>
      </c>
      <c r="T49" s="201" t="s">
        <v>872</v>
      </c>
      <c r="U49" s="214"/>
      <c r="V49" s="8872"/>
      <c r="W49" s="8873"/>
      <c r="X49" s="8873"/>
      <c r="Y49" s="8873"/>
      <c r="Z49" s="8873"/>
      <c r="AA49" s="8873"/>
      <c r="AB49" s="8874"/>
      <c r="AC49" s="8872" t="s">
        <v>963</v>
      </c>
      <c r="AD49" s="8873"/>
      <c r="AE49" s="8873"/>
      <c r="AF49" s="8873"/>
      <c r="AG49" s="8873"/>
      <c r="AH49" s="8873"/>
      <c r="AI49" s="8873"/>
      <c r="AJ49" s="8874"/>
      <c r="AK49" s="1231" t="s">
        <v>947</v>
      </c>
      <c r="AL49" s="1562"/>
      <c r="AM49" s="1544"/>
      <c r="AN49" s="1544" t="str">
        <f t="shared" si="1"/>
        <v>Группа потребителей</v>
      </c>
      <c r="AO49" s="1544"/>
      <c r="AP49" s="1544"/>
    </row>
    <row r="50" spans="1:42" s="1818" customFormat="1" ht="23.25" customHeight="1">
      <c r="A50" s="1284"/>
      <c r="B50" s="1284"/>
      <c r="C50" s="1284"/>
      <c r="D50" s="1284"/>
      <c r="E50" s="8884"/>
      <c r="F50" s="8884"/>
      <c r="G50" s="8884"/>
      <c r="H50" s="8884"/>
      <c r="I50" s="8904"/>
      <c r="J50" s="8904" t="str">
        <f>I44&amp;".1"</f>
        <v>1.1.1.1.1</v>
      </c>
      <c r="K50" s="8881" t="str">
        <f>J49&amp;".1"</f>
        <v>1.1.1.1.2.1</v>
      </c>
      <c r="L50" s="1290"/>
      <c r="M50" s="1696"/>
      <c r="N50" s="1696"/>
      <c r="O50" s="1696"/>
      <c r="P50" s="8882"/>
      <c r="Q50" s="8882"/>
      <c r="R50" s="278">
        <v>1</v>
      </c>
      <c r="S50" s="1810" t="str">
        <f>$K50</f>
        <v>1.1.1.1.2.1</v>
      </c>
      <c r="T50" s="1357" t="s">
        <v>964</v>
      </c>
      <c r="U50" s="214"/>
      <c r="V50" s="666"/>
      <c r="W50" s="666"/>
      <c r="X50" s="1181"/>
      <c r="Y50" s="8886"/>
      <c r="Z50" s="8734" t="s">
        <v>63</v>
      </c>
      <c r="AA50" s="8886"/>
      <c r="AB50" s="8734" t="s">
        <v>63</v>
      </c>
      <c r="AC50" s="666">
        <v>508.22</v>
      </c>
      <c r="AD50" s="666"/>
      <c r="AE50" s="1181"/>
      <c r="AF50" s="8886">
        <v>45292</v>
      </c>
      <c r="AG50" s="8734" t="s">
        <v>63</v>
      </c>
      <c r="AH50" s="8905">
        <v>45657</v>
      </c>
      <c r="AI50" s="8734" t="s">
        <v>63</v>
      </c>
      <c r="AJ50" s="1358"/>
      <c r="AK5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 s="1562" t="e">
        <f ca="1">STRCHECKDATE(V51:AJ51)</f>
        <v>#NAME?</v>
      </c>
      <c r="AM50" s="1544"/>
      <c r="AN50" s="1544" t="str">
        <f t="shared" si="1"/>
        <v>Тариф, руб. за 1 куб. метр без НДС</v>
      </c>
      <c r="AO50" s="1544"/>
      <c r="AP50" s="1544"/>
    </row>
    <row r="51" spans="1:42" s="1818" customFormat="1" ht="14.25" customHeight="1">
      <c r="A51" s="1284"/>
      <c r="B51" s="1284"/>
      <c r="C51" s="1284"/>
      <c r="D51" s="1284"/>
      <c r="E51" s="8884"/>
      <c r="F51" s="8884"/>
      <c r="G51" s="8884"/>
      <c r="H51" s="8884"/>
      <c r="I51" s="8904"/>
      <c r="J51" s="8904" t="str">
        <f>I44&amp;".1"</f>
        <v>1.1.1.1.1</v>
      </c>
      <c r="K51" s="8881"/>
      <c r="L51" s="1290"/>
      <c r="M51" s="1696"/>
      <c r="N51" s="1696"/>
      <c r="O51" s="1696"/>
      <c r="P51" s="8882"/>
      <c r="Q51" s="8882"/>
      <c r="R51" s="278"/>
      <c r="S51" s="1815"/>
      <c r="T51" s="214"/>
      <c r="U51" s="214"/>
      <c r="V51" s="246"/>
      <c r="W51" s="246"/>
      <c r="X51" s="250" t="str">
        <f>Y50&amp;"-"&amp;AA50</f>
        <v>-</v>
      </c>
      <c r="Y51" s="8887"/>
      <c r="Z51" s="8734"/>
      <c r="AA51" s="8887"/>
      <c r="AB51" s="8734"/>
      <c r="AC51" s="246"/>
      <c r="AD51" s="246"/>
      <c r="AE51" s="250" t="str">
        <f>AF50&amp;"-"&amp;AH50</f>
        <v>45292-45657</v>
      </c>
      <c r="AF51" s="8887"/>
      <c r="AG51" s="8734"/>
      <c r="AH51" s="8906"/>
      <c r="AI51" s="8734"/>
      <c r="AJ51" s="1359"/>
      <c r="AK51" s="8941"/>
      <c r="AL51" s="1562"/>
      <c r="AM51" s="1544"/>
      <c r="AN51" s="1544" t="str">
        <f t="shared" si="1"/>
        <v/>
      </c>
      <c r="AO51" s="1544"/>
      <c r="AP51" s="1544"/>
    </row>
    <row r="52" spans="1:42" s="1818" customFormat="1" ht="21" customHeight="1">
      <c r="A52" s="1284"/>
      <c r="B52" s="1284"/>
      <c r="C52" s="1284"/>
      <c r="D52" s="1284"/>
      <c r="E52" s="8884"/>
      <c r="F52" s="8884"/>
      <c r="G52" s="8884"/>
      <c r="H52" s="8884"/>
      <c r="I52" s="8904"/>
      <c r="J52" s="8881" t="str">
        <f>I44&amp;".1"</f>
        <v>1.1.1.1.1</v>
      </c>
      <c r="K52" s="1284"/>
      <c r="L52" s="1290"/>
      <c r="M52" s="1696"/>
      <c r="N52" s="1696"/>
      <c r="O52" s="1696"/>
      <c r="P52" s="8882"/>
      <c r="Q52" s="8882"/>
      <c r="R52" s="277"/>
      <c r="S52" s="1855"/>
      <c r="T52" s="1856" t="s">
        <v>948</v>
      </c>
      <c r="U52" s="1857"/>
      <c r="V52" s="1858"/>
      <c r="W52" s="1859"/>
      <c r="X52" s="1860"/>
      <c r="Y52" s="1861"/>
      <c r="Z52" s="1862"/>
      <c r="AA52" s="1863"/>
      <c r="AB52" s="1864"/>
      <c r="AC52" s="1865"/>
      <c r="AD52" s="1866"/>
      <c r="AE52" s="1867"/>
      <c r="AF52" s="1868"/>
      <c r="AG52" s="1869"/>
      <c r="AH52" s="1870"/>
      <c r="AI52" s="1871"/>
      <c r="AJ52" s="1872"/>
      <c r="AK52" s="1182" t="s">
        <v>949</v>
      </c>
      <c r="AL52" s="1562"/>
      <c r="AM52" s="1544"/>
      <c r="AN52" s="1544" t="str">
        <f t="shared" si="1"/>
        <v>Добавить значение признака дифференциации</v>
      </c>
      <c r="AO52" s="1544"/>
      <c r="AP52" s="1544"/>
    </row>
    <row r="53" spans="1:42" ht="21" customHeight="1">
      <c r="A53" s="1284" t="s">
        <v>311</v>
      </c>
      <c r="B53" s="1284" t="s">
        <v>312</v>
      </c>
      <c r="C53" s="1284" t="s">
        <v>313</v>
      </c>
      <c r="D53" s="1284" t="s">
        <v>960</v>
      </c>
      <c r="E53" s="8884"/>
      <c r="F53" s="8884"/>
      <c r="G53" s="8884"/>
      <c r="H53" s="8884"/>
      <c r="I53" s="8881"/>
      <c r="J53" s="1284"/>
      <c r="K53" s="1284"/>
      <c r="L53" s="1285"/>
      <c r="P53" s="8882"/>
      <c r="Q53" s="1368"/>
      <c r="R53" s="277"/>
      <c r="S53" s="1203"/>
      <c r="T53" s="288" t="s">
        <v>877</v>
      </c>
      <c r="U53" s="291"/>
      <c r="V53" s="291"/>
      <c r="W53" s="291"/>
      <c r="X53" s="291"/>
      <c r="Y53" s="291"/>
      <c r="Z53" s="291"/>
      <c r="AA53" s="291"/>
      <c r="AB53" s="290"/>
      <c r="AC53" s="291"/>
      <c r="AD53" s="291"/>
      <c r="AE53" s="291"/>
      <c r="AF53" s="291"/>
      <c r="AG53" s="291"/>
      <c r="AH53" s="291"/>
      <c r="AI53" s="290"/>
      <c r="AJ53" s="291"/>
      <c r="AK53" s="1360"/>
      <c r="AM53" s="424"/>
      <c r="AN53" s="424" t="str">
        <f t="shared" si="1"/>
        <v>Добавить группу потребителей</v>
      </c>
      <c r="AO53" s="424"/>
      <c r="AP53" s="424"/>
    </row>
    <row r="54" spans="1:42" ht="21" customHeight="1">
      <c r="A54" s="1284" t="s">
        <v>311</v>
      </c>
      <c r="B54" s="1284" t="s">
        <v>312</v>
      </c>
      <c r="C54" s="1284" t="s">
        <v>313</v>
      </c>
      <c r="D54" s="1284" t="s">
        <v>960</v>
      </c>
      <c r="E54" s="8884"/>
      <c r="F54" s="8884"/>
      <c r="G54" s="8884"/>
      <c r="H54" s="8883"/>
      <c r="I54" s="1284"/>
      <c r="J54" s="1284"/>
      <c r="K54" s="1284"/>
      <c r="L54" s="1285"/>
      <c r="M54" s="1286"/>
      <c r="N54" s="1286"/>
      <c r="O54" s="460"/>
      <c r="P54" s="281"/>
      <c r="Q54" s="299"/>
      <c r="R54" s="276"/>
      <c r="S54" s="1203"/>
      <c r="T54" s="296" t="s">
        <v>950</v>
      </c>
      <c r="U54" s="291"/>
      <c r="V54" s="291"/>
      <c r="W54" s="291"/>
      <c r="X54" s="291"/>
      <c r="Y54" s="291"/>
      <c r="Z54" s="291"/>
      <c r="AA54" s="291"/>
      <c r="AB54" s="290"/>
      <c r="AC54" s="291"/>
      <c r="AD54" s="291"/>
      <c r="AE54" s="291"/>
      <c r="AF54" s="291"/>
      <c r="AG54" s="291"/>
      <c r="AH54" s="291"/>
      <c r="AI54" s="290"/>
      <c r="AJ54" s="291"/>
      <c r="AK54" s="217"/>
      <c r="AM54" s="424"/>
      <c r="AN54" s="424" t="str">
        <f t="shared" si="1"/>
        <v>Добавить наименование признака дифференциации</v>
      </c>
      <c r="AO54" s="424"/>
      <c r="AP54" s="424"/>
    </row>
    <row r="55" spans="1:42" s="1562" customFormat="1" ht="0" hidden="1" customHeight="1">
      <c r="A55" s="1265" t="s">
        <v>311</v>
      </c>
      <c r="B55" s="1265" t="s">
        <v>312</v>
      </c>
      <c r="C55" s="1237"/>
      <c r="D55" s="1237"/>
      <c r="E55" s="8884"/>
      <c r="F55" s="8883"/>
      <c r="G55" s="1237"/>
      <c r="H55" s="1237"/>
      <c r="I55" s="1237"/>
      <c r="J55" s="1237"/>
      <c r="K55" s="1237"/>
      <c r="L55" s="1376"/>
      <c r="M55" s="1244"/>
      <c r="N55" s="1244"/>
      <c r="P55" s="1239"/>
      <c r="Q55" s="1240"/>
      <c r="R55" s="1239"/>
      <c r="S55" s="1245"/>
      <c r="T55" s="1248" t="s">
        <v>314</v>
      </c>
      <c r="U55" s="1247"/>
      <c r="V55" s="1247"/>
      <c r="W55" s="1247"/>
      <c r="X55" s="1247"/>
      <c r="Y55" s="1247"/>
      <c r="Z55" s="1247"/>
      <c r="AA55" s="1247"/>
      <c r="AB55" s="1247"/>
      <c r="AC55" s="1247"/>
      <c r="AD55" s="1247"/>
      <c r="AE55" s="1247"/>
      <c r="AF55" s="1247"/>
      <c r="AG55" s="1247"/>
      <c r="AH55" s="1247"/>
      <c r="AI55" s="1247"/>
      <c r="AJ55" s="1247"/>
      <c r="AK55" s="1247"/>
      <c r="AM55" s="703"/>
      <c r="AN55" s="703" t="str">
        <f t="shared" si="1"/>
        <v>Добавить централизованную систему для дифференциации</v>
      </c>
      <c r="AO55" s="703"/>
      <c r="AP55" s="703"/>
    </row>
    <row r="56" spans="1:42" s="1562" customFormat="1" ht="0" hidden="1" customHeight="1">
      <c r="A56" s="1265" t="s">
        <v>311</v>
      </c>
      <c r="B56" s="1265"/>
      <c r="C56" s="1265"/>
      <c r="D56" s="1265"/>
      <c r="E56" s="8883"/>
      <c r="F56" s="1265"/>
      <c r="G56" s="1265"/>
      <c r="H56" s="1265"/>
      <c r="I56" s="1265"/>
      <c r="J56" s="1265"/>
      <c r="K56" s="1265"/>
      <c r="L56" s="1268"/>
      <c r="M56" s="1244"/>
      <c r="N56" s="1244"/>
      <c r="O56" s="442"/>
      <c r="P56" s="308"/>
      <c r="Q56" s="1266"/>
      <c r="R56" s="308"/>
      <c r="S56" s="1245"/>
      <c r="T56" s="1248" t="s">
        <v>315</v>
      </c>
      <c r="U56" s="1247"/>
      <c r="V56" s="1247"/>
      <c r="W56" s="1247"/>
      <c r="X56" s="1247"/>
      <c r="Y56" s="1247"/>
      <c r="Z56" s="1247"/>
      <c r="AA56" s="1247"/>
      <c r="AB56" s="1247"/>
      <c r="AC56" s="1247"/>
      <c r="AD56" s="1247"/>
      <c r="AE56" s="1247"/>
      <c r="AF56" s="1247"/>
      <c r="AG56" s="1247"/>
      <c r="AH56" s="1247"/>
      <c r="AI56" s="1247"/>
      <c r="AJ56" s="1247"/>
      <c r="AK56" s="1247"/>
      <c r="AM56" s="424"/>
      <c r="AN56" s="424" t="str">
        <f t="shared" si="1"/>
        <v>Добавить территорию для дифференциации</v>
      </c>
      <c r="AO56" s="424"/>
      <c r="AP56" s="424"/>
    </row>
    <row r="57" spans="1:42" s="1818" customFormat="1" ht="23.25" customHeight="1">
      <c r="A57" s="1284" t="s">
        <v>317</v>
      </c>
      <c r="B57" s="1284"/>
      <c r="C57" s="1284"/>
      <c r="D57" s="1284"/>
      <c r="E57" s="8883" t="s">
        <v>99</v>
      </c>
      <c r="F57" s="1284"/>
      <c r="G57" s="1284"/>
      <c r="H57" s="1284"/>
      <c r="I57" s="1284"/>
      <c r="J57" s="1284"/>
      <c r="K57" s="1284"/>
      <c r="L57" s="1290"/>
      <c r="M57" s="1286"/>
      <c r="N57" s="1286"/>
      <c r="O57" s="1286"/>
      <c r="P57" s="1812"/>
      <c r="Q57" s="1742"/>
      <c r="R57" s="276"/>
      <c r="S57" s="1810" t="str">
        <f>INDEX(PT_DIFFERENTIATION_NUM_NTAR,MATCH(A57,PT_DIFFERENTIATION_NTAR_ID,0))</f>
        <v>2</v>
      </c>
      <c r="T57" s="1440" t="s">
        <v>211</v>
      </c>
      <c r="U57" s="214"/>
      <c r="V57" s="8869"/>
      <c r="W57" s="8870"/>
      <c r="X57" s="8870"/>
      <c r="Y57" s="8870"/>
      <c r="Z57" s="8870"/>
      <c r="AA57" s="8870"/>
      <c r="AB57" s="8871"/>
      <c r="AC57" s="8869" t="str">
        <f>INDEX(PT_DIFFERENTIATION_NTAR,MATCH(A57,PT_DIFFERENTIATION_NTAR_ID,0))</f>
        <v>Подвоз воды потребителям хутора Репьевая</v>
      </c>
      <c r="AD57" s="8870"/>
      <c r="AE57" s="8870"/>
      <c r="AF57" s="8870"/>
      <c r="AG57" s="8870"/>
      <c r="AH57" s="8870"/>
      <c r="AI57" s="8870"/>
      <c r="AJ57" s="8871"/>
      <c r="AK5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57" s="1562"/>
      <c r="AM57" s="1544"/>
      <c r="AN57" s="1544" t="str">
        <f t="shared" si="1"/>
        <v>Наименование тарифа</v>
      </c>
      <c r="AO57" s="1544"/>
      <c r="AP57" s="1544"/>
    </row>
    <row r="58" spans="1:42" s="1818" customFormat="1" ht="23.25" customHeight="1">
      <c r="A58" s="1284"/>
      <c r="B58" s="1284" t="s">
        <v>318</v>
      </c>
      <c r="C58" s="1284"/>
      <c r="D58" s="1284"/>
      <c r="E58" s="8884">
        <v>1</v>
      </c>
      <c r="F58" s="8883">
        <v>1</v>
      </c>
      <c r="G58" s="1284"/>
      <c r="H58" s="1284"/>
      <c r="I58" s="1284"/>
      <c r="J58" s="1284"/>
      <c r="K58" s="1284"/>
      <c r="L58" s="1290"/>
      <c r="M58" s="1286"/>
      <c r="N58" s="1286"/>
      <c r="O58" s="1286"/>
      <c r="P58" s="1807"/>
      <c r="Q58" s="273"/>
      <c r="R58" s="274"/>
      <c r="S58" s="1810" t="str">
        <f>INDEX(PT_DIFFERENTIATION_NUM_TER,MATCH(B58,PT_DIFFERENTIATION_TER_ID,0))</f>
        <v>2.1</v>
      </c>
      <c r="T58" s="1437" t="s">
        <v>862</v>
      </c>
      <c r="U58" s="214"/>
      <c r="V58" s="8869"/>
      <c r="W58" s="8870"/>
      <c r="X58" s="8870"/>
      <c r="Y58" s="8870"/>
      <c r="Z58" s="8870"/>
      <c r="AA58" s="8870"/>
      <c r="AB58" s="8871"/>
      <c r="AC58" s="8869" t="str">
        <f>INDEX(PT_DIFFERENTIATION_TER,MATCH(B58,PT_DIFFERENTIATION_TER_ID,0))</f>
        <v>Территория 1</v>
      </c>
      <c r="AD58" s="8870"/>
      <c r="AE58" s="8870"/>
      <c r="AF58" s="8870"/>
      <c r="AG58" s="8870"/>
      <c r="AH58" s="8870"/>
      <c r="AI58" s="8870"/>
      <c r="AJ58" s="8871"/>
      <c r="AK58" s="1182" t="s">
        <v>863</v>
      </c>
      <c r="AL58" s="1562"/>
      <c r="AM58" s="1544"/>
      <c r="AN58" s="1544" t="str">
        <f t="shared" si="1"/>
        <v>Территория действия тарифа</v>
      </c>
      <c r="AO58" s="1544"/>
      <c r="AP58" s="1544"/>
    </row>
    <row r="59" spans="1:42" s="1818" customFormat="1" ht="23.25" customHeight="1">
      <c r="A59" s="1284"/>
      <c r="B59" s="1284"/>
      <c r="C59" s="1284" t="s">
        <v>319</v>
      </c>
      <c r="D59" s="1284"/>
      <c r="E59" s="8884">
        <v>1</v>
      </c>
      <c r="F59" s="8884"/>
      <c r="G59" s="8883">
        <v>1</v>
      </c>
      <c r="H59" s="1284"/>
      <c r="I59" s="1284"/>
      <c r="J59" s="1284"/>
      <c r="K59" s="1284"/>
      <c r="L59" s="1290"/>
      <c r="M59" s="1286"/>
      <c r="N59" s="1286"/>
      <c r="O59" s="1286"/>
      <c r="P59" s="275"/>
      <c r="Q59" s="273"/>
      <c r="R59" s="274"/>
      <c r="S59" s="1810" t="str">
        <f>INDEX(PT_DIFFERENTIATION_NUM_CS,MATCH(C59,PT_DIFFERENTIATION_CS_ID,0))</f>
        <v>2.1.1</v>
      </c>
      <c r="T59" s="225" t="s">
        <v>943</v>
      </c>
      <c r="U59" s="214"/>
      <c r="V59" s="8869"/>
      <c r="W59" s="8870"/>
      <c r="X59" s="8870"/>
      <c r="Y59" s="8870"/>
      <c r="Z59" s="8870"/>
      <c r="AA59" s="8870"/>
      <c r="AB59" s="8871"/>
      <c r="AC59" s="8869" t="str">
        <f>INDEX(PT_DIFFERENTIATION_CS,MATCH(C59,PT_DIFFERENTIATION_CS_ID,0))</f>
        <v>без дифференциации</v>
      </c>
      <c r="AD59" s="8870"/>
      <c r="AE59" s="8870"/>
      <c r="AF59" s="8870"/>
      <c r="AG59" s="8870"/>
      <c r="AH59" s="8870"/>
      <c r="AI59" s="8870"/>
      <c r="AJ59" s="8871"/>
      <c r="AK59" s="1182" t="s">
        <v>944</v>
      </c>
      <c r="AL59" s="1562"/>
      <c r="AM59" s="1544"/>
      <c r="AN59" s="1544" t="str">
        <f t="shared" si="1"/>
        <v>Наименование централизованной системы холодного водоснабжения</v>
      </c>
      <c r="AO59" s="1544"/>
      <c r="AP59" s="1544"/>
    </row>
    <row r="60" spans="1:42" s="1818" customFormat="1" ht="23.25" customHeight="1">
      <c r="A60" s="1284"/>
      <c r="B60" s="1284"/>
      <c r="C60" s="1284"/>
      <c r="D60" s="1284"/>
      <c r="E60" s="8884">
        <v>1</v>
      </c>
      <c r="F60" s="8884"/>
      <c r="G60" s="8884"/>
      <c r="H60" s="8884"/>
      <c r="I60" s="8881" t="str">
        <f>S59&amp;".1"</f>
        <v>2.1.1.1</v>
      </c>
      <c r="J60" s="1284"/>
      <c r="K60" s="1284"/>
      <c r="L60" s="1290"/>
      <c r="M60" s="1696"/>
      <c r="N60" s="1696"/>
      <c r="O60" s="1696"/>
      <c r="P60" s="8882">
        <v>1</v>
      </c>
      <c r="Q60" s="1811"/>
      <c r="R60" s="277"/>
      <c r="S60" s="1810" t="str">
        <f>$I60</f>
        <v>2.1.1.1</v>
      </c>
      <c r="T60" s="200" t="s">
        <v>945</v>
      </c>
      <c r="U60" s="214"/>
      <c r="V60" s="8942"/>
      <c r="W60" s="8943"/>
      <c r="X60" s="8943"/>
      <c r="Y60" s="8943"/>
      <c r="Z60" s="8943"/>
      <c r="AA60" s="8943"/>
      <c r="AB60" s="8944"/>
      <c r="AC60" s="8945"/>
      <c r="AD60" s="8946"/>
      <c r="AE60" s="8946"/>
      <c r="AF60" s="8946"/>
      <c r="AG60" s="8946"/>
      <c r="AH60" s="8946"/>
      <c r="AI60" s="8946"/>
      <c r="AJ60" s="8947"/>
      <c r="AK60" s="1182" t="s">
        <v>946</v>
      </c>
      <c r="AL60" s="1562"/>
      <c r="AM60" s="1544"/>
      <c r="AN60" s="1544" t="str">
        <f t="shared" si="1"/>
        <v>Наименование признака дифференциации</v>
      </c>
      <c r="AO60" s="1544"/>
      <c r="AP60" s="1544"/>
    </row>
    <row r="61" spans="1:42" s="1818" customFormat="1" ht="23.25" customHeight="1">
      <c r="A61" s="1284"/>
      <c r="B61" s="1284"/>
      <c r="C61" s="1284"/>
      <c r="D61" s="1284"/>
      <c r="E61" s="8884">
        <v>1</v>
      </c>
      <c r="F61" s="8884"/>
      <c r="G61" s="8884"/>
      <c r="H61" s="8884"/>
      <c r="I61" s="8904"/>
      <c r="J61" s="8881" t="str">
        <f>I60&amp;".1"</f>
        <v>2.1.1.1.1</v>
      </c>
      <c r="K61" s="1284"/>
      <c r="L61" s="1290" t="s">
        <v>871</v>
      </c>
      <c r="M61" s="1696"/>
      <c r="N61" s="1696"/>
      <c r="O61" s="1696"/>
      <c r="P61" s="8882"/>
      <c r="Q61" s="8882">
        <v>1</v>
      </c>
      <c r="R61" s="278"/>
      <c r="S61" s="1810" t="str">
        <f>$J61</f>
        <v>2.1.1.1.1</v>
      </c>
      <c r="T61" s="201" t="s">
        <v>872</v>
      </c>
      <c r="U61" s="214"/>
      <c r="V61" s="8872"/>
      <c r="W61" s="8873"/>
      <c r="X61" s="8873"/>
      <c r="Y61" s="8873"/>
      <c r="Z61" s="8873"/>
      <c r="AA61" s="8873"/>
      <c r="AB61" s="8874"/>
      <c r="AC61" s="8872" t="s">
        <v>961</v>
      </c>
      <c r="AD61" s="8873"/>
      <c r="AE61" s="8873"/>
      <c r="AF61" s="8873"/>
      <c r="AG61" s="8873"/>
      <c r="AH61" s="8873"/>
      <c r="AI61" s="8873"/>
      <c r="AJ61" s="8874"/>
      <c r="AK61" s="1231" t="s">
        <v>947</v>
      </c>
      <c r="AL61" s="1562"/>
      <c r="AM61" s="1544"/>
      <c r="AN61" s="1544" t="str">
        <f t="shared" si="1"/>
        <v>Группа потребителей</v>
      </c>
      <c r="AO61" s="1544"/>
      <c r="AP61" s="1544"/>
    </row>
    <row r="62" spans="1:42" s="1818" customFormat="1" ht="23.25" customHeight="1">
      <c r="A62" s="1284"/>
      <c r="B62" s="1284"/>
      <c r="C62" s="1284"/>
      <c r="D62" s="1284"/>
      <c r="E62" s="8884">
        <v>1</v>
      </c>
      <c r="F62" s="8884"/>
      <c r="G62" s="8884"/>
      <c r="H62" s="8884"/>
      <c r="I62" s="8904"/>
      <c r="J62" s="8904"/>
      <c r="K62" s="8881" t="str">
        <f>J61&amp;".1"</f>
        <v>2.1.1.1.1.1</v>
      </c>
      <c r="L62" s="1290"/>
      <c r="M62" s="1696"/>
      <c r="N62" s="1696"/>
      <c r="O62" s="1696"/>
      <c r="P62" s="8882"/>
      <c r="Q62" s="8882"/>
      <c r="R62" s="278">
        <v>1</v>
      </c>
      <c r="S62" s="1810" t="str">
        <f>$K62</f>
        <v>2.1.1.1.1.1</v>
      </c>
      <c r="T62" s="1357" t="s">
        <v>962</v>
      </c>
      <c r="U62" s="214"/>
      <c r="V62" s="666"/>
      <c r="W62" s="666"/>
      <c r="X62" s="1181"/>
      <c r="Y62" s="8886"/>
      <c r="Z62" s="8734" t="s">
        <v>63</v>
      </c>
      <c r="AA62" s="8886"/>
      <c r="AB62" s="8734" t="s">
        <v>63</v>
      </c>
      <c r="AC62" s="666">
        <v>566.57000000000005</v>
      </c>
      <c r="AD62" s="666"/>
      <c r="AE62" s="1181"/>
      <c r="AF62" s="8886">
        <v>45292</v>
      </c>
      <c r="AG62" s="8734" t="s">
        <v>63</v>
      </c>
      <c r="AH62" s="8905">
        <v>45657</v>
      </c>
      <c r="AI62" s="8734" t="s">
        <v>63</v>
      </c>
      <c r="AJ62" s="1358"/>
      <c r="AK6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2" s="1562" t="e">
        <f ca="1">STRCHECKDATE(V63:AJ63)</f>
        <v>#NAME?</v>
      </c>
      <c r="AM62" s="1544"/>
      <c r="AN62" s="1544" t="str">
        <f t="shared" si="1"/>
        <v>Тариф для населения, руб. за 1 куб. метр с НДС</v>
      </c>
      <c r="AO62" s="1544"/>
      <c r="AP62" s="1544"/>
    </row>
    <row r="63" spans="1:42" s="1818" customFormat="1" ht="14.25" customHeight="1">
      <c r="A63" s="1284"/>
      <c r="B63" s="1284"/>
      <c r="C63" s="1284"/>
      <c r="D63" s="1284"/>
      <c r="E63" s="8884">
        <v>1</v>
      </c>
      <c r="F63" s="8884"/>
      <c r="G63" s="8884"/>
      <c r="H63" s="8884"/>
      <c r="I63" s="8904"/>
      <c r="J63" s="8904"/>
      <c r="K63" s="8881"/>
      <c r="L63" s="1290"/>
      <c r="M63" s="1696"/>
      <c r="N63" s="1696"/>
      <c r="O63" s="1696"/>
      <c r="P63" s="8882"/>
      <c r="Q63" s="8882"/>
      <c r="R63" s="278"/>
      <c r="S63" s="1815"/>
      <c r="T63" s="214"/>
      <c r="U63" s="214"/>
      <c r="V63" s="246"/>
      <c r="W63" s="246"/>
      <c r="X63" s="250" t="str">
        <f>Y62&amp;"-"&amp;AA62</f>
        <v>-</v>
      </c>
      <c r="Y63" s="8887"/>
      <c r="Z63" s="8734"/>
      <c r="AA63" s="8887"/>
      <c r="AB63" s="8734"/>
      <c r="AC63" s="246"/>
      <c r="AD63" s="246"/>
      <c r="AE63" s="250" t="str">
        <f>AF62&amp;"-"&amp;AH62</f>
        <v>45292-45657</v>
      </c>
      <c r="AF63" s="8887"/>
      <c r="AG63" s="8734"/>
      <c r="AH63" s="8906"/>
      <c r="AI63" s="8734"/>
      <c r="AJ63" s="1359"/>
      <c r="AK63" s="8941"/>
      <c r="AL63" s="1562"/>
      <c r="AM63" s="1544"/>
      <c r="AN63" s="1544" t="str">
        <f t="shared" si="1"/>
        <v/>
      </c>
      <c r="AO63" s="1544"/>
      <c r="AP63" s="1544"/>
    </row>
    <row r="64" spans="1:42" s="1818" customFormat="1" ht="21" customHeight="1">
      <c r="A64" s="1284"/>
      <c r="B64" s="1284"/>
      <c r="C64" s="1284"/>
      <c r="D64" s="1284"/>
      <c r="E64" s="8884">
        <v>1</v>
      </c>
      <c r="F64" s="8884"/>
      <c r="G64" s="8884"/>
      <c r="H64" s="8884"/>
      <c r="I64" s="8904"/>
      <c r="J64" s="8881"/>
      <c r="K64" s="1284"/>
      <c r="L64" s="1290"/>
      <c r="M64" s="1696"/>
      <c r="N64" s="1696"/>
      <c r="O64" s="1696"/>
      <c r="P64" s="8882"/>
      <c r="Q64" s="8882"/>
      <c r="R64" s="277"/>
      <c r="S64" s="1873"/>
      <c r="T64" s="1874" t="s">
        <v>948</v>
      </c>
      <c r="U64" s="1875"/>
      <c r="V64" s="1876"/>
      <c r="W64" s="1877"/>
      <c r="X64" s="1878"/>
      <c r="Y64" s="1879"/>
      <c r="Z64" s="1880"/>
      <c r="AA64" s="1881"/>
      <c r="AB64" s="1882"/>
      <c r="AC64" s="1883"/>
      <c r="AD64" s="1884"/>
      <c r="AE64" s="1885"/>
      <c r="AF64" s="1886"/>
      <c r="AG64" s="1887"/>
      <c r="AH64" s="1888"/>
      <c r="AI64" s="1889"/>
      <c r="AJ64" s="1890"/>
      <c r="AK64" s="1182" t="s">
        <v>949</v>
      </c>
      <c r="AL64" s="1562"/>
      <c r="AM64" s="1544"/>
      <c r="AN64" s="1544" t="str">
        <f t="shared" si="1"/>
        <v>Добавить значение признака дифференциации</v>
      </c>
      <c r="AO64" s="1544"/>
      <c r="AP64" s="1544"/>
    </row>
    <row r="65" spans="1:42" s="1818" customFormat="1" ht="23.25" customHeight="1">
      <c r="A65" s="1284"/>
      <c r="B65" s="1284"/>
      <c r="C65" s="1284"/>
      <c r="D65" s="1284"/>
      <c r="E65" s="8884"/>
      <c r="F65" s="8884"/>
      <c r="G65" s="8884"/>
      <c r="H65" s="8884"/>
      <c r="I65" s="8904"/>
      <c r="J65" s="8881" t="str">
        <f>I60&amp;".2"</f>
        <v>2.1.1.1.2</v>
      </c>
      <c r="K65" s="1284"/>
      <c r="L65" s="1290" t="s">
        <v>871</v>
      </c>
      <c r="M65" s="1696"/>
      <c r="N65" s="1696"/>
      <c r="O65" s="1696"/>
      <c r="P65" s="8882"/>
      <c r="Q65" s="8948" t="s">
        <v>100</v>
      </c>
      <c r="R65" s="278"/>
      <c r="S65" s="1810" t="str">
        <f>$J65</f>
        <v>2.1.1.1.2</v>
      </c>
      <c r="T65" s="201" t="s">
        <v>872</v>
      </c>
      <c r="U65" s="214"/>
      <c r="V65" s="8872"/>
      <c r="W65" s="8873"/>
      <c r="X65" s="8873"/>
      <c r="Y65" s="8873"/>
      <c r="Z65" s="8873"/>
      <c r="AA65" s="8873"/>
      <c r="AB65" s="8874"/>
      <c r="AC65" s="8872" t="s">
        <v>963</v>
      </c>
      <c r="AD65" s="8873"/>
      <c r="AE65" s="8873"/>
      <c r="AF65" s="8873"/>
      <c r="AG65" s="8873"/>
      <c r="AH65" s="8873"/>
      <c r="AI65" s="8873"/>
      <c r="AJ65" s="8874"/>
      <c r="AK65" s="1231" t="s">
        <v>947</v>
      </c>
      <c r="AL65" s="1562"/>
      <c r="AM65" s="1544"/>
      <c r="AN65" s="1544" t="str">
        <f t="shared" si="1"/>
        <v>Группа потребителей</v>
      </c>
      <c r="AO65" s="1544"/>
      <c r="AP65" s="1544"/>
    </row>
    <row r="66" spans="1:42" s="1818" customFormat="1" ht="23.25" customHeight="1">
      <c r="A66" s="1284"/>
      <c r="B66" s="1284"/>
      <c r="C66" s="1284"/>
      <c r="D66" s="1284"/>
      <c r="E66" s="8884"/>
      <c r="F66" s="8884"/>
      <c r="G66" s="8884"/>
      <c r="H66" s="8884"/>
      <c r="I66" s="8904"/>
      <c r="J66" s="8904" t="str">
        <f>I60&amp;".1"</f>
        <v>2.1.1.1.1</v>
      </c>
      <c r="K66" s="8881" t="str">
        <f>J65&amp;".1"</f>
        <v>2.1.1.1.2.1</v>
      </c>
      <c r="L66" s="1290"/>
      <c r="M66" s="1696"/>
      <c r="N66" s="1696"/>
      <c r="O66" s="1696"/>
      <c r="P66" s="8882"/>
      <c r="Q66" s="8882"/>
      <c r="R66" s="278">
        <v>1</v>
      </c>
      <c r="S66" s="1810" t="str">
        <f>$K66</f>
        <v>2.1.1.1.2.1</v>
      </c>
      <c r="T66" s="1357" t="s">
        <v>964</v>
      </c>
      <c r="U66" s="214"/>
      <c r="V66" s="666"/>
      <c r="W66" s="666"/>
      <c r="X66" s="1181"/>
      <c r="Y66" s="8886"/>
      <c r="Z66" s="8734" t="s">
        <v>63</v>
      </c>
      <c r="AA66" s="8886"/>
      <c r="AB66" s="8734" t="s">
        <v>63</v>
      </c>
      <c r="AC66" s="666">
        <v>472.14</v>
      </c>
      <c r="AD66" s="666"/>
      <c r="AE66" s="1181"/>
      <c r="AF66" s="8886">
        <v>45292</v>
      </c>
      <c r="AG66" s="8734" t="s">
        <v>63</v>
      </c>
      <c r="AH66" s="8905">
        <v>45657</v>
      </c>
      <c r="AI66" s="8734" t="s">
        <v>63</v>
      </c>
      <c r="AJ66" s="1358"/>
      <c r="AK6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6" s="1562" t="e">
        <f ca="1">STRCHECKDATE(V67:AJ67)</f>
        <v>#NAME?</v>
      </c>
      <c r="AM66" s="1544"/>
      <c r="AN66" s="1544" t="str">
        <f t="shared" si="1"/>
        <v>Тариф, руб. за 1 куб. метр без НДС</v>
      </c>
      <c r="AO66" s="1544"/>
      <c r="AP66" s="1544"/>
    </row>
    <row r="67" spans="1:42" s="1818" customFormat="1" ht="14.25" customHeight="1">
      <c r="A67" s="1284"/>
      <c r="B67" s="1284"/>
      <c r="C67" s="1284"/>
      <c r="D67" s="1284"/>
      <c r="E67" s="8884"/>
      <c r="F67" s="8884"/>
      <c r="G67" s="8884"/>
      <c r="H67" s="8884"/>
      <c r="I67" s="8904"/>
      <c r="J67" s="8904" t="str">
        <f>I60&amp;".1"</f>
        <v>2.1.1.1.1</v>
      </c>
      <c r="K67" s="8881"/>
      <c r="L67" s="1290"/>
      <c r="M67" s="1696"/>
      <c r="N67" s="1696"/>
      <c r="O67" s="1696"/>
      <c r="P67" s="8882"/>
      <c r="Q67" s="8882"/>
      <c r="R67" s="278"/>
      <c r="S67" s="1815"/>
      <c r="T67" s="214"/>
      <c r="U67" s="214"/>
      <c r="V67" s="246"/>
      <c r="W67" s="246"/>
      <c r="X67" s="250" t="str">
        <f>Y66&amp;"-"&amp;AA66</f>
        <v>-</v>
      </c>
      <c r="Y67" s="8887"/>
      <c r="Z67" s="8734"/>
      <c r="AA67" s="8887"/>
      <c r="AB67" s="8734"/>
      <c r="AC67" s="246"/>
      <c r="AD67" s="246"/>
      <c r="AE67" s="250" t="str">
        <f>AF66&amp;"-"&amp;AH66</f>
        <v>45292-45657</v>
      </c>
      <c r="AF67" s="8887"/>
      <c r="AG67" s="8734"/>
      <c r="AH67" s="8906"/>
      <c r="AI67" s="8734"/>
      <c r="AJ67" s="1359"/>
      <c r="AK67" s="8941"/>
      <c r="AL67" s="1562"/>
      <c r="AM67" s="1544"/>
      <c r="AN67" s="1544" t="str">
        <f t="shared" si="1"/>
        <v/>
      </c>
      <c r="AO67" s="1544"/>
      <c r="AP67" s="1544"/>
    </row>
    <row r="68" spans="1:42" s="1818" customFormat="1" ht="21" customHeight="1">
      <c r="A68" s="1284"/>
      <c r="B68" s="1284"/>
      <c r="C68" s="1284"/>
      <c r="D68" s="1284"/>
      <c r="E68" s="8884"/>
      <c r="F68" s="8884"/>
      <c r="G68" s="8884"/>
      <c r="H68" s="8884"/>
      <c r="I68" s="8904"/>
      <c r="J68" s="8881" t="str">
        <f>I60&amp;".1"</f>
        <v>2.1.1.1.1</v>
      </c>
      <c r="K68" s="1284"/>
      <c r="L68" s="1290"/>
      <c r="M68" s="1696"/>
      <c r="N68" s="1696"/>
      <c r="O68" s="1696"/>
      <c r="P68" s="8882"/>
      <c r="Q68" s="8882"/>
      <c r="R68" s="277"/>
      <c r="S68" s="1891"/>
      <c r="T68" s="1892" t="s">
        <v>948</v>
      </c>
      <c r="U68" s="1893"/>
      <c r="V68" s="1894"/>
      <c r="W68" s="1895"/>
      <c r="X68" s="1896"/>
      <c r="Y68" s="1897"/>
      <c r="Z68" s="1898"/>
      <c r="AA68" s="1899"/>
      <c r="AB68" s="1900"/>
      <c r="AC68" s="1901"/>
      <c r="AD68" s="1902"/>
      <c r="AE68" s="1903"/>
      <c r="AF68" s="1904"/>
      <c r="AG68" s="1905"/>
      <c r="AH68" s="1906"/>
      <c r="AI68" s="1907"/>
      <c r="AJ68" s="1908"/>
      <c r="AK68" s="1182" t="s">
        <v>949</v>
      </c>
      <c r="AL68" s="1562"/>
      <c r="AM68" s="1544"/>
      <c r="AN68" s="1544" t="str">
        <f t="shared" si="1"/>
        <v>Добавить значение признака дифференциации</v>
      </c>
      <c r="AO68" s="1544"/>
      <c r="AP68" s="1544"/>
    </row>
    <row r="69" spans="1:42" s="1818" customFormat="1" ht="21" customHeight="1">
      <c r="A69" s="1284"/>
      <c r="B69" s="1284"/>
      <c r="C69" s="1284"/>
      <c r="D69" s="1284"/>
      <c r="E69" s="8884">
        <v>1</v>
      </c>
      <c r="F69" s="8884"/>
      <c r="G69" s="8884"/>
      <c r="H69" s="8884"/>
      <c r="I69" s="8881"/>
      <c r="J69" s="1284"/>
      <c r="K69" s="1284"/>
      <c r="L69" s="1290"/>
      <c r="M69" s="1696"/>
      <c r="N69" s="1696"/>
      <c r="O69" s="1696"/>
      <c r="P69" s="8882"/>
      <c r="Q69" s="1811"/>
      <c r="R69" s="277"/>
      <c r="S69" s="1909"/>
      <c r="T69" s="1910" t="s">
        <v>877</v>
      </c>
      <c r="U69" s="1911"/>
      <c r="V69" s="1912"/>
      <c r="W69" s="1913"/>
      <c r="X69" s="1914"/>
      <c r="Y69" s="1915"/>
      <c r="Z69" s="1916"/>
      <c r="AA69" s="1917"/>
      <c r="AB69" s="1918"/>
      <c r="AC69" s="1919"/>
      <c r="AD69" s="1920"/>
      <c r="AE69" s="1921"/>
      <c r="AF69" s="1922"/>
      <c r="AG69" s="1923"/>
      <c r="AH69" s="1924"/>
      <c r="AI69" s="1925"/>
      <c r="AJ69" s="1926"/>
      <c r="AK69" s="1927"/>
      <c r="AL69" s="1562"/>
      <c r="AM69" s="1544"/>
      <c r="AN69" s="1544" t="str">
        <f t="shared" si="1"/>
        <v>Добавить группу потребителей</v>
      </c>
      <c r="AO69" s="1544"/>
      <c r="AP69" s="1544"/>
    </row>
    <row r="70" spans="1:42" s="1818" customFormat="1" ht="21" customHeight="1">
      <c r="A70" s="1284"/>
      <c r="B70" s="1284"/>
      <c r="C70" s="1284"/>
      <c r="D70" s="1284"/>
      <c r="E70" s="8884">
        <v>1</v>
      </c>
      <c r="F70" s="8884"/>
      <c r="G70" s="8884"/>
      <c r="H70" s="8883"/>
      <c r="I70" s="1284"/>
      <c r="J70" s="1284"/>
      <c r="K70" s="1284"/>
      <c r="L70" s="1290"/>
      <c r="M70" s="1286"/>
      <c r="N70" s="1286"/>
      <c r="O70" s="1287"/>
      <c r="P70" s="1742"/>
      <c r="Q70" s="299"/>
      <c r="R70" s="276"/>
      <c r="S70" s="1928"/>
      <c r="T70" s="1929" t="s">
        <v>950</v>
      </c>
      <c r="U70" s="1930"/>
      <c r="V70" s="1931"/>
      <c r="W70" s="1932"/>
      <c r="X70" s="1933"/>
      <c r="Y70" s="1934"/>
      <c r="Z70" s="1935"/>
      <c r="AA70" s="1936"/>
      <c r="AB70" s="1937"/>
      <c r="AC70" s="1938"/>
      <c r="AD70" s="1939"/>
      <c r="AE70" s="1940"/>
      <c r="AF70" s="1941"/>
      <c r="AG70" s="1942"/>
      <c r="AH70" s="1943"/>
      <c r="AI70" s="1944"/>
      <c r="AJ70" s="1945"/>
      <c r="AK70" s="1946"/>
      <c r="AL70" s="1562"/>
      <c r="AM70" s="1544"/>
      <c r="AN70" s="1544" t="str">
        <f t="shared" si="1"/>
        <v>Добавить наименование признака дифференциации</v>
      </c>
      <c r="AO70" s="1544"/>
      <c r="AP70" s="1544"/>
    </row>
    <row r="71" spans="1:42" s="541" customFormat="1" ht="14.25" customHeight="1">
      <c r="A71" s="1265"/>
      <c r="B71" s="1265"/>
      <c r="C71" s="1265"/>
      <c r="D71" s="1265"/>
      <c r="E71" s="8884">
        <v>1</v>
      </c>
      <c r="F71" s="8883"/>
      <c r="G71" s="1265"/>
      <c r="H71" s="1265"/>
      <c r="I71" s="1265"/>
      <c r="J71" s="1265"/>
      <c r="K71" s="1265"/>
      <c r="L71" s="1466"/>
      <c r="M71" s="1244"/>
      <c r="N71" s="1244"/>
      <c r="O71" s="1562"/>
      <c r="P71" s="1239"/>
      <c r="Q71" s="1266"/>
      <c r="R71" s="1239"/>
      <c r="S71" s="1245"/>
      <c r="T71" s="1248" t="s">
        <v>314</v>
      </c>
      <c r="U71" s="1247"/>
      <c r="V71" s="1247"/>
      <c r="W71" s="1247"/>
      <c r="X71" s="1247"/>
      <c r="Y71" s="1247"/>
      <c r="Z71" s="1247"/>
      <c r="AA71" s="1247"/>
      <c r="AB71" s="1247"/>
      <c r="AC71" s="1247"/>
      <c r="AD71" s="1247"/>
      <c r="AE71" s="1247"/>
      <c r="AF71" s="1247"/>
      <c r="AG71" s="1247"/>
      <c r="AH71" s="1247"/>
      <c r="AI71" s="1247"/>
      <c r="AJ71" s="1247"/>
      <c r="AK71" s="1247"/>
      <c r="AL71" s="1562"/>
      <c r="AM71" s="1544"/>
      <c r="AN71" s="1544" t="str">
        <f t="shared" si="1"/>
        <v>Добавить централизованную систему для дифференциации</v>
      </c>
      <c r="AO71" s="1544"/>
      <c r="AP71" s="1544"/>
    </row>
    <row r="72" spans="1:42" s="541" customFormat="1" ht="14.25" customHeight="1">
      <c r="A72" s="1265"/>
      <c r="B72" s="1265"/>
      <c r="C72" s="1265"/>
      <c r="D72" s="1265"/>
      <c r="E72" s="8883">
        <v>1</v>
      </c>
      <c r="F72" s="1265"/>
      <c r="G72" s="1265"/>
      <c r="H72" s="1265"/>
      <c r="I72" s="1265"/>
      <c r="J72" s="1265"/>
      <c r="K72" s="1265"/>
      <c r="L72" s="1466"/>
      <c r="M72" s="1244"/>
      <c r="N72" s="1244"/>
      <c r="O72" s="1562"/>
      <c r="P72" s="1239"/>
      <c r="Q72" s="1266"/>
      <c r="R72" s="1239"/>
      <c r="S72" s="1245"/>
      <c r="T72" s="1248" t="s">
        <v>315</v>
      </c>
      <c r="U72" s="1247"/>
      <c r="V72" s="1247"/>
      <c r="W72" s="1247"/>
      <c r="X72" s="1247"/>
      <c r="Y72" s="1247"/>
      <c r="Z72" s="1247"/>
      <c r="AA72" s="1247"/>
      <c r="AB72" s="1247"/>
      <c r="AC72" s="1247"/>
      <c r="AD72" s="1247"/>
      <c r="AE72" s="1247"/>
      <c r="AF72" s="1247"/>
      <c r="AG72" s="1247"/>
      <c r="AH72" s="1247"/>
      <c r="AI72" s="1247"/>
      <c r="AJ72" s="1247"/>
      <c r="AK72" s="1247"/>
      <c r="AL72" s="1562"/>
      <c r="AM72" s="1544"/>
      <c r="AN72" s="1544" t="str">
        <f t="shared" si="1"/>
        <v>Добавить территорию для дифференциации</v>
      </c>
      <c r="AO72" s="1544"/>
      <c r="AP72" s="1544"/>
    </row>
    <row r="73" spans="1:42" s="1818" customFormat="1" ht="23.25" customHeight="1">
      <c r="A73" s="1284" t="s">
        <v>322</v>
      </c>
      <c r="B73" s="1284"/>
      <c r="C73" s="1284"/>
      <c r="D73" s="1284"/>
      <c r="E73" s="8883" t="s">
        <v>86</v>
      </c>
      <c r="F73" s="1284"/>
      <c r="G73" s="1284"/>
      <c r="H73" s="1284"/>
      <c r="I73" s="1284"/>
      <c r="J73" s="1284"/>
      <c r="K73" s="1284"/>
      <c r="L73" s="1290"/>
      <c r="M73" s="1286"/>
      <c r="N73" s="1286"/>
      <c r="O73" s="1286"/>
      <c r="P73" s="1812"/>
      <c r="Q73" s="1742"/>
      <c r="R73" s="276"/>
      <c r="S73" s="1810" t="str">
        <f>INDEX(PT_DIFFERENTIATION_NUM_NTAR,MATCH(A73,PT_DIFFERENTIATION_NTAR_ID,0))</f>
        <v>3</v>
      </c>
      <c r="T73" s="1440" t="s">
        <v>211</v>
      </c>
      <c r="U73" s="214"/>
      <c r="V73" s="8869"/>
      <c r="W73" s="8870"/>
      <c r="X73" s="8870"/>
      <c r="Y73" s="8870"/>
      <c r="Z73" s="8870"/>
      <c r="AA73" s="8870"/>
      <c r="AB73" s="8871"/>
      <c r="AC73" s="8869" t="str">
        <f>INDEX(PT_DIFFERENTIATION_NTAR,MATCH(A73,PT_DIFFERENTIATION_NTAR_ID,0))</f>
        <v>Подвоз воды потребителям хутора Красный Чонгарец</v>
      </c>
      <c r="AD73" s="8870"/>
      <c r="AE73" s="8870"/>
      <c r="AF73" s="8870"/>
      <c r="AG73" s="8870"/>
      <c r="AH73" s="8870"/>
      <c r="AI73" s="8870"/>
      <c r="AJ73" s="8871"/>
      <c r="AK7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73" s="1562"/>
      <c r="AM73" s="1544"/>
      <c r="AN73" s="1544" t="str">
        <f t="shared" si="1"/>
        <v>Наименование тарифа</v>
      </c>
      <c r="AO73" s="1544"/>
      <c r="AP73" s="1544"/>
    </row>
    <row r="74" spans="1:42" s="1818" customFormat="1" ht="23.25" customHeight="1">
      <c r="A74" s="1284"/>
      <c r="B74" s="1284" t="s">
        <v>323</v>
      </c>
      <c r="C74" s="1284"/>
      <c r="D74" s="1284"/>
      <c r="E74" s="8884" t="s">
        <v>99</v>
      </c>
      <c r="F74" s="8883">
        <v>1</v>
      </c>
      <c r="G74" s="1284"/>
      <c r="H74" s="1284"/>
      <c r="I74" s="1284"/>
      <c r="J74" s="1284"/>
      <c r="K74" s="1284"/>
      <c r="L74" s="1290"/>
      <c r="M74" s="1286"/>
      <c r="N74" s="1286"/>
      <c r="O74" s="1286"/>
      <c r="P74" s="1807"/>
      <c r="Q74" s="273"/>
      <c r="R74" s="274"/>
      <c r="S74" s="1810" t="str">
        <f>INDEX(PT_DIFFERENTIATION_NUM_TER,MATCH(B74,PT_DIFFERENTIATION_TER_ID,0))</f>
        <v>3.1</v>
      </c>
      <c r="T74" s="1437" t="s">
        <v>862</v>
      </c>
      <c r="U74" s="214"/>
      <c r="V74" s="8869"/>
      <c r="W74" s="8870"/>
      <c r="X74" s="8870"/>
      <c r="Y74" s="8870"/>
      <c r="Z74" s="8870"/>
      <c r="AA74" s="8870"/>
      <c r="AB74" s="8871"/>
      <c r="AC74" s="8869" t="str">
        <f>INDEX(PT_DIFFERENTIATION_TER,MATCH(B74,PT_DIFFERENTIATION_TER_ID,0))</f>
        <v>Территория 1</v>
      </c>
      <c r="AD74" s="8870"/>
      <c r="AE74" s="8870"/>
      <c r="AF74" s="8870"/>
      <c r="AG74" s="8870"/>
      <c r="AH74" s="8870"/>
      <c r="AI74" s="8870"/>
      <c r="AJ74" s="8871"/>
      <c r="AK74" s="1182" t="s">
        <v>863</v>
      </c>
      <c r="AL74" s="1562"/>
      <c r="AM74" s="1544"/>
      <c r="AN74" s="1544" t="str">
        <f t="shared" si="1"/>
        <v>Территория действия тарифа</v>
      </c>
      <c r="AO74" s="1544"/>
      <c r="AP74" s="1544"/>
    </row>
    <row r="75" spans="1:42" s="1818" customFormat="1" ht="23.25" customHeight="1">
      <c r="A75" s="1284"/>
      <c r="B75" s="1284"/>
      <c r="C75" s="1284" t="s">
        <v>324</v>
      </c>
      <c r="D75" s="1284"/>
      <c r="E75" s="8884" t="s">
        <v>99</v>
      </c>
      <c r="F75" s="8884"/>
      <c r="G75" s="8883">
        <v>1</v>
      </c>
      <c r="H75" s="1284"/>
      <c r="I75" s="1284"/>
      <c r="J75" s="1284"/>
      <c r="K75" s="1284"/>
      <c r="L75" s="1290"/>
      <c r="M75" s="1286"/>
      <c r="N75" s="1286"/>
      <c r="O75" s="1286"/>
      <c r="P75" s="275"/>
      <c r="Q75" s="273"/>
      <c r="R75" s="274"/>
      <c r="S75" s="1810" t="str">
        <f>INDEX(PT_DIFFERENTIATION_NUM_CS,MATCH(C75,PT_DIFFERENTIATION_CS_ID,0))</f>
        <v>3.1.1</v>
      </c>
      <c r="T75" s="225" t="s">
        <v>943</v>
      </c>
      <c r="U75" s="214"/>
      <c r="V75" s="8869"/>
      <c r="W75" s="8870"/>
      <c r="X75" s="8870"/>
      <c r="Y75" s="8870"/>
      <c r="Z75" s="8870"/>
      <c r="AA75" s="8870"/>
      <c r="AB75" s="8871"/>
      <c r="AC75" s="8869" t="str">
        <f>INDEX(PT_DIFFERENTIATION_CS,MATCH(C75,PT_DIFFERENTIATION_CS_ID,0))</f>
        <v>без дифференциации</v>
      </c>
      <c r="AD75" s="8870"/>
      <c r="AE75" s="8870"/>
      <c r="AF75" s="8870"/>
      <c r="AG75" s="8870"/>
      <c r="AH75" s="8870"/>
      <c r="AI75" s="8870"/>
      <c r="AJ75" s="8871"/>
      <c r="AK75" s="1182" t="s">
        <v>944</v>
      </c>
      <c r="AL75" s="1562"/>
      <c r="AM75" s="1544"/>
      <c r="AN75" s="1544" t="str">
        <f t="shared" si="1"/>
        <v>Наименование централизованной системы холодного водоснабжения</v>
      </c>
      <c r="AO75" s="1544"/>
      <c r="AP75" s="1544"/>
    </row>
    <row r="76" spans="1:42" s="1818" customFormat="1" ht="23.25" customHeight="1">
      <c r="A76" s="1284"/>
      <c r="B76" s="1284"/>
      <c r="C76" s="1284"/>
      <c r="D76" s="1284"/>
      <c r="E76" s="8884" t="s">
        <v>99</v>
      </c>
      <c r="F76" s="8884"/>
      <c r="G76" s="8884"/>
      <c r="H76" s="8884"/>
      <c r="I76" s="8881" t="str">
        <f>S75&amp;".1"</f>
        <v>3.1.1.1</v>
      </c>
      <c r="J76" s="1284"/>
      <c r="K76" s="1284"/>
      <c r="L76" s="1290"/>
      <c r="M76" s="1696"/>
      <c r="N76" s="1696"/>
      <c r="O76" s="1696"/>
      <c r="P76" s="8882">
        <v>1</v>
      </c>
      <c r="Q76" s="1811"/>
      <c r="R76" s="277"/>
      <c r="S76" s="1810" t="str">
        <f>$I76</f>
        <v>3.1.1.1</v>
      </c>
      <c r="T76" s="200" t="s">
        <v>945</v>
      </c>
      <c r="U76" s="214"/>
      <c r="V76" s="8942"/>
      <c r="W76" s="8943"/>
      <c r="X76" s="8943"/>
      <c r="Y76" s="8943"/>
      <c r="Z76" s="8943"/>
      <c r="AA76" s="8943"/>
      <c r="AB76" s="8944"/>
      <c r="AC76" s="8945"/>
      <c r="AD76" s="8946"/>
      <c r="AE76" s="8946"/>
      <c r="AF76" s="8946"/>
      <c r="AG76" s="8946"/>
      <c r="AH76" s="8946"/>
      <c r="AI76" s="8946"/>
      <c r="AJ76" s="8947"/>
      <c r="AK76" s="1182" t="s">
        <v>946</v>
      </c>
      <c r="AL76" s="1562"/>
      <c r="AM76" s="1544"/>
      <c r="AN76" s="1544" t="str">
        <f t="shared" si="1"/>
        <v>Наименование признака дифференциации</v>
      </c>
      <c r="AO76" s="1544"/>
      <c r="AP76" s="1544"/>
    </row>
    <row r="77" spans="1:42" s="1818" customFormat="1" ht="23.25" customHeight="1">
      <c r="A77" s="1284"/>
      <c r="B77" s="1284"/>
      <c r="C77" s="1284"/>
      <c r="D77" s="1284"/>
      <c r="E77" s="8884" t="s">
        <v>99</v>
      </c>
      <c r="F77" s="8884"/>
      <c r="G77" s="8884"/>
      <c r="H77" s="8884"/>
      <c r="I77" s="8904"/>
      <c r="J77" s="8881" t="str">
        <f>I76&amp;".1"</f>
        <v>3.1.1.1.1</v>
      </c>
      <c r="K77" s="1284"/>
      <c r="L77" s="1290" t="s">
        <v>871</v>
      </c>
      <c r="M77" s="1696"/>
      <c r="N77" s="1696"/>
      <c r="O77" s="1696"/>
      <c r="P77" s="8882"/>
      <c r="Q77" s="8882">
        <v>1</v>
      </c>
      <c r="R77" s="278"/>
      <c r="S77" s="1810" t="str">
        <f>$J77</f>
        <v>3.1.1.1.1</v>
      </c>
      <c r="T77" s="201" t="s">
        <v>872</v>
      </c>
      <c r="U77" s="214"/>
      <c r="V77" s="8872"/>
      <c r="W77" s="8873"/>
      <c r="X77" s="8873"/>
      <c r="Y77" s="8873"/>
      <c r="Z77" s="8873"/>
      <c r="AA77" s="8873"/>
      <c r="AB77" s="8874"/>
      <c r="AC77" s="8872" t="s">
        <v>961</v>
      </c>
      <c r="AD77" s="8873"/>
      <c r="AE77" s="8873"/>
      <c r="AF77" s="8873"/>
      <c r="AG77" s="8873"/>
      <c r="AH77" s="8873"/>
      <c r="AI77" s="8873"/>
      <c r="AJ77" s="8874"/>
      <c r="AK77" s="1231" t="s">
        <v>947</v>
      </c>
      <c r="AL77" s="1562"/>
      <c r="AM77" s="1544"/>
      <c r="AN77" s="1544" t="str">
        <f t="shared" si="1"/>
        <v>Группа потребителей</v>
      </c>
      <c r="AO77" s="1544"/>
      <c r="AP77" s="1544"/>
    </row>
    <row r="78" spans="1:42" s="1818" customFormat="1" ht="23.25" customHeight="1">
      <c r="A78" s="1284"/>
      <c r="B78" s="1284"/>
      <c r="C78" s="1284"/>
      <c r="D78" s="1284"/>
      <c r="E78" s="8884" t="s">
        <v>99</v>
      </c>
      <c r="F78" s="8884"/>
      <c r="G78" s="8884"/>
      <c r="H78" s="8884"/>
      <c r="I78" s="8904"/>
      <c r="J78" s="8904"/>
      <c r="K78" s="8881" t="str">
        <f>J77&amp;".1"</f>
        <v>3.1.1.1.1.1</v>
      </c>
      <c r="L78" s="1290"/>
      <c r="M78" s="1696"/>
      <c r="N78" s="1696"/>
      <c r="O78" s="1696"/>
      <c r="P78" s="8882"/>
      <c r="Q78" s="8882"/>
      <c r="R78" s="278">
        <v>1</v>
      </c>
      <c r="S78" s="1810" t="str">
        <f>$K78</f>
        <v>3.1.1.1.1.1</v>
      </c>
      <c r="T78" s="1357" t="s">
        <v>962</v>
      </c>
      <c r="U78" s="214"/>
      <c r="V78" s="666"/>
      <c r="W78" s="666"/>
      <c r="X78" s="1181"/>
      <c r="Y78" s="8886"/>
      <c r="Z78" s="8734" t="s">
        <v>63</v>
      </c>
      <c r="AA78" s="8886"/>
      <c r="AB78" s="8734" t="s">
        <v>63</v>
      </c>
      <c r="AC78" s="666">
        <v>558.08000000000004</v>
      </c>
      <c r="AD78" s="666"/>
      <c r="AE78" s="1181"/>
      <c r="AF78" s="8886">
        <v>45292</v>
      </c>
      <c r="AG78" s="8734" t="s">
        <v>63</v>
      </c>
      <c r="AH78" s="8905">
        <v>45657</v>
      </c>
      <c r="AI78" s="8734" t="s">
        <v>63</v>
      </c>
      <c r="AJ78" s="1358"/>
      <c r="AK7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 s="1562" t="e">
        <f ca="1">STRCHECKDATE(V79:AJ79)</f>
        <v>#NAME?</v>
      </c>
      <c r="AM78" s="1544"/>
      <c r="AN78" s="1544" t="str">
        <f t="shared" si="1"/>
        <v>Тариф для населения, руб. за 1 куб. метр с НДС</v>
      </c>
      <c r="AO78" s="1544"/>
      <c r="AP78" s="1544"/>
    </row>
    <row r="79" spans="1:42" s="1818" customFormat="1" ht="14.25" customHeight="1">
      <c r="A79" s="1284"/>
      <c r="B79" s="1284"/>
      <c r="C79" s="1284"/>
      <c r="D79" s="1284"/>
      <c r="E79" s="8884" t="s">
        <v>99</v>
      </c>
      <c r="F79" s="8884"/>
      <c r="G79" s="8884"/>
      <c r="H79" s="8884"/>
      <c r="I79" s="8904"/>
      <c r="J79" s="8904"/>
      <c r="K79" s="8881"/>
      <c r="L79" s="1290"/>
      <c r="M79" s="1696"/>
      <c r="N79" s="1696"/>
      <c r="O79" s="1696"/>
      <c r="P79" s="8882"/>
      <c r="Q79" s="8882"/>
      <c r="R79" s="278"/>
      <c r="S79" s="1815"/>
      <c r="T79" s="214"/>
      <c r="U79" s="214"/>
      <c r="V79" s="246"/>
      <c r="W79" s="246"/>
      <c r="X79" s="250" t="str">
        <f>Y78&amp;"-"&amp;AA78</f>
        <v>-</v>
      </c>
      <c r="Y79" s="8887"/>
      <c r="Z79" s="8734"/>
      <c r="AA79" s="8887"/>
      <c r="AB79" s="8734"/>
      <c r="AC79" s="246"/>
      <c r="AD79" s="246"/>
      <c r="AE79" s="250" t="str">
        <f>AF78&amp;"-"&amp;AH78</f>
        <v>45292-45657</v>
      </c>
      <c r="AF79" s="8887"/>
      <c r="AG79" s="8734"/>
      <c r="AH79" s="8906"/>
      <c r="AI79" s="8734"/>
      <c r="AJ79" s="1359"/>
      <c r="AK79" s="8941"/>
      <c r="AL79" s="1562"/>
      <c r="AM79" s="1544"/>
      <c r="AN79" s="1544" t="str">
        <f t="shared" si="1"/>
        <v/>
      </c>
      <c r="AO79" s="1544"/>
      <c r="AP79" s="1544"/>
    </row>
    <row r="80" spans="1:42" s="1818" customFormat="1" ht="21" customHeight="1">
      <c r="A80" s="1284"/>
      <c r="B80" s="1284"/>
      <c r="C80" s="1284"/>
      <c r="D80" s="1284"/>
      <c r="E80" s="8884" t="s">
        <v>99</v>
      </c>
      <c r="F80" s="8884"/>
      <c r="G80" s="8884"/>
      <c r="H80" s="8884"/>
      <c r="I80" s="8904"/>
      <c r="J80" s="8881"/>
      <c r="K80" s="1284"/>
      <c r="L80" s="1290"/>
      <c r="M80" s="1696"/>
      <c r="N80" s="1696"/>
      <c r="O80" s="1696"/>
      <c r="P80" s="8882"/>
      <c r="Q80" s="8882"/>
      <c r="R80" s="277"/>
      <c r="S80" s="1947"/>
      <c r="T80" s="1948" t="s">
        <v>948</v>
      </c>
      <c r="U80" s="1949"/>
      <c r="V80" s="1950"/>
      <c r="W80" s="1951"/>
      <c r="X80" s="1952"/>
      <c r="Y80" s="1953"/>
      <c r="Z80" s="1954"/>
      <c r="AA80" s="1955"/>
      <c r="AB80" s="1956"/>
      <c r="AC80" s="1957"/>
      <c r="AD80" s="1958"/>
      <c r="AE80" s="1959"/>
      <c r="AF80" s="1960"/>
      <c r="AG80" s="1961"/>
      <c r="AH80" s="1962"/>
      <c r="AI80" s="1963"/>
      <c r="AJ80" s="1964"/>
      <c r="AK80" s="1182" t="s">
        <v>949</v>
      </c>
      <c r="AL80" s="1562"/>
      <c r="AM80" s="1544"/>
      <c r="AN80" s="1544" t="str">
        <f t="shared" si="1"/>
        <v>Добавить значение признака дифференциации</v>
      </c>
      <c r="AO80" s="1544"/>
      <c r="AP80" s="1544"/>
    </row>
    <row r="81" spans="1:42" s="1818" customFormat="1" ht="23.25" customHeight="1">
      <c r="A81" s="1284"/>
      <c r="B81" s="1284"/>
      <c r="C81" s="1284"/>
      <c r="D81" s="1284"/>
      <c r="E81" s="8884"/>
      <c r="F81" s="8884"/>
      <c r="G81" s="8884"/>
      <c r="H81" s="8884"/>
      <c r="I81" s="8904"/>
      <c r="J81" s="8881" t="str">
        <f>I76&amp;".2"</f>
        <v>3.1.1.1.2</v>
      </c>
      <c r="K81" s="1284"/>
      <c r="L81" s="1290" t="s">
        <v>871</v>
      </c>
      <c r="M81" s="1696"/>
      <c r="N81" s="1696"/>
      <c r="O81" s="1696"/>
      <c r="P81" s="8882"/>
      <c r="Q81" s="8948" t="s">
        <v>100</v>
      </c>
      <c r="R81" s="278"/>
      <c r="S81" s="1810" t="str">
        <f>$J81</f>
        <v>3.1.1.1.2</v>
      </c>
      <c r="T81" s="201" t="s">
        <v>872</v>
      </c>
      <c r="U81" s="214"/>
      <c r="V81" s="8872"/>
      <c r="W81" s="8873"/>
      <c r="X81" s="8873"/>
      <c r="Y81" s="8873"/>
      <c r="Z81" s="8873"/>
      <c r="AA81" s="8873"/>
      <c r="AB81" s="8874"/>
      <c r="AC81" s="8872" t="s">
        <v>963</v>
      </c>
      <c r="AD81" s="8873"/>
      <c r="AE81" s="8873"/>
      <c r="AF81" s="8873"/>
      <c r="AG81" s="8873"/>
      <c r="AH81" s="8873"/>
      <c r="AI81" s="8873"/>
      <c r="AJ81" s="8874"/>
      <c r="AK81" s="1231" t="s">
        <v>947</v>
      </c>
      <c r="AL81" s="1562"/>
      <c r="AM81" s="1544"/>
      <c r="AN81" s="1544" t="str">
        <f t="shared" si="1"/>
        <v>Группа потребителей</v>
      </c>
      <c r="AO81" s="1544"/>
      <c r="AP81" s="1544"/>
    </row>
    <row r="82" spans="1:42" s="1818" customFormat="1" ht="23.25" customHeight="1">
      <c r="A82" s="1284"/>
      <c r="B82" s="1284"/>
      <c r="C82" s="1284"/>
      <c r="D82" s="1284"/>
      <c r="E82" s="8884"/>
      <c r="F82" s="8884"/>
      <c r="G82" s="8884"/>
      <c r="H82" s="8884"/>
      <c r="I82" s="8904"/>
      <c r="J82" s="8904" t="str">
        <f>I76&amp;".1"</f>
        <v>3.1.1.1.1</v>
      </c>
      <c r="K82" s="8881" t="str">
        <f>J81&amp;".1"</f>
        <v>3.1.1.1.2.1</v>
      </c>
      <c r="L82" s="1290"/>
      <c r="M82" s="1696"/>
      <c r="N82" s="1696"/>
      <c r="O82" s="1696"/>
      <c r="P82" s="8882"/>
      <c r="Q82" s="8882"/>
      <c r="R82" s="278">
        <v>1</v>
      </c>
      <c r="S82" s="1810" t="str">
        <f>$K82</f>
        <v>3.1.1.1.2.1</v>
      </c>
      <c r="T82" s="1357" t="s">
        <v>964</v>
      </c>
      <c r="U82" s="214"/>
      <c r="V82" s="666"/>
      <c r="W82" s="666"/>
      <c r="X82" s="1181"/>
      <c r="Y82" s="8886"/>
      <c r="Z82" s="8734" t="s">
        <v>63</v>
      </c>
      <c r="AA82" s="8886"/>
      <c r="AB82" s="8734" t="s">
        <v>63</v>
      </c>
      <c r="AC82" s="666">
        <v>465.07</v>
      </c>
      <c r="AD82" s="666"/>
      <c r="AE82" s="1181"/>
      <c r="AF82" s="8886">
        <v>45292</v>
      </c>
      <c r="AG82" s="8734" t="s">
        <v>63</v>
      </c>
      <c r="AH82" s="8905">
        <v>45657</v>
      </c>
      <c r="AI82" s="8734" t="s">
        <v>63</v>
      </c>
      <c r="AJ82" s="1358"/>
      <c r="AK8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2" s="1562" t="e">
        <f ca="1">STRCHECKDATE(V83:AJ83)</f>
        <v>#NAME?</v>
      </c>
      <c r="AM82" s="1544"/>
      <c r="AN82" s="1544" t="str">
        <f t="shared" si="1"/>
        <v>Тариф, руб. за 1 куб. метр без НДС</v>
      </c>
      <c r="AO82" s="1544"/>
      <c r="AP82" s="1544"/>
    </row>
    <row r="83" spans="1:42" s="1818" customFormat="1" ht="14.25" customHeight="1">
      <c r="A83" s="1284"/>
      <c r="B83" s="1284"/>
      <c r="C83" s="1284"/>
      <c r="D83" s="1284"/>
      <c r="E83" s="8884"/>
      <c r="F83" s="8884"/>
      <c r="G83" s="8884"/>
      <c r="H83" s="8884"/>
      <c r="I83" s="8904"/>
      <c r="J83" s="8904" t="str">
        <f>I76&amp;".1"</f>
        <v>3.1.1.1.1</v>
      </c>
      <c r="K83" s="8881"/>
      <c r="L83" s="1290"/>
      <c r="M83" s="1696"/>
      <c r="N83" s="1696"/>
      <c r="O83" s="1696"/>
      <c r="P83" s="8882"/>
      <c r="Q83" s="8882"/>
      <c r="R83" s="278"/>
      <c r="S83" s="1815"/>
      <c r="T83" s="214"/>
      <c r="U83" s="214"/>
      <c r="V83" s="246"/>
      <c r="W83" s="246"/>
      <c r="X83" s="250" t="str">
        <f>Y82&amp;"-"&amp;AA82</f>
        <v>-</v>
      </c>
      <c r="Y83" s="8887"/>
      <c r="Z83" s="8734"/>
      <c r="AA83" s="8887"/>
      <c r="AB83" s="8734"/>
      <c r="AC83" s="246"/>
      <c r="AD83" s="246"/>
      <c r="AE83" s="250" t="str">
        <f>AF82&amp;"-"&amp;AH82</f>
        <v>45292-45657</v>
      </c>
      <c r="AF83" s="8887"/>
      <c r="AG83" s="8734"/>
      <c r="AH83" s="8906"/>
      <c r="AI83" s="8734"/>
      <c r="AJ83" s="1359"/>
      <c r="AK83" s="8941"/>
      <c r="AL83" s="1562"/>
      <c r="AM83" s="1544"/>
      <c r="AN83" s="1544" t="str">
        <f t="shared" si="1"/>
        <v/>
      </c>
      <c r="AO83" s="1544"/>
      <c r="AP83" s="1544"/>
    </row>
    <row r="84" spans="1:42" s="1818" customFormat="1" ht="21" customHeight="1">
      <c r="A84" s="1284"/>
      <c r="B84" s="1284"/>
      <c r="C84" s="1284"/>
      <c r="D84" s="1284"/>
      <c r="E84" s="8884"/>
      <c r="F84" s="8884"/>
      <c r="G84" s="8884"/>
      <c r="H84" s="8884"/>
      <c r="I84" s="8904"/>
      <c r="J84" s="8881" t="str">
        <f>I76&amp;".1"</f>
        <v>3.1.1.1.1</v>
      </c>
      <c r="K84" s="1284"/>
      <c r="L84" s="1290"/>
      <c r="M84" s="1696"/>
      <c r="N84" s="1696"/>
      <c r="O84" s="1696"/>
      <c r="P84" s="8882"/>
      <c r="Q84" s="8882"/>
      <c r="R84" s="277"/>
      <c r="S84" s="1965"/>
      <c r="T84" s="1966" t="s">
        <v>948</v>
      </c>
      <c r="U84" s="1967"/>
      <c r="V84" s="1968"/>
      <c r="W84" s="1969"/>
      <c r="X84" s="1970"/>
      <c r="Y84" s="1971"/>
      <c r="Z84" s="1972"/>
      <c r="AA84" s="1973"/>
      <c r="AB84" s="1974"/>
      <c r="AC84" s="1975"/>
      <c r="AD84" s="1976"/>
      <c r="AE84" s="1977"/>
      <c r="AF84" s="1978"/>
      <c r="AG84" s="1979"/>
      <c r="AH84" s="1980"/>
      <c r="AI84" s="1981"/>
      <c r="AJ84" s="1982"/>
      <c r="AK84" s="1182" t="s">
        <v>949</v>
      </c>
      <c r="AL84" s="1562"/>
      <c r="AM84" s="1544"/>
      <c r="AN84" s="1544" t="str">
        <f t="shared" si="1"/>
        <v>Добавить значение признака дифференциации</v>
      </c>
      <c r="AO84" s="1544"/>
      <c r="AP84" s="1544"/>
    </row>
    <row r="85" spans="1:42" s="1818" customFormat="1" ht="21" customHeight="1">
      <c r="A85" s="1284"/>
      <c r="B85" s="1284"/>
      <c r="C85" s="1284"/>
      <c r="D85" s="1284"/>
      <c r="E85" s="8884" t="s">
        <v>99</v>
      </c>
      <c r="F85" s="8884"/>
      <c r="G85" s="8884"/>
      <c r="H85" s="8884"/>
      <c r="I85" s="8881"/>
      <c r="J85" s="1284"/>
      <c r="K85" s="1284"/>
      <c r="L85" s="1290"/>
      <c r="M85" s="1696"/>
      <c r="N85" s="1696"/>
      <c r="O85" s="1696"/>
      <c r="P85" s="8882"/>
      <c r="Q85" s="1811"/>
      <c r="R85" s="277"/>
      <c r="S85" s="1983"/>
      <c r="T85" s="1984" t="s">
        <v>877</v>
      </c>
      <c r="U85" s="1985"/>
      <c r="V85" s="1986"/>
      <c r="W85" s="1987"/>
      <c r="X85" s="1988"/>
      <c r="Y85" s="1989"/>
      <c r="Z85" s="1990"/>
      <c r="AA85" s="1991"/>
      <c r="AB85" s="1992"/>
      <c r="AC85" s="1993"/>
      <c r="AD85" s="1994"/>
      <c r="AE85" s="1995"/>
      <c r="AF85" s="1996"/>
      <c r="AG85" s="1997"/>
      <c r="AH85" s="1998"/>
      <c r="AI85" s="1999"/>
      <c r="AJ85" s="2000"/>
      <c r="AK85" s="2001"/>
      <c r="AL85" s="1562"/>
      <c r="AM85" s="1544"/>
      <c r="AN85" s="1544" t="str">
        <f t="shared" si="1"/>
        <v>Добавить группу потребителей</v>
      </c>
      <c r="AO85" s="1544"/>
      <c r="AP85" s="1544"/>
    </row>
    <row r="86" spans="1:42" s="1818" customFormat="1" ht="21" customHeight="1">
      <c r="A86" s="1284"/>
      <c r="B86" s="1284"/>
      <c r="C86" s="1284"/>
      <c r="D86" s="1284"/>
      <c r="E86" s="8884" t="s">
        <v>99</v>
      </c>
      <c r="F86" s="8884"/>
      <c r="G86" s="8884"/>
      <c r="H86" s="8883"/>
      <c r="I86" s="1284"/>
      <c r="J86" s="1284"/>
      <c r="K86" s="1284"/>
      <c r="L86" s="1290"/>
      <c r="M86" s="1286"/>
      <c r="N86" s="1286"/>
      <c r="O86" s="1287"/>
      <c r="P86" s="1742"/>
      <c r="Q86" s="299"/>
      <c r="R86" s="276"/>
      <c r="S86" s="2002"/>
      <c r="T86" s="2003" t="s">
        <v>950</v>
      </c>
      <c r="U86" s="2004"/>
      <c r="V86" s="2005"/>
      <c r="W86" s="2006"/>
      <c r="X86" s="2007"/>
      <c r="Y86" s="2008"/>
      <c r="Z86" s="2009"/>
      <c r="AA86" s="2010"/>
      <c r="AB86" s="2011"/>
      <c r="AC86" s="2012"/>
      <c r="AD86" s="2013"/>
      <c r="AE86" s="2014"/>
      <c r="AF86" s="2015"/>
      <c r="AG86" s="2016"/>
      <c r="AH86" s="2017"/>
      <c r="AI86" s="2018"/>
      <c r="AJ86" s="2019"/>
      <c r="AK86" s="2020"/>
      <c r="AL86" s="1562"/>
      <c r="AM86" s="1544"/>
      <c r="AN86" s="1544" t="str">
        <f t="shared" si="1"/>
        <v>Добавить наименование признака дифференциации</v>
      </c>
      <c r="AO86" s="1544"/>
      <c r="AP86" s="1544"/>
    </row>
    <row r="87" spans="1:42" s="541" customFormat="1" ht="14.25" customHeight="1">
      <c r="A87" s="1265"/>
      <c r="B87" s="1265"/>
      <c r="C87" s="1265"/>
      <c r="D87" s="1265"/>
      <c r="E87" s="8884" t="s">
        <v>99</v>
      </c>
      <c r="F87" s="8883"/>
      <c r="G87" s="1265"/>
      <c r="H87" s="1265"/>
      <c r="I87" s="1265"/>
      <c r="J87" s="1265"/>
      <c r="K87" s="1265"/>
      <c r="L87" s="1466"/>
      <c r="M87" s="1244"/>
      <c r="N87" s="1244"/>
      <c r="O87" s="1562"/>
      <c r="P87" s="1239"/>
      <c r="Q87" s="1266"/>
      <c r="R87" s="1239"/>
      <c r="S87" s="1245"/>
      <c r="T87" s="1248" t="s">
        <v>314</v>
      </c>
      <c r="U87" s="1247"/>
      <c r="V87" s="1247"/>
      <c r="W87" s="1247"/>
      <c r="X87" s="1247"/>
      <c r="Y87" s="1247"/>
      <c r="Z87" s="1247"/>
      <c r="AA87" s="1247"/>
      <c r="AB87" s="1247"/>
      <c r="AC87" s="1247"/>
      <c r="AD87" s="1247"/>
      <c r="AE87" s="1247"/>
      <c r="AF87" s="1247"/>
      <c r="AG87" s="1247"/>
      <c r="AH87" s="1247"/>
      <c r="AI87" s="1247"/>
      <c r="AJ87" s="1247"/>
      <c r="AK87" s="1247"/>
      <c r="AL87" s="1562"/>
      <c r="AM87" s="1544"/>
      <c r="AN87" s="1544" t="str">
        <f t="shared" si="1"/>
        <v>Добавить централизованную систему для дифференциации</v>
      </c>
      <c r="AO87" s="1544"/>
      <c r="AP87" s="1544"/>
    </row>
    <row r="88" spans="1:42" s="541" customFormat="1" ht="14.25" customHeight="1">
      <c r="A88" s="1265"/>
      <c r="B88" s="1265"/>
      <c r="C88" s="1265"/>
      <c r="D88" s="1265"/>
      <c r="E88" s="8883" t="s">
        <v>99</v>
      </c>
      <c r="F88" s="1265"/>
      <c r="G88" s="1265"/>
      <c r="H88" s="1265"/>
      <c r="I88" s="1265"/>
      <c r="J88" s="1265"/>
      <c r="K88" s="1265"/>
      <c r="L88" s="1466"/>
      <c r="M88" s="1244"/>
      <c r="N88" s="1244"/>
      <c r="O88" s="1562"/>
      <c r="P88" s="1239"/>
      <c r="Q88" s="1266"/>
      <c r="R88" s="1239"/>
      <c r="S88" s="1245"/>
      <c r="T88" s="1248" t="s">
        <v>315</v>
      </c>
      <c r="U88" s="1247"/>
      <c r="V88" s="1247"/>
      <c r="W88" s="1247"/>
      <c r="X88" s="1247"/>
      <c r="Y88" s="1247"/>
      <c r="Z88" s="1247"/>
      <c r="AA88" s="1247"/>
      <c r="AB88" s="1247"/>
      <c r="AC88" s="1247"/>
      <c r="AD88" s="1247"/>
      <c r="AE88" s="1247"/>
      <c r="AF88" s="1247"/>
      <c r="AG88" s="1247"/>
      <c r="AH88" s="1247"/>
      <c r="AI88" s="1247"/>
      <c r="AJ88" s="1247"/>
      <c r="AK88" s="1247"/>
      <c r="AL88" s="1562"/>
      <c r="AM88" s="1544"/>
      <c r="AN88" s="1544" t="str">
        <f t="shared" si="1"/>
        <v>Добавить территорию для дифференциации</v>
      </c>
      <c r="AO88" s="1544"/>
      <c r="AP88" s="1544"/>
    </row>
    <row r="89" spans="1:42" s="1818" customFormat="1" ht="23.25" customHeight="1">
      <c r="A89" s="1284" t="s">
        <v>327</v>
      </c>
      <c r="B89" s="1284"/>
      <c r="C89" s="1284"/>
      <c r="D89" s="1284"/>
      <c r="E89" s="8883" t="s">
        <v>87</v>
      </c>
      <c r="F89" s="1284"/>
      <c r="G89" s="1284"/>
      <c r="H89" s="1284"/>
      <c r="I89" s="1284"/>
      <c r="J89" s="1284"/>
      <c r="K89" s="1284"/>
      <c r="L89" s="1290"/>
      <c r="M89" s="1286"/>
      <c r="N89" s="1286"/>
      <c r="O89" s="1286"/>
      <c r="P89" s="1812"/>
      <c r="Q89" s="1742"/>
      <c r="R89" s="276"/>
      <c r="S89" s="1810" t="str">
        <f>INDEX(PT_DIFFERENTIATION_NUM_NTAR,MATCH(A89,PT_DIFFERENTIATION_NTAR_ID,0))</f>
        <v>4</v>
      </c>
      <c r="T89" s="1440" t="s">
        <v>211</v>
      </c>
      <c r="U89" s="214"/>
      <c r="V89" s="8869"/>
      <c r="W89" s="8870"/>
      <c r="X89" s="8870"/>
      <c r="Y89" s="8870"/>
      <c r="Z89" s="8870"/>
      <c r="AA89" s="8870"/>
      <c r="AB89" s="8871"/>
      <c r="AC89" s="8869" t="str">
        <f>INDEX(PT_DIFFERENTIATION_NTAR,MATCH(A89,PT_DIFFERENTIATION_NTAR_ID,0))</f>
        <v>Подвоз воды потребителям села Киан-Подгорного</v>
      </c>
      <c r="AD89" s="8870"/>
      <c r="AE89" s="8870"/>
      <c r="AF89" s="8870"/>
      <c r="AG89" s="8870"/>
      <c r="AH89" s="8870"/>
      <c r="AI89" s="8870"/>
      <c r="AJ89" s="8871"/>
      <c r="AK8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89" s="1562"/>
      <c r="AM89" s="1544"/>
      <c r="AN89" s="1544" t="str">
        <f t="shared" si="1"/>
        <v>Наименование тарифа</v>
      </c>
      <c r="AO89" s="1544"/>
      <c r="AP89" s="1544"/>
    </row>
    <row r="90" spans="1:42" s="1818" customFormat="1" ht="23.25" customHeight="1">
      <c r="A90" s="1284"/>
      <c r="B90" s="1284" t="s">
        <v>328</v>
      </c>
      <c r="C90" s="1284"/>
      <c r="D90" s="1284"/>
      <c r="E90" s="8884" t="s">
        <v>86</v>
      </c>
      <c r="F90" s="8883">
        <v>1</v>
      </c>
      <c r="G90" s="1284"/>
      <c r="H90" s="1284"/>
      <c r="I90" s="1284"/>
      <c r="J90" s="1284"/>
      <c r="K90" s="1284"/>
      <c r="L90" s="1290"/>
      <c r="M90" s="1286"/>
      <c r="N90" s="1286"/>
      <c r="O90" s="1286"/>
      <c r="P90" s="1807"/>
      <c r="Q90" s="273"/>
      <c r="R90" s="274"/>
      <c r="S90" s="1810" t="str">
        <f>INDEX(PT_DIFFERENTIATION_NUM_TER,MATCH(B90,PT_DIFFERENTIATION_TER_ID,0))</f>
        <v>4.1</v>
      </c>
      <c r="T90" s="1437" t="s">
        <v>862</v>
      </c>
      <c r="U90" s="214"/>
      <c r="V90" s="8869"/>
      <c r="W90" s="8870"/>
      <c r="X90" s="8870"/>
      <c r="Y90" s="8870"/>
      <c r="Z90" s="8870"/>
      <c r="AA90" s="8870"/>
      <c r="AB90" s="8871"/>
      <c r="AC90" s="8869" t="str">
        <f>INDEX(PT_DIFFERENTIATION_TER,MATCH(B90,PT_DIFFERENTIATION_TER_ID,0))</f>
        <v>Территория 2</v>
      </c>
      <c r="AD90" s="8870"/>
      <c r="AE90" s="8870"/>
      <c r="AF90" s="8870"/>
      <c r="AG90" s="8870"/>
      <c r="AH90" s="8870"/>
      <c r="AI90" s="8870"/>
      <c r="AJ90" s="8871"/>
      <c r="AK90" s="1182" t="s">
        <v>863</v>
      </c>
      <c r="AL90" s="1562"/>
      <c r="AM90" s="1544"/>
      <c r="AN90" s="1544" t="str">
        <f t="shared" si="1"/>
        <v>Территория действия тарифа</v>
      </c>
      <c r="AO90" s="1544"/>
      <c r="AP90" s="1544"/>
    </row>
    <row r="91" spans="1:42" s="1818" customFormat="1" ht="23.25" customHeight="1">
      <c r="A91" s="1284"/>
      <c r="B91" s="1284"/>
      <c r="C91" s="1284" t="s">
        <v>329</v>
      </c>
      <c r="D91" s="1284"/>
      <c r="E91" s="8884" t="s">
        <v>86</v>
      </c>
      <c r="F91" s="8884"/>
      <c r="G91" s="8883">
        <v>1</v>
      </c>
      <c r="H91" s="1284"/>
      <c r="I91" s="1284"/>
      <c r="J91" s="1284"/>
      <c r="K91" s="1284"/>
      <c r="L91" s="1290"/>
      <c r="M91" s="1286"/>
      <c r="N91" s="1286"/>
      <c r="O91" s="1286"/>
      <c r="P91" s="275"/>
      <c r="Q91" s="273"/>
      <c r="R91" s="274"/>
      <c r="S91" s="1810" t="str">
        <f>INDEX(PT_DIFFERENTIATION_NUM_CS,MATCH(C91,PT_DIFFERENTIATION_CS_ID,0))</f>
        <v>4.1.1</v>
      </c>
      <c r="T91" s="225" t="s">
        <v>943</v>
      </c>
      <c r="U91" s="214"/>
      <c r="V91" s="8869"/>
      <c r="W91" s="8870"/>
      <c r="X91" s="8870"/>
      <c r="Y91" s="8870"/>
      <c r="Z91" s="8870"/>
      <c r="AA91" s="8870"/>
      <c r="AB91" s="8871"/>
      <c r="AC91" s="8869" t="str">
        <f>INDEX(PT_DIFFERENTIATION_CS,MATCH(C91,PT_DIFFERENTIATION_CS_ID,0))</f>
        <v>без дифференциации</v>
      </c>
      <c r="AD91" s="8870"/>
      <c r="AE91" s="8870"/>
      <c r="AF91" s="8870"/>
      <c r="AG91" s="8870"/>
      <c r="AH91" s="8870"/>
      <c r="AI91" s="8870"/>
      <c r="AJ91" s="8871"/>
      <c r="AK91" s="1182" t="s">
        <v>944</v>
      </c>
      <c r="AL91" s="1562"/>
      <c r="AM91" s="1544"/>
      <c r="AN91" s="1544" t="str">
        <f t="shared" si="1"/>
        <v>Наименование централизованной системы холодного водоснабжения</v>
      </c>
      <c r="AO91" s="1544"/>
      <c r="AP91" s="1544"/>
    </row>
    <row r="92" spans="1:42" s="1818" customFormat="1" ht="23.25" customHeight="1">
      <c r="A92" s="1284"/>
      <c r="B92" s="1284"/>
      <c r="C92" s="1284"/>
      <c r="D92" s="1284"/>
      <c r="E92" s="8884" t="s">
        <v>86</v>
      </c>
      <c r="F92" s="8884"/>
      <c r="G92" s="8884"/>
      <c r="H92" s="8884"/>
      <c r="I92" s="8881" t="str">
        <f>S91&amp;".1"</f>
        <v>4.1.1.1</v>
      </c>
      <c r="J92" s="1284"/>
      <c r="K92" s="1284"/>
      <c r="L92" s="1290"/>
      <c r="M92" s="1696"/>
      <c r="N92" s="1696"/>
      <c r="O92" s="1696"/>
      <c r="P92" s="8882">
        <v>1</v>
      </c>
      <c r="Q92" s="1811"/>
      <c r="R92" s="277"/>
      <c r="S92" s="1810" t="str">
        <f>$I92</f>
        <v>4.1.1.1</v>
      </c>
      <c r="T92" s="200" t="s">
        <v>945</v>
      </c>
      <c r="U92" s="214"/>
      <c r="V92" s="8942"/>
      <c r="W92" s="8943"/>
      <c r="X92" s="8943"/>
      <c r="Y92" s="8943"/>
      <c r="Z92" s="8943"/>
      <c r="AA92" s="8943"/>
      <c r="AB92" s="8944"/>
      <c r="AC92" s="8945"/>
      <c r="AD92" s="8946"/>
      <c r="AE92" s="8946"/>
      <c r="AF92" s="8946"/>
      <c r="AG92" s="8946"/>
      <c r="AH92" s="8946"/>
      <c r="AI92" s="8946"/>
      <c r="AJ92" s="8947"/>
      <c r="AK92" s="1182" t="s">
        <v>946</v>
      </c>
      <c r="AL92" s="1562"/>
      <c r="AM92" s="1544"/>
      <c r="AN92" s="1544" t="str">
        <f t="shared" si="1"/>
        <v>Наименование признака дифференциации</v>
      </c>
      <c r="AO92" s="1544"/>
      <c r="AP92" s="1544"/>
    </row>
    <row r="93" spans="1:42" s="1818" customFormat="1" ht="23.25" customHeight="1">
      <c r="A93" s="1284"/>
      <c r="B93" s="1284"/>
      <c r="C93" s="1284"/>
      <c r="D93" s="1284"/>
      <c r="E93" s="8884" t="s">
        <v>86</v>
      </c>
      <c r="F93" s="8884"/>
      <c r="G93" s="8884"/>
      <c r="H93" s="8884"/>
      <c r="I93" s="8904"/>
      <c r="J93" s="8881" t="str">
        <f>I92&amp;".1"</f>
        <v>4.1.1.1.1</v>
      </c>
      <c r="K93" s="1284"/>
      <c r="L93" s="1290" t="s">
        <v>871</v>
      </c>
      <c r="M93" s="1696"/>
      <c r="N93" s="1696"/>
      <c r="O93" s="1696"/>
      <c r="P93" s="8882"/>
      <c r="Q93" s="8882">
        <v>1</v>
      </c>
      <c r="R93" s="278"/>
      <c r="S93" s="1810" t="str">
        <f>$J93</f>
        <v>4.1.1.1.1</v>
      </c>
      <c r="T93" s="201" t="s">
        <v>872</v>
      </c>
      <c r="U93" s="214"/>
      <c r="V93" s="8872"/>
      <c r="W93" s="8873"/>
      <c r="X93" s="8873"/>
      <c r="Y93" s="8873"/>
      <c r="Z93" s="8873"/>
      <c r="AA93" s="8873"/>
      <c r="AB93" s="8874"/>
      <c r="AC93" s="8872" t="s">
        <v>961</v>
      </c>
      <c r="AD93" s="8873"/>
      <c r="AE93" s="8873"/>
      <c r="AF93" s="8873"/>
      <c r="AG93" s="8873"/>
      <c r="AH93" s="8873"/>
      <c r="AI93" s="8873"/>
      <c r="AJ93" s="8874"/>
      <c r="AK93" s="1231" t="s">
        <v>947</v>
      </c>
      <c r="AL93" s="1562"/>
      <c r="AM93" s="1544"/>
      <c r="AN93" s="1544" t="str">
        <f t="shared" si="1"/>
        <v>Группа потребителей</v>
      </c>
      <c r="AO93" s="1544"/>
      <c r="AP93" s="1544"/>
    </row>
    <row r="94" spans="1:42" s="1818" customFormat="1" ht="23.25" customHeight="1">
      <c r="A94" s="1284"/>
      <c r="B94" s="1284"/>
      <c r="C94" s="1284"/>
      <c r="D94" s="1284"/>
      <c r="E94" s="8884" t="s">
        <v>86</v>
      </c>
      <c r="F94" s="8884"/>
      <c r="G94" s="8884"/>
      <c r="H94" s="8884"/>
      <c r="I94" s="8904"/>
      <c r="J94" s="8904"/>
      <c r="K94" s="8881" t="str">
        <f>J93&amp;".1"</f>
        <v>4.1.1.1.1.1</v>
      </c>
      <c r="L94" s="1290"/>
      <c r="M94" s="1696"/>
      <c r="N94" s="1696"/>
      <c r="O94" s="1696"/>
      <c r="P94" s="8882"/>
      <c r="Q94" s="8882"/>
      <c r="R94" s="278">
        <v>1</v>
      </c>
      <c r="S94" s="1810" t="str">
        <f>$K94</f>
        <v>4.1.1.1.1.1</v>
      </c>
      <c r="T94" s="1357" t="s">
        <v>962</v>
      </c>
      <c r="U94" s="214"/>
      <c r="V94" s="666"/>
      <c r="W94" s="666"/>
      <c r="X94" s="1181"/>
      <c r="Y94" s="8886"/>
      <c r="Z94" s="8734" t="s">
        <v>63</v>
      </c>
      <c r="AA94" s="8886"/>
      <c r="AB94" s="8734" t="s">
        <v>63</v>
      </c>
      <c r="AC94" s="666">
        <v>531.04</v>
      </c>
      <c r="AD94" s="666"/>
      <c r="AE94" s="1181"/>
      <c r="AF94" s="8886">
        <v>45292</v>
      </c>
      <c r="AG94" s="8734" t="s">
        <v>63</v>
      </c>
      <c r="AH94" s="8905">
        <v>45657</v>
      </c>
      <c r="AI94" s="8734" t="s">
        <v>63</v>
      </c>
      <c r="AJ94" s="1358"/>
      <c r="AK9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4" s="1562" t="e">
        <f ca="1">STRCHECKDATE(V95:AJ95)</f>
        <v>#NAME?</v>
      </c>
      <c r="AM94" s="1544"/>
      <c r="AN94" s="1544" t="str">
        <f t="shared" si="1"/>
        <v>Тариф для населения, руб. за 1 куб. метр с НДС</v>
      </c>
      <c r="AO94" s="1544"/>
      <c r="AP94" s="1544"/>
    </row>
    <row r="95" spans="1:42" s="1818" customFormat="1" ht="14.25" customHeight="1">
      <c r="A95" s="1284"/>
      <c r="B95" s="1284"/>
      <c r="C95" s="1284"/>
      <c r="D95" s="1284"/>
      <c r="E95" s="8884" t="s">
        <v>86</v>
      </c>
      <c r="F95" s="8884"/>
      <c r="G95" s="8884"/>
      <c r="H95" s="8884"/>
      <c r="I95" s="8904"/>
      <c r="J95" s="8904"/>
      <c r="K95" s="8881"/>
      <c r="L95" s="1290"/>
      <c r="M95" s="1696"/>
      <c r="N95" s="1696"/>
      <c r="O95" s="1696"/>
      <c r="P95" s="8882"/>
      <c r="Q95" s="8882"/>
      <c r="R95" s="278"/>
      <c r="S95" s="1815"/>
      <c r="T95" s="214"/>
      <c r="U95" s="214"/>
      <c r="V95" s="246"/>
      <c r="W95" s="246"/>
      <c r="X95" s="250" t="str">
        <f>Y94&amp;"-"&amp;AA94</f>
        <v>-</v>
      </c>
      <c r="Y95" s="8887"/>
      <c r="Z95" s="8734"/>
      <c r="AA95" s="8887"/>
      <c r="AB95" s="8734"/>
      <c r="AC95" s="246"/>
      <c r="AD95" s="246"/>
      <c r="AE95" s="250" t="str">
        <f>AF94&amp;"-"&amp;AH94</f>
        <v>45292-45657</v>
      </c>
      <c r="AF95" s="8887"/>
      <c r="AG95" s="8734"/>
      <c r="AH95" s="8906"/>
      <c r="AI95" s="8734"/>
      <c r="AJ95" s="1359"/>
      <c r="AK95" s="8941"/>
      <c r="AL95" s="1562"/>
      <c r="AM95" s="1544"/>
      <c r="AN95" s="1544" t="str">
        <f t="shared" si="1"/>
        <v/>
      </c>
      <c r="AO95" s="1544"/>
      <c r="AP95" s="1544"/>
    </row>
    <row r="96" spans="1:42" s="1818" customFormat="1" ht="21" customHeight="1">
      <c r="A96" s="1284"/>
      <c r="B96" s="1284"/>
      <c r="C96" s="1284"/>
      <c r="D96" s="1284"/>
      <c r="E96" s="8884" t="s">
        <v>86</v>
      </c>
      <c r="F96" s="8884"/>
      <c r="G96" s="8884"/>
      <c r="H96" s="8884"/>
      <c r="I96" s="8904"/>
      <c r="J96" s="8881"/>
      <c r="K96" s="1284"/>
      <c r="L96" s="1290"/>
      <c r="M96" s="1696"/>
      <c r="N96" s="1696"/>
      <c r="O96" s="1696"/>
      <c r="P96" s="8882"/>
      <c r="Q96" s="8882"/>
      <c r="R96" s="277"/>
      <c r="S96" s="2021"/>
      <c r="T96" s="2022" t="s">
        <v>948</v>
      </c>
      <c r="U96" s="2023"/>
      <c r="V96" s="2024"/>
      <c r="W96" s="2025"/>
      <c r="X96" s="2026"/>
      <c r="Y96" s="2027"/>
      <c r="Z96" s="2028"/>
      <c r="AA96" s="2029"/>
      <c r="AB96" s="2030"/>
      <c r="AC96" s="2031"/>
      <c r="AD96" s="2032"/>
      <c r="AE96" s="2033"/>
      <c r="AF96" s="2034"/>
      <c r="AG96" s="2035"/>
      <c r="AH96" s="2036"/>
      <c r="AI96" s="2037"/>
      <c r="AJ96" s="2038"/>
      <c r="AK96" s="1182" t="s">
        <v>949</v>
      </c>
      <c r="AL96" s="1562"/>
      <c r="AM96" s="1544"/>
      <c r="AN96" s="1544" t="str">
        <f t="shared" si="1"/>
        <v>Добавить значение признака дифференциации</v>
      </c>
      <c r="AO96" s="1544"/>
      <c r="AP96" s="1544"/>
    </row>
    <row r="97" spans="1:42" s="1818" customFormat="1" ht="23.25" customHeight="1">
      <c r="A97" s="1284"/>
      <c r="B97" s="1284"/>
      <c r="C97" s="1284"/>
      <c r="D97" s="1284"/>
      <c r="E97" s="8884"/>
      <c r="F97" s="8884"/>
      <c r="G97" s="8884"/>
      <c r="H97" s="8884"/>
      <c r="I97" s="8904"/>
      <c r="J97" s="8881" t="str">
        <f>I92&amp;".2"</f>
        <v>4.1.1.1.2</v>
      </c>
      <c r="K97" s="1284"/>
      <c r="L97" s="1290" t="s">
        <v>871</v>
      </c>
      <c r="M97" s="1696"/>
      <c r="N97" s="1696"/>
      <c r="O97" s="1696"/>
      <c r="P97" s="8882"/>
      <c r="Q97" s="8948" t="s">
        <v>100</v>
      </c>
      <c r="R97" s="278"/>
      <c r="S97" s="1810" t="str">
        <f>$J97</f>
        <v>4.1.1.1.2</v>
      </c>
      <c r="T97" s="201" t="s">
        <v>872</v>
      </c>
      <c r="U97" s="214"/>
      <c r="V97" s="8872"/>
      <c r="W97" s="8873"/>
      <c r="X97" s="8873"/>
      <c r="Y97" s="8873"/>
      <c r="Z97" s="8873"/>
      <c r="AA97" s="8873"/>
      <c r="AB97" s="8874"/>
      <c r="AC97" s="8872" t="s">
        <v>963</v>
      </c>
      <c r="AD97" s="8873"/>
      <c r="AE97" s="8873"/>
      <c r="AF97" s="8873"/>
      <c r="AG97" s="8873"/>
      <c r="AH97" s="8873"/>
      <c r="AI97" s="8873"/>
      <c r="AJ97" s="8874"/>
      <c r="AK97" s="1231" t="s">
        <v>947</v>
      </c>
      <c r="AL97" s="1562"/>
      <c r="AM97" s="1544"/>
      <c r="AN97" s="1544" t="str">
        <f t="shared" si="1"/>
        <v>Группа потребителей</v>
      </c>
      <c r="AO97" s="1544"/>
      <c r="AP97" s="1544"/>
    </row>
    <row r="98" spans="1:42" s="1818" customFormat="1" ht="23.25" customHeight="1">
      <c r="A98" s="1284"/>
      <c r="B98" s="1284"/>
      <c r="C98" s="1284"/>
      <c r="D98" s="1284"/>
      <c r="E98" s="8884"/>
      <c r="F98" s="8884"/>
      <c r="G98" s="8884"/>
      <c r="H98" s="8884"/>
      <c r="I98" s="8904"/>
      <c r="J98" s="8904" t="str">
        <f>I92&amp;".1"</f>
        <v>4.1.1.1.1</v>
      </c>
      <c r="K98" s="8881" t="str">
        <f>J97&amp;".1"</f>
        <v>4.1.1.1.2.1</v>
      </c>
      <c r="L98" s="1290"/>
      <c r="M98" s="1696"/>
      <c r="N98" s="1696"/>
      <c r="O98" s="1696"/>
      <c r="P98" s="8882"/>
      <c r="Q98" s="8882"/>
      <c r="R98" s="278">
        <v>1</v>
      </c>
      <c r="S98" s="1810" t="str">
        <f>$K98</f>
        <v>4.1.1.1.2.1</v>
      </c>
      <c r="T98" s="1357" t="s">
        <v>964</v>
      </c>
      <c r="U98" s="214"/>
      <c r="V98" s="666"/>
      <c r="W98" s="666"/>
      <c r="X98" s="1181"/>
      <c r="Y98" s="8886"/>
      <c r="Z98" s="8734" t="s">
        <v>63</v>
      </c>
      <c r="AA98" s="8886"/>
      <c r="AB98" s="8734" t="s">
        <v>63</v>
      </c>
      <c r="AC98" s="666">
        <v>442.53</v>
      </c>
      <c r="AD98" s="666"/>
      <c r="AE98" s="1181"/>
      <c r="AF98" s="8886">
        <v>45292</v>
      </c>
      <c r="AG98" s="8734" t="s">
        <v>63</v>
      </c>
      <c r="AH98" s="8905">
        <v>45657</v>
      </c>
      <c r="AI98" s="8734" t="s">
        <v>63</v>
      </c>
      <c r="AJ98" s="1358"/>
      <c r="AK9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8" s="1562" t="e">
        <f ca="1">STRCHECKDATE(V99:AJ99)</f>
        <v>#NAME?</v>
      </c>
      <c r="AM98" s="1544"/>
      <c r="AN98" s="1544" t="str">
        <f t="shared" si="1"/>
        <v>Тариф, руб. за 1 куб. метр без НДС</v>
      </c>
      <c r="AO98" s="1544"/>
      <c r="AP98" s="1544"/>
    </row>
    <row r="99" spans="1:42" s="1818" customFormat="1" ht="14.25" customHeight="1">
      <c r="A99" s="1284"/>
      <c r="B99" s="1284"/>
      <c r="C99" s="1284"/>
      <c r="D99" s="1284"/>
      <c r="E99" s="8884"/>
      <c r="F99" s="8884"/>
      <c r="G99" s="8884"/>
      <c r="H99" s="8884"/>
      <c r="I99" s="8904"/>
      <c r="J99" s="8904" t="str">
        <f>I92&amp;".1"</f>
        <v>4.1.1.1.1</v>
      </c>
      <c r="K99" s="8881"/>
      <c r="L99" s="1290"/>
      <c r="M99" s="1696"/>
      <c r="N99" s="1696"/>
      <c r="O99" s="1696"/>
      <c r="P99" s="8882"/>
      <c r="Q99" s="8882"/>
      <c r="R99" s="278"/>
      <c r="S99" s="1815"/>
      <c r="T99" s="214"/>
      <c r="U99" s="214"/>
      <c r="V99" s="246"/>
      <c r="W99" s="246"/>
      <c r="X99" s="250" t="str">
        <f>Y98&amp;"-"&amp;AA98</f>
        <v>-</v>
      </c>
      <c r="Y99" s="8887"/>
      <c r="Z99" s="8734"/>
      <c r="AA99" s="8887"/>
      <c r="AB99" s="8734"/>
      <c r="AC99" s="246"/>
      <c r="AD99" s="246"/>
      <c r="AE99" s="250" t="str">
        <f>AF98&amp;"-"&amp;AH98</f>
        <v>45292-45657</v>
      </c>
      <c r="AF99" s="8887"/>
      <c r="AG99" s="8734"/>
      <c r="AH99" s="8906"/>
      <c r="AI99" s="8734"/>
      <c r="AJ99" s="1359"/>
      <c r="AK99" s="8941"/>
      <c r="AL99" s="1562"/>
      <c r="AM99" s="1544"/>
      <c r="AN99" s="1544" t="str">
        <f t="shared" si="1"/>
        <v/>
      </c>
      <c r="AO99" s="1544"/>
      <c r="AP99" s="1544"/>
    </row>
    <row r="100" spans="1:42" s="1818" customFormat="1" ht="21" customHeight="1">
      <c r="A100" s="1284"/>
      <c r="B100" s="1284"/>
      <c r="C100" s="1284"/>
      <c r="D100" s="1284"/>
      <c r="E100" s="8884"/>
      <c r="F100" s="8884"/>
      <c r="G100" s="8884"/>
      <c r="H100" s="8884"/>
      <c r="I100" s="8904"/>
      <c r="J100" s="8881" t="str">
        <f>I92&amp;".1"</f>
        <v>4.1.1.1.1</v>
      </c>
      <c r="K100" s="1284"/>
      <c r="L100" s="1290"/>
      <c r="M100" s="1696"/>
      <c r="N100" s="1696"/>
      <c r="O100" s="1696"/>
      <c r="P100" s="8882"/>
      <c r="Q100" s="8882"/>
      <c r="R100" s="277"/>
      <c r="S100" s="2039"/>
      <c r="T100" s="2040" t="s">
        <v>948</v>
      </c>
      <c r="U100" s="2041"/>
      <c r="V100" s="2042"/>
      <c r="W100" s="2043"/>
      <c r="X100" s="2044"/>
      <c r="Y100" s="2045"/>
      <c r="Z100" s="2046"/>
      <c r="AA100" s="2047"/>
      <c r="AB100" s="2048"/>
      <c r="AC100" s="2049"/>
      <c r="AD100" s="2050"/>
      <c r="AE100" s="2051"/>
      <c r="AF100" s="2052"/>
      <c r="AG100" s="2053"/>
      <c r="AH100" s="2054"/>
      <c r="AI100" s="2055"/>
      <c r="AJ100" s="2056"/>
      <c r="AK100" s="1182" t="s">
        <v>949</v>
      </c>
      <c r="AL100" s="1562"/>
      <c r="AM100" s="1544"/>
      <c r="AN100" s="1544" t="str">
        <f t="shared" si="1"/>
        <v>Добавить значение признака дифференциации</v>
      </c>
      <c r="AO100" s="1544"/>
      <c r="AP100" s="1544"/>
    </row>
    <row r="101" spans="1:42" s="1818" customFormat="1" ht="21" customHeight="1">
      <c r="A101" s="1284"/>
      <c r="B101" s="1284"/>
      <c r="C101" s="1284"/>
      <c r="D101" s="1284"/>
      <c r="E101" s="8884" t="s">
        <v>86</v>
      </c>
      <c r="F101" s="8884"/>
      <c r="G101" s="8884"/>
      <c r="H101" s="8884"/>
      <c r="I101" s="8881"/>
      <c r="J101" s="1284"/>
      <c r="K101" s="1284"/>
      <c r="L101" s="1290"/>
      <c r="M101" s="1696"/>
      <c r="N101" s="1696"/>
      <c r="O101" s="1696"/>
      <c r="P101" s="8882"/>
      <c r="Q101" s="1811"/>
      <c r="R101" s="277"/>
      <c r="S101" s="2057"/>
      <c r="T101" s="2058" t="s">
        <v>877</v>
      </c>
      <c r="U101" s="2059"/>
      <c r="V101" s="2060"/>
      <c r="W101" s="2061"/>
      <c r="X101" s="2062"/>
      <c r="Y101" s="2063"/>
      <c r="Z101" s="2064"/>
      <c r="AA101" s="2065"/>
      <c r="AB101" s="2066"/>
      <c r="AC101" s="2067"/>
      <c r="AD101" s="2068"/>
      <c r="AE101" s="2069"/>
      <c r="AF101" s="2070"/>
      <c r="AG101" s="2071"/>
      <c r="AH101" s="2072"/>
      <c r="AI101" s="2073"/>
      <c r="AJ101" s="2074"/>
      <c r="AK101" s="2075"/>
      <c r="AL101" s="1562"/>
      <c r="AM101" s="1544"/>
      <c r="AN101" s="1544" t="str">
        <f t="shared" si="1"/>
        <v>Добавить группу потребителей</v>
      </c>
      <c r="AO101" s="1544"/>
      <c r="AP101" s="1544"/>
    </row>
    <row r="102" spans="1:42" s="1818" customFormat="1" ht="21" customHeight="1">
      <c r="A102" s="1284"/>
      <c r="B102" s="1284"/>
      <c r="C102" s="1284"/>
      <c r="D102" s="1284"/>
      <c r="E102" s="8884" t="s">
        <v>86</v>
      </c>
      <c r="F102" s="8884"/>
      <c r="G102" s="8884"/>
      <c r="H102" s="8883"/>
      <c r="I102" s="1284"/>
      <c r="J102" s="1284"/>
      <c r="K102" s="1284"/>
      <c r="L102" s="1290"/>
      <c r="M102" s="1286"/>
      <c r="N102" s="1286"/>
      <c r="O102" s="1287"/>
      <c r="P102" s="1742"/>
      <c r="Q102" s="299"/>
      <c r="R102" s="276"/>
      <c r="S102" s="2076"/>
      <c r="T102" s="2077" t="s">
        <v>950</v>
      </c>
      <c r="U102" s="2078"/>
      <c r="V102" s="2079"/>
      <c r="W102" s="2080"/>
      <c r="X102" s="2081"/>
      <c r="Y102" s="2082"/>
      <c r="Z102" s="2083"/>
      <c r="AA102" s="2084"/>
      <c r="AB102" s="2085"/>
      <c r="AC102" s="2086"/>
      <c r="AD102" s="2087"/>
      <c r="AE102" s="2088"/>
      <c r="AF102" s="2089"/>
      <c r="AG102" s="2090"/>
      <c r="AH102" s="2091"/>
      <c r="AI102" s="2092"/>
      <c r="AJ102" s="2093"/>
      <c r="AK102" s="2094"/>
      <c r="AL102" s="1562"/>
      <c r="AM102" s="1544"/>
      <c r="AN102" s="1544" t="str">
        <f t="shared" si="1"/>
        <v>Добавить наименование признака дифференциации</v>
      </c>
      <c r="AO102" s="1544"/>
      <c r="AP102" s="1544"/>
    </row>
    <row r="103" spans="1:42" s="541" customFormat="1" ht="14.25" customHeight="1">
      <c r="A103" s="1265"/>
      <c r="B103" s="1265"/>
      <c r="C103" s="1265"/>
      <c r="D103" s="1265"/>
      <c r="E103" s="8884" t="s">
        <v>86</v>
      </c>
      <c r="F103" s="8883"/>
      <c r="G103" s="1265"/>
      <c r="H103" s="1265"/>
      <c r="I103" s="1265"/>
      <c r="J103" s="1265"/>
      <c r="K103" s="1265"/>
      <c r="L103" s="1466"/>
      <c r="M103" s="1244"/>
      <c r="N103" s="1244"/>
      <c r="O103" s="1562"/>
      <c r="P103" s="1239"/>
      <c r="Q103" s="1266"/>
      <c r="R103" s="1239"/>
      <c r="S103" s="1245"/>
      <c r="T103" s="1248" t="s">
        <v>314</v>
      </c>
      <c r="U103" s="1247"/>
      <c r="V103" s="1247"/>
      <c r="W103" s="1247"/>
      <c r="X103" s="1247"/>
      <c r="Y103" s="1247"/>
      <c r="Z103" s="1247"/>
      <c r="AA103" s="1247"/>
      <c r="AB103" s="1247"/>
      <c r="AC103" s="1247"/>
      <c r="AD103" s="1247"/>
      <c r="AE103" s="1247"/>
      <c r="AF103" s="1247"/>
      <c r="AG103" s="1247"/>
      <c r="AH103" s="1247"/>
      <c r="AI103" s="1247"/>
      <c r="AJ103" s="1247"/>
      <c r="AK103" s="1247"/>
      <c r="AL103" s="1562"/>
      <c r="AM103" s="1544"/>
      <c r="AN103" s="1544" t="str">
        <f t="shared" si="1"/>
        <v>Добавить централизованную систему для дифференциации</v>
      </c>
      <c r="AO103" s="1544"/>
      <c r="AP103" s="1544"/>
    </row>
    <row r="104" spans="1:42" s="541" customFormat="1" ht="14.25" customHeight="1">
      <c r="A104" s="1265"/>
      <c r="B104" s="1265"/>
      <c r="C104" s="1265"/>
      <c r="D104" s="1265"/>
      <c r="E104" s="8883" t="s">
        <v>86</v>
      </c>
      <c r="F104" s="1265"/>
      <c r="G104" s="1265"/>
      <c r="H104" s="1265"/>
      <c r="I104" s="1265"/>
      <c r="J104" s="1265"/>
      <c r="K104" s="1265"/>
      <c r="L104" s="1466"/>
      <c r="M104" s="1244"/>
      <c r="N104" s="1244"/>
      <c r="O104" s="1562"/>
      <c r="P104" s="1239"/>
      <c r="Q104" s="1266"/>
      <c r="R104" s="1239"/>
      <c r="S104" s="1245"/>
      <c r="T104" s="1248" t="s">
        <v>315</v>
      </c>
      <c r="U104" s="1247"/>
      <c r="V104" s="1247"/>
      <c r="W104" s="1247"/>
      <c r="X104" s="1247"/>
      <c r="Y104" s="1247"/>
      <c r="Z104" s="1247"/>
      <c r="AA104" s="1247"/>
      <c r="AB104" s="1247"/>
      <c r="AC104" s="1247"/>
      <c r="AD104" s="1247"/>
      <c r="AE104" s="1247"/>
      <c r="AF104" s="1247"/>
      <c r="AG104" s="1247"/>
      <c r="AH104" s="1247"/>
      <c r="AI104" s="1247"/>
      <c r="AJ104" s="1247"/>
      <c r="AK104" s="1247"/>
      <c r="AL104" s="1562"/>
      <c r="AM104" s="1544"/>
      <c r="AN104" s="1544" t="str">
        <f t="shared" si="1"/>
        <v>Добавить территорию для дифференциации</v>
      </c>
      <c r="AO104" s="1544"/>
      <c r="AP104" s="1544"/>
    </row>
    <row r="105" spans="1:42" s="1818" customFormat="1" ht="23.25" customHeight="1">
      <c r="A105" s="1284" t="s">
        <v>332</v>
      </c>
      <c r="B105" s="1284"/>
      <c r="C105" s="1284"/>
      <c r="D105" s="1284"/>
      <c r="E105" s="8883" t="s">
        <v>113</v>
      </c>
      <c r="F105" s="1284"/>
      <c r="G105" s="1284"/>
      <c r="H105" s="1284"/>
      <c r="I105" s="1284"/>
      <c r="J105" s="1284"/>
      <c r="K105" s="1284"/>
      <c r="L105" s="1290"/>
      <c r="M105" s="1286"/>
      <c r="N105" s="1286"/>
      <c r="O105" s="1286"/>
      <c r="P105" s="1812"/>
      <c r="Q105" s="1742"/>
      <c r="R105" s="276"/>
      <c r="S105" s="1810" t="str">
        <f>INDEX(PT_DIFFERENTIATION_NUM_NTAR,MATCH(A105,PT_DIFFERENTIATION_NTAR_ID,0))</f>
        <v>5</v>
      </c>
      <c r="T105" s="1440" t="s">
        <v>211</v>
      </c>
      <c r="U105" s="214"/>
      <c r="V105" s="8869"/>
      <c r="W105" s="8870"/>
      <c r="X105" s="8870"/>
      <c r="Y105" s="8870"/>
      <c r="Z105" s="8870"/>
      <c r="AA105" s="8870"/>
      <c r="AB105" s="8871"/>
      <c r="AC105" s="8869" t="str">
        <f>INDEX(PT_DIFFERENTIATION_NTAR,MATCH(A105,PT_DIFFERENTIATION_NTAR_ID,0))</f>
        <v>Подвоз воды потребителям села Водораздел</v>
      </c>
      <c r="AD105" s="8870"/>
      <c r="AE105" s="8870"/>
      <c r="AF105" s="8870"/>
      <c r="AG105" s="8870"/>
      <c r="AH105" s="8870"/>
      <c r="AI105" s="8870"/>
      <c r="AJ105" s="8871"/>
      <c r="AK10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05" s="1562"/>
      <c r="AM105" s="1544"/>
      <c r="AN105" s="1544" t="str">
        <f t="shared" ref="AN105:AN168" si="2">IF(T105="","",T105)</f>
        <v>Наименование тарифа</v>
      </c>
      <c r="AO105" s="1544"/>
      <c r="AP105" s="1544"/>
    </row>
    <row r="106" spans="1:42" s="1818" customFormat="1" ht="23.25" customHeight="1">
      <c r="A106" s="1284"/>
      <c r="B106" s="1284" t="s">
        <v>333</v>
      </c>
      <c r="C106" s="1284"/>
      <c r="D106" s="1284"/>
      <c r="E106" s="8884" t="s">
        <v>87</v>
      </c>
      <c r="F106" s="8883">
        <v>1</v>
      </c>
      <c r="G106" s="1284"/>
      <c r="H106" s="1284"/>
      <c r="I106" s="1284"/>
      <c r="J106" s="1284"/>
      <c r="K106" s="1284"/>
      <c r="L106" s="1290"/>
      <c r="M106" s="1286"/>
      <c r="N106" s="1286"/>
      <c r="O106" s="1286"/>
      <c r="P106" s="1807"/>
      <c r="Q106" s="273"/>
      <c r="R106" s="274"/>
      <c r="S106" s="1810" t="str">
        <f>INDEX(PT_DIFFERENTIATION_NUM_TER,MATCH(B106,PT_DIFFERENTIATION_TER_ID,0))</f>
        <v>5.1</v>
      </c>
      <c r="T106" s="1437" t="s">
        <v>862</v>
      </c>
      <c r="U106" s="214"/>
      <c r="V106" s="8869"/>
      <c r="W106" s="8870"/>
      <c r="X106" s="8870"/>
      <c r="Y106" s="8870"/>
      <c r="Z106" s="8870"/>
      <c r="AA106" s="8870"/>
      <c r="AB106" s="8871"/>
      <c r="AC106" s="8869" t="str">
        <f>INDEX(PT_DIFFERENTIATION_TER,MATCH(B106,PT_DIFFERENTIATION_TER_ID,0))</f>
        <v>Территория 2</v>
      </c>
      <c r="AD106" s="8870"/>
      <c r="AE106" s="8870"/>
      <c r="AF106" s="8870"/>
      <c r="AG106" s="8870"/>
      <c r="AH106" s="8870"/>
      <c r="AI106" s="8870"/>
      <c r="AJ106" s="8871"/>
      <c r="AK106" s="1182" t="s">
        <v>863</v>
      </c>
      <c r="AL106" s="1562"/>
      <c r="AM106" s="1544"/>
      <c r="AN106" s="1544" t="str">
        <f t="shared" si="2"/>
        <v>Территория действия тарифа</v>
      </c>
      <c r="AO106" s="1544"/>
      <c r="AP106" s="1544"/>
    </row>
    <row r="107" spans="1:42" s="1818" customFormat="1" ht="23.25" customHeight="1">
      <c r="A107" s="1284"/>
      <c r="B107" s="1284"/>
      <c r="C107" s="1284" t="s">
        <v>334</v>
      </c>
      <c r="D107" s="1284"/>
      <c r="E107" s="8884" t="s">
        <v>87</v>
      </c>
      <c r="F107" s="8884"/>
      <c r="G107" s="8883">
        <v>1</v>
      </c>
      <c r="H107" s="1284"/>
      <c r="I107" s="1284"/>
      <c r="J107" s="1284"/>
      <c r="K107" s="1284"/>
      <c r="L107" s="1290"/>
      <c r="M107" s="1286"/>
      <c r="N107" s="1286"/>
      <c r="O107" s="1286"/>
      <c r="P107" s="275"/>
      <c r="Q107" s="273"/>
      <c r="R107" s="274"/>
      <c r="S107" s="1810" t="str">
        <f>INDEX(PT_DIFFERENTIATION_NUM_CS,MATCH(C107,PT_DIFFERENTIATION_CS_ID,0))</f>
        <v>5.1.1</v>
      </c>
      <c r="T107" s="225" t="s">
        <v>943</v>
      </c>
      <c r="U107" s="214"/>
      <c r="V107" s="8869"/>
      <c r="W107" s="8870"/>
      <c r="X107" s="8870"/>
      <c r="Y107" s="8870"/>
      <c r="Z107" s="8870"/>
      <c r="AA107" s="8870"/>
      <c r="AB107" s="8871"/>
      <c r="AC107" s="8869" t="str">
        <f>INDEX(PT_DIFFERENTIATION_CS,MATCH(C107,PT_DIFFERENTIATION_CS_ID,0))</f>
        <v>без дифференциации</v>
      </c>
      <c r="AD107" s="8870"/>
      <c r="AE107" s="8870"/>
      <c r="AF107" s="8870"/>
      <c r="AG107" s="8870"/>
      <c r="AH107" s="8870"/>
      <c r="AI107" s="8870"/>
      <c r="AJ107" s="8871"/>
      <c r="AK107" s="1182" t="s">
        <v>944</v>
      </c>
      <c r="AL107" s="1562"/>
      <c r="AM107" s="1544"/>
      <c r="AN107" s="1544" t="str">
        <f t="shared" si="2"/>
        <v>Наименование централизованной системы холодного водоснабжения</v>
      </c>
      <c r="AO107" s="1544"/>
      <c r="AP107" s="1544"/>
    </row>
    <row r="108" spans="1:42" s="1818" customFormat="1" ht="23.25" customHeight="1">
      <c r="A108" s="1284"/>
      <c r="B108" s="1284"/>
      <c r="C108" s="1284"/>
      <c r="D108" s="1284"/>
      <c r="E108" s="8884" t="s">
        <v>87</v>
      </c>
      <c r="F108" s="8884"/>
      <c r="G108" s="8884"/>
      <c r="H108" s="8884"/>
      <c r="I108" s="8881" t="str">
        <f>S107&amp;".1"</f>
        <v>5.1.1.1</v>
      </c>
      <c r="J108" s="1284"/>
      <c r="K108" s="1284"/>
      <c r="L108" s="1290"/>
      <c r="M108" s="1696"/>
      <c r="N108" s="1696"/>
      <c r="O108" s="1696"/>
      <c r="P108" s="8882">
        <v>1</v>
      </c>
      <c r="Q108" s="1811"/>
      <c r="R108" s="277"/>
      <c r="S108" s="1810" t="str">
        <f>$I108</f>
        <v>5.1.1.1</v>
      </c>
      <c r="T108" s="200" t="s">
        <v>945</v>
      </c>
      <c r="U108" s="214"/>
      <c r="V108" s="8942"/>
      <c r="W108" s="8943"/>
      <c r="X108" s="8943"/>
      <c r="Y108" s="8943"/>
      <c r="Z108" s="8943"/>
      <c r="AA108" s="8943"/>
      <c r="AB108" s="8944"/>
      <c r="AC108" s="8945"/>
      <c r="AD108" s="8946"/>
      <c r="AE108" s="8946"/>
      <c r="AF108" s="8946"/>
      <c r="AG108" s="8946"/>
      <c r="AH108" s="8946"/>
      <c r="AI108" s="8946"/>
      <c r="AJ108" s="8947"/>
      <c r="AK108" s="1182" t="s">
        <v>946</v>
      </c>
      <c r="AL108" s="1562"/>
      <c r="AM108" s="1544"/>
      <c r="AN108" s="1544" t="str">
        <f t="shared" si="2"/>
        <v>Наименование признака дифференциации</v>
      </c>
      <c r="AO108" s="1544"/>
      <c r="AP108" s="1544"/>
    </row>
    <row r="109" spans="1:42" s="1818" customFormat="1" ht="23.25" customHeight="1">
      <c r="A109" s="1284"/>
      <c r="B109" s="1284"/>
      <c r="C109" s="1284"/>
      <c r="D109" s="1284"/>
      <c r="E109" s="8884" t="s">
        <v>87</v>
      </c>
      <c r="F109" s="8884"/>
      <c r="G109" s="8884"/>
      <c r="H109" s="8884"/>
      <c r="I109" s="8904"/>
      <c r="J109" s="8881" t="str">
        <f>I108&amp;".1"</f>
        <v>5.1.1.1.1</v>
      </c>
      <c r="K109" s="1284"/>
      <c r="L109" s="1290" t="s">
        <v>871</v>
      </c>
      <c r="M109" s="1696"/>
      <c r="N109" s="1696"/>
      <c r="O109" s="1696"/>
      <c r="P109" s="8882"/>
      <c r="Q109" s="8882">
        <v>1</v>
      </c>
      <c r="R109" s="278"/>
      <c r="S109" s="1810" t="str">
        <f>$J109</f>
        <v>5.1.1.1.1</v>
      </c>
      <c r="T109" s="201" t="s">
        <v>872</v>
      </c>
      <c r="U109" s="214"/>
      <c r="V109" s="8872"/>
      <c r="W109" s="8873"/>
      <c r="X109" s="8873"/>
      <c r="Y109" s="8873"/>
      <c r="Z109" s="8873"/>
      <c r="AA109" s="8873"/>
      <c r="AB109" s="8874"/>
      <c r="AC109" s="8872" t="s">
        <v>961</v>
      </c>
      <c r="AD109" s="8873"/>
      <c r="AE109" s="8873"/>
      <c r="AF109" s="8873"/>
      <c r="AG109" s="8873"/>
      <c r="AH109" s="8873"/>
      <c r="AI109" s="8873"/>
      <c r="AJ109" s="8874"/>
      <c r="AK109" s="1231" t="s">
        <v>947</v>
      </c>
      <c r="AL109" s="1562"/>
      <c r="AM109" s="1544"/>
      <c r="AN109" s="1544" t="str">
        <f t="shared" si="2"/>
        <v>Группа потребителей</v>
      </c>
      <c r="AO109" s="1544"/>
      <c r="AP109" s="1544"/>
    </row>
    <row r="110" spans="1:42" s="1818" customFormat="1" ht="23.25" customHeight="1">
      <c r="A110" s="1284"/>
      <c r="B110" s="1284"/>
      <c r="C110" s="1284"/>
      <c r="D110" s="1284"/>
      <c r="E110" s="8884" t="s">
        <v>87</v>
      </c>
      <c r="F110" s="8884"/>
      <c r="G110" s="8884"/>
      <c r="H110" s="8884"/>
      <c r="I110" s="8904"/>
      <c r="J110" s="8904"/>
      <c r="K110" s="8881" t="str">
        <f>J109&amp;".1"</f>
        <v>5.1.1.1.1.1</v>
      </c>
      <c r="L110" s="1290"/>
      <c r="M110" s="1696"/>
      <c r="N110" s="1696"/>
      <c r="O110" s="1696"/>
      <c r="P110" s="8882"/>
      <c r="Q110" s="8882"/>
      <c r="R110" s="278">
        <v>1</v>
      </c>
      <c r="S110" s="1810" t="str">
        <f>$K110</f>
        <v>5.1.1.1.1.1</v>
      </c>
      <c r="T110" s="1357" t="s">
        <v>962</v>
      </c>
      <c r="U110" s="214"/>
      <c r="V110" s="666"/>
      <c r="W110" s="666"/>
      <c r="X110" s="1181"/>
      <c r="Y110" s="8886"/>
      <c r="Z110" s="8734" t="s">
        <v>63</v>
      </c>
      <c r="AA110" s="8886"/>
      <c r="AB110" s="8734" t="s">
        <v>63</v>
      </c>
      <c r="AC110" s="666">
        <v>453.68</v>
      </c>
      <c r="AD110" s="666"/>
      <c r="AE110" s="1181"/>
      <c r="AF110" s="8886">
        <v>45292</v>
      </c>
      <c r="AG110" s="8734" t="s">
        <v>63</v>
      </c>
      <c r="AH110" s="8905">
        <v>45657</v>
      </c>
      <c r="AI110" s="8734" t="s">
        <v>63</v>
      </c>
      <c r="AJ110" s="1358"/>
      <c r="AK11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0" s="1562" t="e">
        <f ca="1">STRCHECKDATE(V111:AJ111)</f>
        <v>#NAME?</v>
      </c>
      <c r="AM110" s="1544"/>
      <c r="AN110" s="1544" t="str">
        <f t="shared" si="2"/>
        <v>Тариф для населения, руб. за 1 куб. метр с НДС</v>
      </c>
      <c r="AO110" s="1544"/>
      <c r="AP110" s="1544"/>
    </row>
    <row r="111" spans="1:42" s="1818" customFormat="1" ht="14.25" customHeight="1">
      <c r="A111" s="1284"/>
      <c r="B111" s="1284"/>
      <c r="C111" s="1284"/>
      <c r="D111" s="1284"/>
      <c r="E111" s="8884" t="s">
        <v>87</v>
      </c>
      <c r="F111" s="8884"/>
      <c r="G111" s="8884"/>
      <c r="H111" s="8884"/>
      <c r="I111" s="8904"/>
      <c r="J111" s="8904"/>
      <c r="K111" s="8881"/>
      <c r="L111" s="1290"/>
      <c r="M111" s="1696"/>
      <c r="N111" s="1696"/>
      <c r="O111" s="1696"/>
      <c r="P111" s="8882"/>
      <c r="Q111" s="8882"/>
      <c r="R111" s="278"/>
      <c r="S111" s="1815"/>
      <c r="T111" s="214"/>
      <c r="U111" s="214"/>
      <c r="V111" s="246"/>
      <c r="W111" s="246"/>
      <c r="X111" s="250" t="str">
        <f>Y110&amp;"-"&amp;AA110</f>
        <v>-</v>
      </c>
      <c r="Y111" s="8887"/>
      <c r="Z111" s="8734"/>
      <c r="AA111" s="8887"/>
      <c r="AB111" s="8734"/>
      <c r="AC111" s="246"/>
      <c r="AD111" s="246"/>
      <c r="AE111" s="250" t="str">
        <f>AF110&amp;"-"&amp;AH110</f>
        <v>45292-45657</v>
      </c>
      <c r="AF111" s="8887"/>
      <c r="AG111" s="8734"/>
      <c r="AH111" s="8906"/>
      <c r="AI111" s="8734"/>
      <c r="AJ111" s="1359"/>
      <c r="AK111" s="8941"/>
      <c r="AL111" s="1562"/>
      <c r="AM111" s="1544"/>
      <c r="AN111" s="1544" t="str">
        <f t="shared" si="2"/>
        <v/>
      </c>
      <c r="AO111" s="1544"/>
      <c r="AP111" s="1544"/>
    </row>
    <row r="112" spans="1:42" s="1818" customFormat="1" ht="21" customHeight="1">
      <c r="A112" s="1284"/>
      <c r="B112" s="1284"/>
      <c r="C112" s="1284"/>
      <c r="D112" s="1284"/>
      <c r="E112" s="8884" t="s">
        <v>87</v>
      </c>
      <c r="F112" s="8884"/>
      <c r="G112" s="8884"/>
      <c r="H112" s="8884"/>
      <c r="I112" s="8904"/>
      <c r="J112" s="8881"/>
      <c r="K112" s="1284"/>
      <c r="L112" s="1290"/>
      <c r="M112" s="1696"/>
      <c r="N112" s="1696"/>
      <c r="O112" s="1696"/>
      <c r="P112" s="8882"/>
      <c r="Q112" s="8882"/>
      <c r="R112" s="277"/>
      <c r="S112" s="2095"/>
      <c r="T112" s="2096" t="s">
        <v>948</v>
      </c>
      <c r="U112" s="2097"/>
      <c r="V112" s="2098"/>
      <c r="W112" s="2099"/>
      <c r="X112" s="2100"/>
      <c r="Y112" s="2101"/>
      <c r="Z112" s="2102"/>
      <c r="AA112" s="2103"/>
      <c r="AB112" s="2104"/>
      <c r="AC112" s="2105"/>
      <c r="AD112" s="2106"/>
      <c r="AE112" s="2107"/>
      <c r="AF112" s="2108"/>
      <c r="AG112" s="2109"/>
      <c r="AH112" s="2110"/>
      <c r="AI112" s="2111"/>
      <c r="AJ112" s="2112"/>
      <c r="AK112" s="1182" t="s">
        <v>949</v>
      </c>
      <c r="AL112" s="1562"/>
      <c r="AM112" s="1544"/>
      <c r="AN112" s="1544" t="str">
        <f t="shared" si="2"/>
        <v>Добавить значение признака дифференциации</v>
      </c>
      <c r="AO112" s="1544"/>
      <c r="AP112" s="1544"/>
    </row>
    <row r="113" spans="1:42" s="1818" customFormat="1" ht="23.25" customHeight="1">
      <c r="A113" s="1284"/>
      <c r="B113" s="1284"/>
      <c r="C113" s="1284"/>
      <c r="D113" s="1284"/>
      <c r="E113" s="8884"/>
      <c r="F113" s="8884"/>
      <c r="G113" s="8884"/>
      <c r="H113" s="8884"/>
      <c r="I113" s="8904"/>
      <c r="J113" s="8881" t="str">
        <f>I108&amp;".2"</f>
        <v>5.1.1.1.2</v>
      </c>
      <c r="K113" s="1284"/>
      <c r="L113" s="1290" t="s">
        <v>871</v>
      </c>
      <c r="M113" s="1696"/>
      <c r="N113" s="1696"/>
      <c r="O113" s="1696"/>
      <c r="P113" s="8882"/>
      <c r="Q113" s="8948" t="s">
        <v>100</v>
      </c>
      <c r="R113" s="278"/>
      <c r="S113" s="1810" t="str">
        <f>$J113</f>
        <v>5.1.1.1.2</v>
      </c>
      <c r="T113" s="201" t="s">
        <v>872</v>
      </c>
      <c r="U113" s="214"/>
      <c r="V113" s="8872"/>
      <c r="W113" s="8873"/>
      <c r="X113" s="8873"/>
      <c r="Y113" s="8873"/>
      <c r="Z113" s="8873"/>
      <c r="AA113" s="8873"/>
      <c r="AB113" s="8874"/>
      <c r="AC113" s="8872" t="s">
        <v>963</v>
      </c>
      <c r="AD113" s="8873"/>
      <c r="AE113" s="8873"/>
      <c r="AF113" s="8873"/>
      <c r="AG113" s="8873"/>
      <c r="AH113" s="8873"/>
      <c r="AI113" s="8873"/>
      <c r="AJ113" s="8874"/>
      <c r="AK113" s="1231" t="s">
        <v>947</v>
      </c>
      <c r="AL113" s="1562"/>
      <c r="AM113" s="1544"/>
      <c r="AN113" s="1544" t="str">
        <f t="shared" si="2"/>
        <v>Группа потребителей</v>
      </c>
      <c r="AO113" s="1544"/>
      <c r="AP113" s="1544"/>
    </row>
    <row r="114" spans="1:42" s="1818" customFormat="1" ht="23.25" customHeight="1">
      <c r="A114" s="1284"/>
      <c r="B114" s="1284"/>
      <c r="C114" s="1284"/>
      <c r="D114" s="1284"/>
      <c r="E114" s="8884"/>
      <c r="F114" s="8884"/>
      <c r="G114" s="8884"/>
      <c r="H114" s="8884"/>
      <c r="I114" s="8904"/>
      <c r="J114" s="8904" t="str">
        <f>I108&amp;".1"</f>
        <v>5.1.1.1.1</v>
      </c>
      <c r="K114" s="8881" t="str">
        <f>J113&amp;".1"</f>
        <v>5.1.1.1.2.1</v>
      </c>
      <c r="L114" s="1290"/>
      <c r="M114" s="1696"/>
      <c r="N114" s="1696"/>
      <c r="O114" s="1696"/>
      <c r="P114" s="8882"/>
      <c r="Q114" s="8882"/>
      <c r="R114" s="278">
        <v>1</v>
      </c>
      <c r="S114" s="1810" t="str">
        <f>$K114</f>
        <v>5.1.1.1.2.1</v>
      </c>
      <c r="T114" s="1357" t="s">
        <v>964</v>
      </c>
      <c r="U114" s="214"/>
      <c r="V114" s="666"/>
      <c r="W114" s="666"/>
      <c r="X114" s="1181"/>
      <c r="Y114" s="8886"/>
      <c r="Z114" s="8734" t="s">
        <v>63</v>
      </c>
      <c r="AA114" s="8886"/>
      <c r="AB114" s="8734" t="s">
        <v>63</v>
      </c>
      <c r="AC114" s="666">
        <v>378.07</v>
      </c>
      <c r="AD114" s="666"/>
      <c r="AE114" s="1181"/>
      <c r="AF114" s="8886">
        <v>45292</v>
      </c>
      <c r="AG114" s="8734" t="s">
        <v>63</v>
      </c>
      <c r="AH114" s="8905">
        <v>45657</v>
      </c>
      <c r="AI114" s="8734" t="s">
        <v>63</v>
      </c>
      <c r="AJ114" s="1358"/>
      <c r="AK11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4" s="1562" t="e">
        <f ca="1">STRCHECKDATE(V115:AJ115)</f>
        <v>#NAME?</v>
      </c>
      <c r="AM114" s="1544"/>
      <c r="AN114" s="1544" t="str">
        <f t="shared" si="2"/>
        <v>Тариф, руб. за 1 куб. метр без НДС</v>
      </c>
      <c r="AO114" s="1544"/>
      <c r="AP114" s="1544"/>
    </row>
    <row r="115" spans="1:42" s="1818" customFormat="1" ht="14.25" customHeight="1">
      <c r="A115" s="1284"/>
      <c r="B115" s="1284"/>
      <c r="C115" s="1284"/>
      <c r="D115" s="1284"/>
      <c r="E115" s="8884"/>
      <c r="F115" s="8884"/>
      <c r="G115" s="8884"/>
      <c r="H115" s="8884"/>
      <c r="I115" s="8904"/>
      <c r="J115" s="8904" t="str">
        <f>I108&amp;".1"</f>
        <v>5.1.1.1.1</v>
      </c>
      <c r="K115" s="8881"/>
      <c r="L115" s="1290"/>
      <c r="M115" s="1696"/>
      <c r="N115" s="1696"/>
      <c r="O115" s="1696"/>
      <c r="P115" s="8882"/>
      <c r="Q115" s="8882"/>
      <c r="R115" s="278"/>
      <c r="S115" s="1815"/>
      <c r="T115" s="214"/>
      <c r="U115" s="214"/>
      <c r="V115" s="246"/>
      <c r="W115" s="246"/>
      <c r="X115" s="250" t="str">
        <f>Y114&amp;"-"&amp;AA114</f>
        <v>-</v>
      </c>
      <c r="Y115" s="8887"/>
      <c r="Z115" s="8734"/>
      <c r="AA115" s="8887"/>
      <c r="AB115" s="8734"/>
      <c r="AC115" s="246"/>
      <c r="AD115" s="246"/>
      <c r="AE115" s="250" t="str">
        <f>AF114&amp;"-"&amp;AH114</f>
        <v>45292-45657</v>
      </c>
      <c r="AF115" s="8887"/>
      <c r="AG115" s="8734"/>
      <c r="AH115" s="8906"/>
      <c r="AI115" s="8734"/>
      <c r="AJ115" s="1359"/>
      <c r="AK115" s="8941"/>
      <c r="AL115" s="1562"/>
      <c r="AM115" s="1544"/>
      <c r="AN115" s="1544" t="str">
        <f t="shared" si="2"/>
        <v/>
      </c>
      <c r="AO115" s="1544"/>
      <c r="AP115" s="1544"/>
    </row>
    <row r="116" spans="1:42" s="1818" customFormat="1" ht="21" customHeight="1">
      <c r="A116" s="1284"/>
      <c r="B116" s="1284"/>
      <c r="C116" s="1284"/>
      <c r="D116" s="1284"/>
      <c r="E116" s="8884"/>
      <c r="F116" s="8884"/>
      <c r="G116" s="8884"/>
      <c r="H116" s="8884"/>
      <c r="I116" s="8904"/>
      <c r="J116" s="8881" t="str">
        <f>I108&amp;".1"</f>
        <v>5.1.1.1.1</v>
      </c>
      <c r="K116" s="1284"/>
      <c r="L116" s="1290"/>
      <c r="M116" s="1696"/>
      <c r="N116" s="1696"/>
      <c r="O116" s="1696"/>
      <c r="P116" s="8882"/>
      <c r="Q116" s="8882"/>
      <c r="R116" s="277"/>
      <c r="S116" s="2113"/>
      <c r="T116" s="2114" t="s">
        <v>948</v>
      </c>
      <c r="U116" s="2115"/>
      <c r="V116" s="2116"/>
      <c r="W116" s="2117"/>
      <c r="X116" s="2118"/>
      <c r="Y116" s="2119"/>
      <c r="Z116" s="2120"/>
      <c r="AA116" s="2121"/>
      <c r="AB116" s="2122"/>
      <c r="AC116" s="2123"/>
      <c r="AD116" s="2124"/>
      <c r="AE116" s="2125"/>
      <c r="AF116" s="2126"/>
      <c r="AG116" s="2127"/>
      <c r="AH116" s="2128"/>
      <c r="AI116" s="2129"/>
      <c r="AJ116" s="2130"/>
      <c r="AK116" s="1182" t="s">
        <v>949</v>
      </c>
      <c r="AL116" s="1562"/>
      <c r="AM116" s="1544"/>
      <c r="AN116" s="1544" t="str">
        <f t="shared" si="2"/>
        <v>Добавить значение признака дифференциации</v>
      </c>
      <c r="AO116" s="1544"/>
      <c r="AP116" s="1544"/>
    </row>
    <row r="117" spans="1:42" s="1818" customFormat="1" ht="21" customHeight="1">
      <c r="A117" s="1284"/>
      <c r="B117" s="1284"/>
      <c r="C117" s="1284"/>
      <c r="D117" s="1284"/>
      <c r="E117" s="8884" t="s">
        <v>87</v>
      </c>
      <c r="F117" s="8884"/>
      <c r="G117" s="8884"/>
      <c r="H117" s="8884"/>
      <c r="I117" s="8881"/>
      <c r="J117" s="1284"/>
      <c r="K117" s="1284"/>
      <c r="L117" s="1290"/>
      <c r="M117" s="1696"/>
      <c r="N117" s="1696"/>
      <c r="O117" s="1696"/>
      <c r="P117" s="8882"/>
      <c r="Q117" s="1811"/>
      <c r="R117" s="277"/>
      <c r="S117" s="2131"/>
      <c r="T117" s="2132" t="s">
        <v>877</v>
      </c>
      <c r="U117" s="2133"/>
      <c r="V117" s="2134"/>
      <c r="W117" s="2135"/>
      <c r="X117" s="2136"/>
      <c r="Y117" s="2137"/>
      <c r="Z117" s="2138"/>
      <c r="AA117" s="2139"/>
      <c r="AB117" s="2140"/>
      <c r="AC117" s="2141"/>
      <c r="AD117" s="2142"/>
      <c r="AE117" s="2143"/>
      <c r="AF117" s="2144"/>
      <c r="AG117" s="2145"/>
      <c r="AH117" s="2146"/>
      <c r="AI117" s="2147"/>
      <c r="AJ117" s="2148"/>
      <c r="AK117" s="2149"/>
      <c r="AL117" s="1562"/>
      <c r="AM117" s="1544"/>
      <c r="AN117" s="1544" t="str">
        <f t="shared" si="2"/>
        <v>Добавить группу потребителей</v>
      </c>
      <c r="AO117" s="1544"/>
      <c r="AP117" s="1544"/>
    </row>
    <row r="118" spans="1:42" s="1818" customFormat="1" ht="21" customHeight="1">
      <c r="A118" s="1284"/>
      <c r="B118" s="1284"/>
      <c r="C118" s="1284"/>
      <c r="D118" s="1284"/>
      <c r="E118" s="8884" t="s">
        <v>87</v>
      </c>
      <c r="F118" s="8884"/>
      <c r="G118" s="8884"/>
      <c r="H118" s="8883"/>
      <c r="I118" s="1284"/>
      <c r="J118" s="1284"/>
      <c r="K118" s="1284"/>
      <c r="L118" s="1290"/>
      <c r="M118" s="1286"/>
      <c r="N118" s="1286"/>
      <c r="O118" s="1287"/>
      <c r="P118" s="1742"/>
      <c r="Q118" s="299"/>
      <c r="R118" s="276"/>
      <c r="S118" s="2150"/>
      <c r="T118" s="2151" t="s">
        <v>950</v>
      </c>
      <c r="U118" s="2152"/>
      <c r="V118" s="2153"/>
      <c r="W118" s="2154"/>
      <c r="X118" s="2155"/>
      <c r="Y118" s="2156"/>
      <c r="Z118" s="2157"/>
      <c r="AA118" s="2158"/>
      <c r="AB118" s="2159"/>
      <c r="AC118" s="2160"/>
      <c r="AD118" s="2161"/>
      <c r="AE118" s="2162"/>
      <c r="AF118" s="2163"/>
      <c r="AG118" s="2164"/>
      <c r="AH118" s="2165"/>
      <c r="AI118" s="2166"/>
      <c r="AJ118" s="2167"/>
      <c r="AK118" s="2168"/>
      <c r="AL118" s="1562"/>
      <c r="AM118" s="1544"/>
      <c r="AN118" s="1544" t="str">
        <f t="shared" si="2"/>
        <v>Добавить наименование признака дифференциации</v>
      </c>
      <c r="AO118" s="1544"/>
      <c r="AP118" s="1544"/>
    </row>
    <row r="119" spans="1:42" s="541" customFormat="1" ht="14.25" customHeight="1">
      <c r="A119" s="1265"/>
      <c r="B119" s="1265"/>
      <c r="C119" s="1265"/>
      <c r="D119" s="1265"/>
      <c r="E119" s="8884" t="s">
        <v>87</v>
      </c>
      <c r="F119" s="8883"/>
      <c r="G119" s="1265"/>
      <c r="H119" s="1265"/>
      <c r="I119" s="1265"/>
      <c r="J119" s="1265"/>
      <c r="K119" s="1265"/>
      <c r="L119" s="1466"/>
      <c r="M119" s="1244"/>
      <c r="N119" s="1244"/>
      <c r="O119" s="1562"/>
      <c r="P119" s="1239"/>
      <c r="Q119" s="1266"/>
      <c r="R119" s="1239"/>
      <c r="S119" s="1245"/>
      <c r="T119" s="1248" t="s">
        <v>314</v>
      </c>
      <c r="U119" s="1247"/>
      <c r="V119" s="1247"/>
      <c r="W119" s="1247"/>
      <c r="X119" s="1247"/>
      <c r="Y119" s="1247"/>
      <c r="Z119" s="1247"/>
      <c r="AA119" s="1247"/>
      <c r="AB119" s="1247"/>
      <c r="AC119" s="1247"/>
      <c r="AD119" s="1247"/>
      <c r="AE119" s="1247"/>
      <c r="AF119" s="1247"/>
      <c r="AG119" s="1247"/>
      <c r="AH119" s="1247"/>
      <c r="AI119" s="1247"/>
      <c r="AJ119" s="1247"/>
      <c r="AK119" s="1247"/>
      <c r="AL119" s="1562"/>
      <c r="AM119" s="1544"/>
      <c r="AN119" s="1544" t="str">
        <f t="shared" si="2"/>
        <v>Добавить централизованную систему для дифференциации</v>
      </c>
      <c r="AO119" s="1544"/>
      <c r="AP119" s="1544"/>
    </row>
    <row r="120" spans="1:42" s="541" customFormat="1" ht="14.25" customHeight="1">
      <c r="A120" s="1265"/>
      <c r="B120" s="1265"/>
      <c r="C120" s="1265"/>
      <c r="D120" s="1265"/>
      <c r="E120" s="8883" t="s">
        <v>87</v>
      </c>
      <c r="F120" s="1265"/>
      <c r="G120" s="1265"/>
      <c r="H120" s="1265"/>
      <c r="I120" s="1265"/>
      <c r="J120" s="1265"/>
      <c r="K120" s="1265"/>
      <c r="L120" s="1466"/>
      <c r="M120" s="1244"/>
      <c r="N120" s="1244"/>
      <c r="O120" s="1562"/>
      <c r="P120" s="1239"/>
      <c r="Q120" s="1266"/>
      <c r="R120" s="1239"/>
      <c r="S120" s="1245"/>
      <c r="T120" s="1248" t="s">
        <v>315</v>
      </c>
      <c r="U120" s="1247"/>
      <c r="V120" s="1247"/>
      <c r="W120" s="1247"/>
      <c r="X120" s="1247"/>
      <c r="Y120" s="1247"/>
      <c r="Z120" s="1247"/>
      <c r="AA120" s="1247"/>
      <c r="AB120" s="1247"/>
      <c r="AC120" s="1247"/>
      <c r="AD120" s="1247"/>
      <c r="AE120" s="1247"/>
      <c r="AF120" s="1247"/>
      <c r="AG120" s="1247"/>
      <c r="AH120" s="1247"/>
      <c r="AI120" s="1247"/>
      <c r="AJ120" s="1247"/>
      <c r="AK120" s="1247"/>
      <c r="AL120" s="1562"/>
      <c r="AM120" s="1544"/>
      <c r="AN120" s="1544" t="str">
        <f t="shared" si="2"/>
        <v>Добавить территорию для дифференциации</v>
      </c>
      <c r="AO120" s="1544"/>
      <c r="AP120" s="1544"/>
    </row>
    <row r="121" spans="1:42" s="1818" customFormat="1" ht="23.25" customHeight="1">
      <c r="A121" s="1284" t="s">
        <v>337</v>
      </c>
      <c r="B121" s="1284"/>
      <c r="C121" s="1284"/>
      <c r="D121" s="1284"/>
      <c r="E121" s="8883" t="s">
        <v>88</v>
      </c>
      <c r="F121" s="1284"/>
      <c r="G121" s="1284"/>
      <c r="H121" s="1284"/>
      <c r="I121" s="1284"/>
      <c r="J121" s="1284"/>
      <c r="K121" s="1284"/>
      <c r="L121" s="1290"/>
      <c r="M121" s="1286"/>
      <c r="N121" s="1286"/>
      <c r="O121" s="1286"/>
      <c r="P121" s="1812"/>
      <c r="Q121" s="1742"/>
      <c r="R121" s="276"/>
      <c r="S121" s="1810" t="str">
        <f>INDEX(PT_DIFFERENTIATION_NUM_NTAR,MATCH(A121,PT_DIFFERENTIATION_NTAR_ID,0))</f>
        <v>6</v>
      </c>
      <c r="T121" s="1440" t="s">
        <v>211</v>
      </c>
      <c r="U121" s="214"/>
      <c r="V121" s="8869"/>
      <c r="W121" s="8870"/>
      <c r="X121" s="8870"/>
      <c r="Y121" s="8870"/>
      <c r="Z121" s="8870"/>
      <c r="AA121" s="8870"/>
      <c r="AB121" s="8871"/>
      <c r="AC121" s="8869" t="str">
        <f>INDEX(PT_DIFFERENTIATION_NTAR,MATCH(A121,PT_DIFFERENTIATION_NTAR_ID,0))</f>
        <v>Подвоз воды потребителям хутора Павловка</v>
      </c>
      <c r="AD121" s="8870"/>
      <c r="AE121" s="8870"/>
      <c r="AF121" s="8870"/>
      <c r="AG121" s="8870"/>
      <c r="AH121" s="8870"/>
      <c r="AI121" s="8870"/>
      <c r="AJ121" s="8871"/>
      <c r="AK12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21" s="1562"/>
      <c r="AM121" s="1544"/>
      <c r="AN121" s="1544" t="str">
        <f t="shared" si="2"/>
        <v>Наименование тарифа</v>
      </c>
      <c r="AO121" s="1544"/>
      <c r="AP121" s="1544"/>
    </row>
    <row r="122" spans="1:42" s="1818" customFormat="1" ht="23.25" customHeight="1">
      <c r="A122" s="1284"/>
      <c r="B122" s="1284" t="s">
        <v>338</v>
      </c>
      <c r="C122" s="1284"/>
      <c r="D122" s="1284"/>
      <c r="E122" s="8884" t="s">
        <v>113</v>
      </c>
      <c r="F122" s="8883">
        <v>1</v>
      </c>
      <c r="G122" s="1284"/>
      <c r="H122" s="1284"/>
      <c r="I122" s="1284"/>
      <c r="J122" s="1284"/>
      <c r="K122" s="1284"/>
      <c r="L122" s="1290"/>
      <c r="M122" s="1286"/>
      <c r="N122" s="1286"/>
      <c r="O122" s="1286"/>
      <c r="P122" s="1807"/>
      <c r="Q122" s="273"/>
      <c r="R122" s="274"/>
      <c r="S122" s="1810" t="str">
        <f>INDEX(PT_DIFFERENTIATION_NUM_TER,MATCH(B122,PT_DIFFERENTIATION_TER_ID,0))</f>
        <v>6.1</v>
      </c>
      <c r="T122" s="1437" t="s">
        <v>862</v>
      </c>
      <c r="U122" s="214"/>
      <c r="V122" s="8869"/>
      <c r="W122" s="8870"/>
      <c r="X122" s="8870"/>
      <c r="Y122" s="8870"/>
      <c r="Z122" s="8870"/>
      <c r="AA122" s="8870"/>
      <c r="AB122" s="8871"/>
      <c r="AC122" s="8869" t="str">
        <f>INDEX(PT_DIFFERENTIATION_TER,MATCH(B122,PT_DIFFERENTIATION_TER_ID,0))</f>
        <v>Территория 2</v>
      </c>
      <c r="AD122" s="8870"/>
      <c r="AE122" s="8870"/>
      <c r="AF122" s="8870"/>
      <c r="AG122" s="8870"/>
      <c r="AH122" s="8870"/>
      <c r="AI122" s="8870"/>
      <c r="AJ122" s="8871"/>
      <c r="AK122" s="1182" t="s">
        <v>863</v>
      </c>
      <c r="AL122" s="1562"/>
      <c r="AM122" s="1544"/>
      <c r="AN122" s="1544" t="str">
        <f t="shared" si="2"/>
        <v>Территория действия тарифа</v>
      </c>
      <c r="AO122" s="1544"/>
      <c r="AP122" s="1544"/>
    </row>
    <row r="123" spans="1:42" s="1818" customFormat="1" ht="23.25" customHeight="1">
      <c r="A123" s="1284"/>
      <c r="B123" s="1284"/>
      <c r="C123" s="1284" t="s">
        <v>339</v>
      </c>
      <c r="D123" s="1284"/>
      <c r="E123" s="8884" t="s">
        <v>113</v>
      </c>
      <c r="F123" s="8884"/>
      <c r="G123" s="8883">
        <v>1</v>
      </c>
      <c r="H123" s="1284"/>
      <c r="I123" s="1284"/>
      <c r="J123" s="1284"/>
      <c r="K123" s="1284"/>
      <c r="L123" s="1290"/>
      <c r="M123" s="1286"/>
      <c r="N123" s="1286"/>
      <c r="O123" s="1286"/>
      <c r="P123" s="275"/>
      <c r="Q123" s="273"/>
      <c r="R123" s="274"/>
      <c r="S123" s="1810" t="str">
        <f>INDEX(PT_DIFFERENTIATION_NUM_CS,MATCH(C123,PT_DIFFERENTIATION_CS_ID,0))</f>
        <v>6.1.1</v>
      </c>
      <c r="T123" s="225" t="s">
        <v>943</v>
      </c>
      <c r="U123" s="214"/>
      <c r="V123" s="8869"/>
      <c r="W123" s="8870"/>
      <c r="X123" s="8870"/>
      <c r="Y123" s="8870"/>
      <c r="Z123" s="8870"/>
      <c r="AA123" s="8870"/>
      <c r="AB123" s="8871"/>
      <c r="AC123" s="8869" t="str">
        <f>INDEX(PT_DIFFERENTIATION_CS,MATCH(C123,PT_DIFFERENTIATION_CS_ID,0))</f>
        <v>без дифференциации</v>
      </c>
      <c r="AD123" s="8870"/>
      <c r="AE123" s="8870"/>
      <c r="AF123" s="8870"/>
      <c r="AG123" s="8870"/>
      <c r="AH123" s="8870"/>
      <c r="AI123" s="8870"/>
      <c r="AJ123" s="8871"/>
      <c r="AK123" s="1182" t="s">
        <v>944</v>
      </c>
      <c r="AL123" s="1562"/>
      <c r="AM123" s="1544"/>
      <c r="AN123" s="1544" t="str">
        <f t="shared" si="2"/>
        <v>Наименование централизованной системы холодного водоснабжения</v>
      </c>
      <c r="AO123" s="1544"/>
      <c r="AP123" s="1544"/>
    </row>
    <row r="124" spans="1:42" s="1818" customFormat="1" ht="23.25" customHeight="1">
      <c r="A124" s="1284"/>
      <c r="B124" s="1284"/>
      <c r="C124" s="1284"/>
      <c r="D124" s="1284"/>
      <c r="E124" s="8884" t="s">
        <v>113</v>
      </c>
      <c r="F124" s="8884"/>
      <c r="G124" s="8884"/>
      <c r="H124" s="8884"/>
      <c r="I124" s="8881" t="str">
        <f>S123&amp;".1"</f>
        <v>6.1.1.1</v>
      </c>
      <c r="J124" s="1284"/>
      <c r="K124" s="1284"/>
      <c r="L124" s="1290"/>
      <c r="M124" s="1696"/>
      <c r="N124" s="1696"/>
      <c r="O124" s="1696"/>
      <c r="P124" s="8882">
        <v>1</v>
      </c>
      <c r="Q124" s="1811"/>
      <c r="R124" s="277"/>
      <c r="S124" s="1810" t="str">
        <f>$I124</f>
        <v>6.1.1.1</v>
      </c>
      <c r="T124" s="200" t="s">
        <v>945</v>
      </c>
      <c r="U124" s="214"/>
      <c r="V124" s="8942"/>
      <c r="W124" s="8943"/>
      <c r="X124" s="8943"/>
      <c r="Y124" s="8943"/>
      <c r="Z124" s="8943"/>
      <c r="AA124" s="8943"/>
      <c r="AB124" s="8944"/>
      <c r="AC124" s="8945"/>
      <c r="AD124" s="8946"/>
      <c r="AE124" s="8946"/>
      <c r="AF124" s="8946"/>
      <c r="AG124" s="8946"/>
      <c r="AH124" s="8946"/>
      <c r="AI124" s="8946"/>
      <c r="AJ124" s="8947"/>
      <c r="AK124" s="1182" t="s">
        <v>946</v>
      </c>
      <c r="AL124" s="1562"/>
      <c r="AM124" s="1544"/>
      <c r="AN124" s="1544" t="str">
        <f t="shared" si="2"/>
        <v>Наименование признака дифференциации</v>
      </c>
      <c r="AO124" s="1544"/>
      <c r="AP124" s="1544"/>
    </row>
    <row r="125" spans="1:42" s="1818" customFormat="1" ht="23.25" customHeight="1">
      <c r="A125" s="1284"/>
      <c r="B125" s="1284"/>
      <c r="C125" s="1284"/>
      <c r="D125" s="1284"/>
      <c r="E125" s="8884" t="s">
        <v>113</v>
      </c>
      <c r="F125" s="8884"/>
      <c r="G125" s="8884"/>
      <c r="H125" s="8884"/>
      <c r="I125" s="8904"/>
      <c r="J125" s="8881" t="str">
        <f>I124&amp;".1"</f>
        <v>6.1.1.1.1</v>
      </c>
      <c r="K125" s="1284"/>
      <c r="L125" s="1290" t="s">
        <v>871</v>
      </c>
      <c r="M125" s="1696"/>
      <c r="N125" s="1696"/>
      <c r="O125" s="1696"/>
      <c r="P125" s="8882"/>
      <c r="Q125" s="8882">
        <v>1</v>
      </c>
      <c r="R125" s="278"/>
      <c r="S125" s="1810" t="str">
        <f>$J125</f>
        <v>6.1.1.1.1</v>
      </c>
      <c r="T125" s="201" t="s">
        <v>872</v>
      </c>
      <c r="U125" s="214"/>
      <c r="V125" s="8872"/>
      <c r="W125" s="8873"/>
      <c r="X125" s="8873"/>
      <c r="Y125" s="8873"/>
      <c r="Z125" s="8873"/>
      <c r="AA125" s="8873"/>
      <c r="AB125" s="8874"/>
      <c r="AC125" s="8872" t="s">
        <v>961</v>
      </c>
      <c r="AD125" s="8873"/>
      <c r="AE125" s="8873"/>
      <c r="AF125" s="8873"/>
      <c r="AG125" s="8873"/>
      <c r="AH125" s="8873"/>
      <c r="AI125" s="8873"/>
      <c r="AJ125" s="8874"/>
      <c r="AK125" s="1231" t="s">
        <v>947</v>
      </c>
      <c r="AL125" s="1562"/>
      <c r="AM125" s="1544"/>
      <c r="AN125" s="1544" t="str">
        <f t="shared" si="2"/>
        <v>Группа потребителей</v>
      </c>
      <c r="AO125" s="1544"/>
      <c r="AP125" s="1544"/>
    </row>
    <row r="126" spans="1:42" s="1818" customFormat="1" ht="23.25" customHeight="1">
      <c r="A126" s="1284"/>
      <c r="B126" s="1284"/>
      <c r="C126" s="1284"/>
      <c r="D126" s="1284"/>
      <c r="E126" s="8884" t="s">
        <v>113</v>
      </c>
      <c r="F126" s="8884"/>
      <c r="G126" s="8884"/>
      <c r="H126" s="8884"/>
      <c r="I126" s="8904"/>
      <c r="J126" s="8904"/>
      <c r="K126" s="8881" t="str">
        <f>J125&amp;".1"</f>
        <v>6.1.1.1.1.1</v>
      </c>
      <c r="L126" s="1290"/>
      <c r="M126" s="1696"/>
      <c r="N126" s="1696"/>
      <c r="O126" s="1696"/>
      <c r="P126" s="8882"/>
      <c r="Q126" s="8882"/>
      <c r="R126" s="278">
        <v>1</v>
      </c>
      <c r="S126" s="1810" t="str">
        <f>$K126</f>
        <v>6.1.1.1.1.1</v>
      </c>
      <c r="T126" s="1357" t="s">
        <v>962</v>
      </c>
      <c r="U126" s="214"/>
      <c r="V126" s="666"/>
      <c r="W126" s="666"/>
      <c r="X126" s="1181"/>
      <c r="Y126" s="8886"/>
      <c r="Z126" s="8734" t="s">
        <v>63</v>
      </c>
      <c r="AA126" s="8886"/>
      <c r="AB126" s="8734" t="s">
        <v>63</v>
      </c>
      <c r="AC126" s="666">
        <v>678.53</v>
      </c>
      <c r="AD126" s="666"/>
      <c r="AE126" s="1181"/>
      <c r="AF126" s="8886">
        <v>45292</v>
      </c>
      <c r="AG126" s="8734" t="s">
        <v>63</v>
      </c>
      <c r="AH126" s="8905">
        <v>45657</v>
      </c>
      <c r="AI126" s="8734" t="s">
        <v>63</v>
      </c>
      <c r="AJ126" s="1358"/>
      <c r="AK12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6" s="1562" t="e">
        <f ca="1">STRCHECKDATE(V127:AJ127)</f>
        <v>#NAME?</v>
      </c>
      <c r="AM126" s="1544"/>
      <c r="AN126" s="1544" t="str">
        <f t="shared" si="2"/>
        <v>Тариф для населения, руб. за 1 куб. метр с НДС</v>
      </c>
      <c r="AO126" s="1544"/>
      <c r="AP126" s="1544"/>
    </row>
    <row r="127" spans="1:42" s="1818" customFormat="1" ht="14.25" customHeight="1">
      <c r="A127" s="1284"/>
      <c r="B127" s="1284"/>
      <c r="C127" s="1284"/>
      <c r="D127" s="1284"/>
      <c r="E127" s="8884" t="s">
        <v>113</v>
      </c>
      <c r="F127" s="8884"/>
      <c r="G127" s="8884"/>
      <c r="H127" s="8884"/>
      <c r="I127" s="8904"/>
      <c r="J127" s="8904"/>
      <c r="K127" s="8881"/>
      <c r="L127" s="1290"/>
      <c r="M127" s="1696"/>
      <c r="N127" s="1696"/>
      <c r="O127" s="1696"/>
      <c r="P127" s="8882"/>
      <c r="Q127" s="8882"/>
      <c r="R127" s="278"/>
      <c r="S127" s="1815"/>
      <c r="T127" s="214"/>
      <c r="U127" s="214"/>
      <c r="V127" s="246"/>
      <c r="W127" s="246"/>
      <c r="X127" s="250" t="str">
        <f>Y126&amp;"-"&amp;AA126</f>
        <v>-</v>
      </c>
      <c r="Y127" s="8887"/>
      <c r="Z127" s="8734"/>
      <c r="AA127" s="8887"/>
      <c r="AB127" s="8734"/>
      <c r="AC127" s="246"/>
      <c r="AD127" s="246"/>
      <c r="AE127" s="250" t="str">
        <f>AF126&amp;"-"&amp;AH126</f>
        <v>45292-45657</v>
      </c>
      <c r="AF127" s="8887"/>
      <c r="AG127" s="8734"/>
      <c r="AH127" s="8906"/>
      <c r="AI127" s="8734"/>
      <c r="AJ127" s="1359"/>
      <c r="AK127" s="8941"/>
      <c r="AL127" s="1562"/>
      <c r="AM127" s="1544"/>
      <c r="AN127" s="1544" t="str">
        <f t="shared" si="2"/>
        <v/>
      </c>
      <c r="AO127" s="1544"/>
      <c r="AP127" s="1544"/>
    </row>
    <row r="128" spans="1:42" s="1818" customFormat="1" ht="21" customHeight="1">
      <c r="A128" s="1284"/>
      <c r="B128" s="1284"/>
      <c r="C128" s="1284"/>
      <c r="D128" s="1284"/>
      <c r="E128" s="8884" t="s">
        <v>113</v>
      </c>
      <c r="F128" s="8884"/>
      <c r="G128" s="8884"/>
      <c r="H128" s="8884"/>
      <c r="I128" s="8904"/>
      <c r="J128" s="8881"/>
      <c r="K128" s="1284"/>
      <c r="L128" s="1290"/>
      <c r="M128" s="1696"/>
      <c r="N128" s="1696"/>
      <c r="O128" s="1696"/>
      <c r="P128" s="8882"/>
      <c r="Q128" s="8882"/>
      <c r="R128" s="277"/>
      <c r="S128" s="2169"/>
      <c r="T128" s="2170" t="s">
        <v>948</v>
      </c>
      <c r="U128" s="2171"/>
      <c r="V128" s="2172"/>
      <c r="W128" s="2173"/>
      <c r="X128" s="2174"/>
      <c r="Y128" s="2175"/>
      <c r="Z128" s="2176"/>
      <c r="AA128" s="2177"/>
      <c r="AB128" s="2178"/>
      <c r="AC128" s="2179"/>
      <c r="AD128" s="2180"/>
      <c r="AE128" s="2181"/>
      <c r="AF128" s="2182"/>
      <c r="AG128" s="2183"/>
      <c r="AH128" s="2184"/>
      <c r="AI128" s="2185"/>
      <c r="AJ128" s="2186"/>
      <c r="AK128" s="1182" t="s">
        <v>949</v>
      </c>
      <c r="AL128" s="1562"/>
      <c r="AM128" s="1544"/>
      <c r="AN128" s="1544" t="str">
        <f t="shared" si="2"/>
        <v>Добавить значение признака дифференциации</v>
      </c>
      <c r="AO128" s="1544"/>
      <c r="AP128" s="1544"/>
    </row>
    <row r="129" spans="1:42" s="1818" customFormat="1" ht="23.25" customHeight="1">
      <c r="A129" s="1284"/>
      <c r="B129" s="1284"/>
      <c r="C129" s="1284"/>
      <c r="D129" s="1284"/>
      <c r="E129" s="8884"/>
      <c r="F129" s="8884"/>
      <c r="G129" s="8884"/>
      <c r="H129" s="8884"/>
      <c r="I129" s="8904"/>
      <c r="J129" s="8881" t="str">
        <f>I124&amp;".2"</f>
        <v>6.1.1.1.2</v>
      </c>
      <c r="K129" s="1284"/>
      <c r="L129" s="1290" t="s">
        <v>871</v>
      </c>
      <c r="M129" s="1696"/>
      <c r="N129" s="1696"/>
      <c r="O129" s="1696"/>
      <c r="P129" s="8882"/>
      <c r="Q129" s="8948" t="s">
        <v>100</v>
      </c>
      <c r="R129" s="278"/>
      <c r="S129" s="1810" t="str">
        <f>$J129</f>
        <v>6.1.1.1.2</v>
      </c>
      <c r="T129" s="201" t="s">
        <v>872</v>
      </c>
      <c r="U129" s="214"/>
      <c r="V129" s="8872"/>
      <c r="W129" s="8873"/>
      <c r="X129" s="8873"/>
      <c r="Y129" s="8873"/>
      <c r="Z129" s="8873"/>
      <c r="AA129" s="8873"/>
      <c r="AB129" s="8874"/>
      <c r="AC129" s="8872" t="s">
        <v>963</v>
      </c>
      <c r="AD129" s="8873"/>
      <c r="AE129" s="8873"/>
      <c r="AF129" s="8873"/>
      <c r="AG129" s="8873"/>
      <c r="AH129" s="8873"/>
      <c r="AI129" s="8873"/>
      <c r="AJ129" s="8874"/>
      <c r="AK129" s="1231" t="s">
        <v>947</v>
      </c>
      <c r="AL129" s="1562"/>
      <c r="AM129" s="1544"/>
      <c r="AN129" s="1544" t="str">
        <f t="shared" si="2"/>
        <v>Группа потребителей</v>
      </c>
      <c r="AO129" s="1544"/>
      <c r="AP129" s="1544"/>
    </row>
    <row r="130" spans="1:42" s="1818" customFormat="1" ht="23.25" customHeight="1">
      <c r="A130" s="1284"/>
      <c r="B130" s="1284"/>
      <c r="C130" s="1284"/>
      <c r="D130" s="1284"/>
      <c r="E130" s="8884"/>
      <c r="F130" s="8884"/>
      <c r="G130" s="8884"/>
      <c r="H130" s="8884"/>
      <c r="I130" s="8904"/>
      <c r="J130" s="8904" t="str">
        <f>I124&amp;".1"</f>
        <v>6.1.1.1.1</v>
      </c>
      <c r="K130" s="8881" t="str">
        <f>J129&amp;".1"</f>
        <v>6.1.1.1.2.1</v>
      </c>
      <c r="L130" s="1290"/>
      <c r="M130" s="1696"/>
      <c r="N130" s="1696"/>
      <c r="O130" s="1696"/>
      <c r="P130" s="8882"/>
      <c r="Q130" s="8882"/>
      <c r="R130" s="278">
        <v>1</v>
      </c>
      <c r="S130" s="1810" t="str">
        <f>$K130</f>
        <v>6.1.1.1.2.1</v>
      </c>
      <c r="T130" s="1357" t="s">
        <v>964</v>
      </c>
      <c r="U130" s="214"/>
      <c r="V130" s="666"/>
      <c r="W130" s="666"/>
      <c r="X130" s="1181"/>
      <c r="Y130" s="8886"/>
      <c r="Z130" s="8734" t="s">
        <v>63</v>
      </c>
      <c r="AA130" s="8886"/>
      <c r="AB130" s="8734" t="s">
        <v>63</v>
      </c>
      <c r="AC130" s="666">
        <v>565.44000000000005</v>
      </c>
      <c r="AD130" s="666"/>
      <c r="AE130" s="1181"/>
      <c r="AF130" s="8886">
        <v>45292</v>
      </c>
      <c r="AG130" s="8734" t="s">
        <v>63</v>
      </c>
      <c r="AH130" s="8905">
        <v>45657</v>
      </c>
      <c r="AI130" s="8734" t="s">
        <v>63</v>
      </c>
      <c r="AJ130" s="1358"/>
      <c r="AK13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0" s="1562" t="e">
        <f ca="1">STRCHECKDATE(V131:AJ131)</f>
        <v>#NAME?</v>
      </c>
      <c r="AM130" s="1544"/>
      <c r="AN130" s="1544" t="str">
        <f t="shared" si="2"/>
        <v>Тариф, руб. за 1 куб. метр без НДС</v>
      </c>
      <c r="AO130" s="1544"/>
      <c r="AP130" s="1544"/>
    </row>
    <row r="131" spans="1:42" s="1818" customFormat="1" ht="14.25" customHeight="1">
      <c r="A131" s="1284"/>
      <c r="B131" s="1284"/>
      <c r="C131" s="1284"/>
      <c r="D131" s="1284"/>
      <c r="E131" s="8884"/>
      <c r="F131" s="8884"/>
      <c r="G131" s="8884"/>
      <c r="H131" s="8884"/>
      <c r="I131" s="8904"/>
      <c r="J131" s="8904" t="str">
        <f>I124&amp;".1"</f>
        <v>6.1.1.1.1</v>
      </c>
      <c r="K131" s="8881"/>
      <c r="L131" s="1290"/>
      <c r="M131" s="1696"/>
      <c r="N131" s="1696"/>
      <c r="O131" s="1696"/>
      <c r="P131" s="8882"/>
      <c r="Q131" s="8882"/>
      <c r="R131" s="278"/>
      <c r="S131" s="1815"/>
      <c r="T131" s="214"/>
      <c r="U131" s="214"/>
      <c r="V131" s="246"/>
      <c r="W131" s="246"/>
      <c r="X131" s="250" t="str">
        <f>Y130&amp;"-"&amp;AA130</f>
        <v>-</v>
      </c>
      <c r="Y131" s="8887"/>
      <c r="Z131" s="8734"/>
      <c r="AA131" s="8887"/>
      <c r="AB131" s="8734"/>
      <c r="AC131" s="246"/>
      <c r="AD131" s="246"/>
      <c r="AE131" s="250" t="str">
        <f>AF130&amp;"-"&amp;AH130</f>
        <v>45292-45657</v>
      </c>
      <c r="AF131" s="8887"/>
      <c r="AG131" s="8734"/>
      <c r="AH131" s="8906"/>
      <c r="AI131" s="8734"/>
      <c r="AJ131" s="1359"/>
      <c r="AK131" s="8941"/>
      <c r="AL131" s="1562"/>
      <c r="AM131" s="1544"/>
      <c r="AN131" s="1544" t="str">
        <f t="shared" si="2"/>
        <v/>
      </c>
      <c r="AO131" s="1544"/>
      <c r="AP131" s="1544"/>
    </row>
    <row r="132" spans="1:42" s="1818" customFormat="1" ht="21" customHeight="1">
      <c r="A132" s="1284"/>
      <c r="B132" s="1284"/>
      <c r="C132" s="1284"/>
      <c r="D132" s="1284"/>
      <c r="E132" s="8884"/>
      <c r="F132" s="8884"/>
      <c r="G132" s="8884"/>
      <c r="H132" s="8884"/>
      <c r="I132" s="8904"/>
      <c r="J132" s="8881" t="str">
        <f>I124&amp;".1"</f>
        <v>6.1.1.1.1</v>
      </c>
      <c r="K132" s="1284"/>
      <c r="L132" s="1290"/>
      <c r="M132" s="1696"/>
      <c r="N132" s="1696"/>
      <c r="O132" s="1696"/>
      <c r="P132" s="8882"/>
      <c r="Q132" s="8882"/>
      <c r="R132" s="277"/>
      <c r="S132" s="2187"/>
      <c r="T132" s="2188" t="s">
        <v>948</v>
      </c>
      <c r="U132" s="2189"/>
      <c r="V132" s="2190"/>
      <c r="W132" s="2191"/>
      <c r="X132" s="2192"/>
      <c r="Y132" s="2193"/>
      <c r="Z132" s="2194"/>
      <c r="AA132" s="2195"/>
      <c r="AB132" s="2196"/>
      <c r="AC132" s="2197"/>
      <c r="AD132" s="2198"/>
      <c r="AE132" s="2199"/>
      <c r="AF132" s="2200"/>
      <c r="AG132" s="2201"/>
      <c r="AH132" s="2202"/>
      <c r="AI132" s="2203"/>
      <c r="AJ132" s="2204"/>
      <c r="AK132" s="1182" t="s">
        <v>949</v>
      </c>
      <c r="AL132" s="1562"/>
      <c r="AM132" s="1544"/>
      <c r="AN132" s="1544" t="str">
        <f t="shared" si="2"/>
        <v>Добавить значение признака дифференциации</v>
      </c>
      <c r="AO132" s="1544"/>
      <c r="AP132" s="1544"/>
    </row>
    <row r="133" spans="1:42" s="1818" customFormat="1" ht="21" customHeight="1">
      <c r="A133" s="1284"/>
      <c r="B133" s="1284"/>
      <c r="C133" s="1284"/>
      <c r="D133" s="1284"/>
      <c r="E133" s="8884" t="s">
        <v>113</v>
      </c>
      <c r="F133" s="8884"/>
      <c r="G133" s="8884"/>
      <c r="H133" s="8884"/>
      <c r="I133" s="8881"/>
      <c r="J133" s="1284"/>
      <c r="K133" s="1284"/>
      <c r="L133" s="1290"/>
      <c r="M133" s="1696"/>
      <c r="N133" s="1696"/>
      <c r="O133" s="1696"/>
      <c r="P133" s="8882"/>
      <c r="Q133" s="1811"/>
      <c r="R133" s="277"/>
      <c r="S133" s="2205"/>
      <c r="T133" s="2206" t="s">
        <v>877</v>
      </c>
      <c r="U133" s="2207"/>
      <c r="V133" s="2208"/>
      <c r="W133" s="2209"/>
      <c r="X133" s="2210"/>
      <c r="Y133" s="2211"/>
      <c r="Z133" s="2212"/>
      <c r="AA133" s="2213"/>
      <c r="AB133" s="2214"/>
      <c r="AC133" s="2215"/>
      <c r="AD133" s="2216"/>
      <c r="AE133" s="2217"/>
      <c r="AF133" s="2218"/>
      <c r="AG133" s="2219"/>
      <c r="AH133" s="2220"/>
      <c r="AI133" s="2221"/>
      <c r="AJ133" s="2222"/>
      <c r="AK133" s="2223"/>
      <c r="AL133" s="1562"/>
      <c r="AM133" s="1544"/>
      <c r="AN133" s="1544" t="str">
        <f t="shared" si="2"/>
        <v>Добавить группу потребителей</v>
      </c>
      <c r="AO133" s="1544"/>
      <c r="AP133" s="1544"/>
    </row>
    <row r="134" spans="1:42" s="1818" customFormat="1" ht="21" customHeight="1">
      <c r="A134" s="1284"/>
      <c r="B134" s="1284"/>
      <c r="C134" s="1284"/>
      <c r="D134" s="1284"/>
      <c r="E134" s="8884" t="s">
        <v>113</v>
      </c>
      <c r="F134" s="8884"/>
      <c r="G134" s="8884"/>
      <c r="H134" s="8883"/>
      <c r="I134" s="1284"/>
      <c r="J134" s="1284"/>
      <c r="K134" s="1284"/>
      <c r="L134" s="1290"/>
      <c r="M134" s="1286"/>
      <c r="N134" s="1286"/>
      <c r="O134" s="1287"/>
      <c r="P134" s="1742"/>
      <c r="Q134" s="299"/>
      <c r="R134" s="276"/>
      <c r="S134" s="2224"/>
      <c r="T134" s="2225" t="s">
        <v>950</v>
      </c>
      <c r="U134" s="2226"/>
      <c r="V134" s="2227"/>
      <c r="W134" s="2228"/>
      <c r="X134" s="2229"/>
      <c r="Y134" s="2230"/>
      <c r="Z134" s="2231"/>
      <c r="AA134" s="2232"/>
      <c r="AB134" s="2233"/>
      <c r="AC134" s="2234"/>
      <c r="AD134" s="2235"/>
      <c r="AE134" s="2236"/>
      <c r="AF134" s="2237"/>
      <c r="AG134" s="2238"/>
      <c r="AH134" s="2239"/>
      <c r="AI134" s="2240"/>
      <c r="AJ134" s="2241"/>
      <c r="AK134" s="2242"/>
      <c r="AL134" s="1562"/>
      <c r="AM134" s="1544"/>
      <c r="AN134" s="1544" t="str">
        <f t="shared" si="2"/>
        <v>Добавить наименование признака дифференциации</v>
      </c>
      <c r="AO134" s="1544"/>
      <c r="AP134" s="1544"/>
    </row>
    <row r="135" spans="1:42" s="541" customFormat="1" ht="14.25" customHeight="1">
      <c r="A135" s="1265"/>
      <c r="B135" s="1265"/>
      <c r="C135" s="1265"/>
      <c r="D135" s="1265"/>
      <c r="E135" s="8884" t="s">
        <v>113</v>
      </c>
      <c r="F135" s="8883"/>
      <c r="G135" s="1265"/>
      <c r="H135" s="1265"/>
      <c r="I135" s="1265"/>
      <c r="J135" s="1265"/>
      <c r="K135" s="1265"/>
      <c r="L135" s="1466"/>
      <c r="M135" s="1244"/>
      <c r="N135" s="1244"/>
      <c r="O135" s="1562"/>
      <c r="P135" s="1239"/>
      <c r="Q135" s="1266"/>
      <c r="R135" s="1239"/>
      <c r="S135" s="1245"/>
      <c r="T135" s="1248" t="s">
        <v>314</v>
      </c>
      <c r="U135" s="1247"/>
      <c r="V135" s="1247"/>
      <c r="W135" s="1247"/>
      <c r="X135" s="1247"/>
      <c r="Y135" s="1247"/>
      <c r="Z135" s="1247"/>
      <c r="AA135" s="1247"/>
      <c r="AB135" s="1247"/>
      <c r="AC135" s="1247"/>
      <c r="AD135" s="1247"/>
      <c r="AE135" s="1247"/>
      <c r="AF135" s="1247"/>
      <c r="AG135" s="1247"/>
      <c r="AH135" s="1247"/>
      <c r="AI135" s="1247"/>
      <c r="AJ135" s="1247"/>
      <c r="AK135" s="1247"/>
      <c r="AL135" s="1562"/>
      <c r="AM135" s="1544"/>
      <c r="AN135" s="1544" t="str">
        <f t="shared" si="2"/>
        <v>Добавить централизованную систему для дифференциации</v>
      </c>
      <c r="AO135" s="1544"/>
      <c r="AP135" s="1544"/>
    </row>
    <row r="136" spans="1:42" s="541" customFormat="1" ht="14.25" customHeight="1">
      <c r="A136" s="1265"/>
      <c r="B136" s="1265"/>
      <c r="C136" s="1265"/>
      <c r="D136" s="1265"/>
      <c r="E136" s="8883" t="s">
        <v>113</v>
      </c>
      <c r="F136" s="1265"/>
      <c r="G136" s="1265"/>
      <c r="H136" s="1265"/>
      <c r="I136" s="1265"/>
      <c r="J136" s="1265"/>
      <c r="K136" s="1265"/>
      <c r="L136" s="1466"/>
      <c r="M136" s="1244"/>
      <c r="N136" s="1244"/>
      <c r="O136" s="1562"/>
      <c r="P136" s="1239"/>
      <c r="Q136" s="1266"/>
      <c r="R136" s="1239"/>
      <c r="S136" s="1245"/>
      <c r="T136" s="1248" t="s">
        <v>315</v>
      </c>
      <c r="U136" s="1247"/>
      <c r="V136" s="1247"/>
      <c r="W136" s="1247"/>
      <c r="X136" s="1247"/>
      <c r="Y136" s="1247"/>
      <c r="Z136" s="1247"/>
      <c r="AA136" s="1247"/>
      <c r="AB136" s="1247"/>
      <c r="AC136" s="1247"/>
      <c r="AD136" s="1247"/>
      <c r="AE136" s="1247"/>
      <c r="AF136" s="1247"/>
      <c r="AG136" s="1247"/>
      <c r="AH136" s="1247"/>
      <c r="AI136" s="1247"/>
      <c r="AJ136" s="1247"/>
      <c r="AK136" s="1247"/>
      <c r="AL136" s="1562"/>
      <c r="AM136" s="1544"/>
      <c r="AN136" s="1544" t="str">
        <f t="shared" si="2"/>
        <v>Добавить территорию для дифференциации</v>
      </c>
      <c r="AO136" s="1544"/>
      <c r="AP136" s="1544"/>
    </row>
    <row r="137" spans="1:42" s="1818" customFormat="1" ht="23.25" customHeight="1">
      <c r="A137" s="1284" t="s">
        <v>342</v>
      </c>
      <c r="B137" s="1284"/>
      <c r="C137" s="1284"/>
      <c r="D137" s="1284"/>
      <c r="E137" s="8883" t="s">
        <v>89</v>
      </c>
      <c r="F137" s="1284"/>
      <c r="G137" s="1284"/>
      <c r="H137" s="1284"/>
      <c r="I137" s="1284"/>
      <c r="J137" s="1284"/>
      <c r="K137" s="1284"/>
      <c r="L137" s="1290"/>
      <c r="M137" s="1286"/>
      <c r="N137" s="1286"/>
      <c r="O137" s="1286"/>
      <c r="P137" s="1812"/>
      <c r="Q137" s="1742"/>
      <c r="R137" s="276"/>
      <c r="S137" s="1810" t="str">
        <f>INDEX(PT_DIFFERENTIATION_NUM_NTAR,MATCH(A137,PT_DIFFERENTIATION_NTAR_ID,0))</f>
        <v>7</v>
      </c>
      <c r="T137" s="1440" t="s">
        <v>211</v>
      </c>
      <c r="U137" s="214"/>
      <c r="V137" s="8869"/>
      <c r="W137" s="8870"/>
      <c r="X137" s="8870"/>
      <c r="Y137" s="8870"/>
      <c r="Z137" s="8870"/>
      <c r="AA137" s="8870"/>
      <c r="AB137" s="8871"/>
      <c r="AC137" s="8869" t="str">
        <f>INDEX(PT_DIFFERENTIATION_NTAR,MATCH(A137,PT_DIFFERENTIATION_NTAR_ID,0))</f>
        <v>Подвоз воды потребителям хутора Весёлого</v>
      </c>
      <c r="AD137" s="8870"/>
      <c r="AE137" s="8870"/>
      <c r="AF137" s="8870"/>
      <c r="AG137" s="8870"/>
      <c r="AH137" s="8870"/>
      <c r="AI137" s="8870"/>
      <c r="AJ137" s="8871"/>
      <c r="AK13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37" s="1562"/>
      <c r="AM137" s="1544"/>
      <c r="AN137" s="1544" t="str">
        <f t="shared" si="2"/>
        <v>Наименование тарифа</v>
      </c>
      <c r="AO137" s="1544"/>
      <c r="AP137" s="1544"/>
    </row>
    <row r="138" spans="1:42" s="1818" customFormat="1" ht="23.25" customHeight="1">
      <c r="A138" s="1284"/>
      <c r="B138" s="1284" t="s">
        <v>343</v>
      </c>
      <c r="C138" s="1284"/>
      <c r="D138" s="1284"/>
      <c r="E138" s="8884" t="s">
        <v>88</v>
      </c>
      <c r="F138" s="8883">
        <v>1</v>
      </c>
      <c r="G138" s="1284"/>
      <c r="H138" s="1284"/>
      <c r="I138" s="1284"/>
      <c r="J138" s="1284"/>
      <c r="K138" s="1284"/>
      <c r="L138" s="1290"/>
      <c r="M138" s="1286"/>
      <c r="N138" s="1286"/>
      <c r="O138" s="1286"/>
      <c r="P138" s="1807"/>
      <c r="Q138" s="273"/>
      <c r="R138" s="274"/>
      <c r="S138" s="1810" t="str">
        <f>INDEX(PT_DIFFERENTIATION_NUM_TER,MATCH(B138,PT_DIFFERENTIATION_TER_ID,0))</f>
        <v>7.1</v>
      </c>
      <c r="T138" s="1437" t="s">
        <v>862</v>
      </c>
      <c r="U138" s="214"/>
      <c r="V138" s="8869"/>
      <c r="W138" s="8870"/>
      <c r="X138" s="8870"/>
      <c r="Y138" s="8870"/>
      <c r="Z138" s="8870"/>
      <c r="AA138" s="8870"/>
      <c r="AB138" s="8871"/>
      <c r="AC138" s="8869" t="str">
        <f>INDEX(PT_DIFFERENTIATION_TER,MATCH(B138,PT_DIFFERENTIATION_TER_ID,0))</f>
        <v>Территория 2</v>
      </c>
      <c r="AD138" s="8870"/>
      <c r="AE138" s="8870"/>
      <c r="AF138" s="8870"/>
      <c r="AG138" s="8870"/>
      <c r="AH138" s="8870"/>
      <c r="AI138" s="8870"/>
      <c r="AJ138" s="8871"/>
      <c r="AK138" s="1182" t="s">
        <v>863</v>
      </c>
      <c r="AL138" s="1562"/>
      <c r="AM138" s="1544"/>
      <c r="AN138" s="1544" t="str">
        <f t="shared" si="2"/>
        <v>Территория действия тарифа</v>
      </c>
      <c r="AO138" s="1544"/>
      <c r="AP138" s="1544"/>
    </row>
    <row r="139" spans="1:42" s="1818" customFormat="1" ht="23.25" customHeight="1">
      <c r="A139" s="1284"/>
      <c r="B139" s="1284"/>
      <c r="C139" s="1284" t="s">
        <v>344</v>
      </c>
      <c r="D139" s="1284"/>
      <c r="E139" s="8884" t="s">
        <v>88</v>
      </c>
      <c r="F139" s="8884"/>
      <c r="G139" s="8883">
        <v>1</v>
      </c>
      <c r="H139" s="1284"/>
      <c r="I139" s="1284"/>
      <c r="J139" s="1284"/>
      <c r="K139" s="1284"/>
      <c r="L139" s="1290"/>
      <c r="M139" s="1286"/>
      <c r="N139" s="1286"/>
      <c r="O139" s="1286"/>
      <c r="P139" s="275"/>
      <c r="Q139" s="273"/>
      <c r="R139" s="274"/>
      <c r="S139" s="1810" t="str">
        <f>INDEX(PT_DIFFERENTIATION_NUM_CS,MATCH(C139,PT_DIFFERENTIATION_CS_ID,0))</f>
        <v>7.1.1</v>
      </c>
      <c r="T139" s="225" t="s">
        <v>943</v>
      </c>
      <c r="U139" s="214"/>
      <c r="V139" s="8869"/>
      <c r="W139" s="8870"/>
      <c r="X139" s="8870"/>
      <c r="Y139" s="8870"/>
      <c r="Z139" s="8870"/>
      <c r="AA139" s="8870"/>
      <c r="AB139" s="8871"/>
      <c r="AC139" s="8869" t="str">
        <f>INDEX(PT_DIFFERENTIATION_CS,MATCH(C139,PT_DIFFERENTIATION_CS_ID,0))</f>
        <v>без дифференциации</v>
      </c>
      <c r="AD139" s="8870"/>
      <c r="AE139" s="8870"/>
      <c r="AF139" s="8870"/>
      <c r="AG139" s="8870"/>
      <c r="AH139" s="8870"/>
      <c r="AI139" s="8870"/>
      <c r="AJ139" s="8871"/>
      <c r="AK139" s="1182" t="s">
        <v>944</v>
      </c>
      <c r="AL139" s="1562"/>
      <c r="AM139" s="1544"/>
      <c r="AN139" s="1544" t="str">
        <f t="shared" si="2"/>
        <v>Наименование централизованной системы холодного водоснабжения</v>
      </c>
      <c r="AO139" s="1544"/>
      <c r="AP139" s="1544"/>
    </row>
    <row r="140" spans="1:42" s="1818" customFormat="1" ht="23.25" customHeight="1">
      <c r="A140" s="1284"/>
      <c r="B140" s="1284"/>
      <c r="C140" s="1284"/>
      <c r="D140" s="1284"/>
      <c r="E140" s="8884" t="s">
        <v>88</v>
      </c>
      <c r="F140" s="8884"/>
      <c r="G140" s="8884"/>
      <c r="H140" s="8884"/>
      <c r="I140" s="8881" t="str">
        <f>S139&amp;".1"</f>
        <v>7.1.1.1</v>
      </c>
      <c r="J140" s="1284"/>
      <c r="K140" s="1284"/>
      <c r="L140" s="1290"/>
      <c r="M140" s="1696"/>
      <c r="N140" s="1696"/>
      <c r="O140" s="1696"/>
      <c r="P140" s="8882">
        <v>1</v>
      </c>
      <c r="Q140" s="1811"/>
      <c r="R140" s="277"/>
      <c r="S140" s="1810" t="str">
        <f>$I140</f>
        <v>7.1.1.1</v>
      </c>
      <c r="T140" s="200" t="s">
        <v>945</v>
      </c>
      <c r="U140" s="214"/>
      <c r="V140" s="8942"/>
      <c r="W140" s="8943"/>
      <c r="X140" s="8943"/>
      <c r="Y140" s="8943"/>
      <c r="Z140" s="8943"/>
      <c r="AA140" s="8943"/>
      <c r="AB140" s="8944"/>
      <c r="AC140" s="8945"/>
      <c r="AD140" s="8946"/>
      <c r="AE140" s="8946"/>
      <c r="AF140" s="8946"/>
      <c r="AG140" s="8946"/>
      <c r="AH140" s="8946"/>
      <c r="AI140" s="8946"/>
      <c r="AJ140" s="8947"/>
      <c r="AK140" s="1182" t="s">
        <v>946</v>
      </c>
      <c r="AL140" s="1562"/>
      <c r="AM140" s="1544"/>
      <c r="AN140" s="1544" t="str">
        <f t="shared" si="2"/>
        <v>Наименование признака дифференциации</v>
      </c>
      <c r="AO140" s="1544"/>
      <c r="AP140" s="1544"/>
    </row>
    <row r="141" spans="1:42" s="1818" customFormat="1" ht="23.25" customHeight="1">
      <c r="A141" s="1284"/>
      <c r="B141" s="1284"/>
      <c r="C141" s="1284"/>
      <c r="D141" s="1284"/>
      <c r="E141" s="8884" t="s">
        <v>88</v>
      </c>
      <c r="F141" s="8884"/>
      <c r="G141" s="8884"/>
      <c r="H141" s="8884"/>
      <c r="I141" s="8904"/>
      <c r="J141" s="8881" t="str">
        <f>I140&amp;".1"</f>
        <v>7.1.1.1.1</v>
      </c>
      <c r="K141" s="1284"/>
      <c r="L141" s="1290" t="s">
        <v>871</v>
      </c>
      <c r="M141" s="1696"/>
      <c r="N141" s="1696"/>
      <c r="O141" s="1696"/>
      <c r="P141" s="8882"/>
      <c r="Q141" s="8882">
        <v>1</v>
      </c>
      <c r="R141" s="278"/>
      <c r="S141" s="1810" t="str">
        <f>$J141</f>
        <v>7.1.1.1.1</v>
      </c>
      <c r="T141" s="201" t="s">
        <v>872</v>
      </c>
      <c r="U141" s="214"/>
      <c r="V141" s="8872"/>
      <c r="W141" s="8873"/>
      <c r="X141" s="8873"/>
      <c r="Y141" s="8873"/>
      <c r="Z141" s="8873"/>
      <c r="AA141" s="8873"/>
      <c r="AB141" s="8874"/>
      <c r="AC141" s="8872" t="s">
        <v>961</v>
      </c>
      <c r="AD141" s="8873"/>
      <c r="AE141" s="8873"/>
      <c r="AF141" s="8873"/>
      <c r="AG141" s="8873"/>
      <c r="AH141" s="8873"/>
      <c r="AI141" s="8873"/>
      <c r="AJ141" s="8874"/>
      <c r="AK141" s="1231" t="s">
        <v>947</v>
      </c>
      <c r="AL141" s="1562"/>
      <c r="AM141" s="1544"/>
      <c r="AN141" s="1544" t="str">
        <f t="shared" si="2"/>
        <v>Группа потребителей</v>
      </c>
      <c r="AO141" s="1544"/>
      <c r="AP141" s="1544"/>
    </row>
    <row r="142" spans="1:42" s="1818" customFormat="1" ht="23.25" customHeight="1">
      <c r="A142" s="1284"/>
      <c r="B142" s="1284"/>
      <c r="C142" s="1284"/>
      <c r="D142" s="1284"/>
      <c r="E142" s="8884" t="s">
        <v>88</v>
      </c>
      <c r="F142" s="8884"/>
      <c r="G142" s="8884"/>
      <c r="H142" s="8884"/>
      <c r="I142" s="8904"/>
      <c r="J142" s="8904"/>
      <c r="K142" s="8881" t="str">
        <f>J141&amp;".1"</f>
        <v>7.1.1.1.1.1</v>
      </c>
      <c r="L142" s="1290"/>
      <c r="M142" s="1696"/>
      <c r="N142" s="1696"/>
      <c r="O142" s="1696"/>
      <c r="P142" s="8882"/>
      <c r="Q142" s="8882"/>
      <c r="R142" s="278">
        <v>1</v>
      </c>
      <c r="S142" s="1810" t="str">
        <f>$K142</f>
        <v>7.1.1.1.1.1</v>
      </c>
      <c r="T142" s="1357" t="s">
        <v>962</v>
      </c>
      <c r="U142" s="214"/>
      <c r="V142" s="666"/>
      <c r="W142" s="666"/>
      <c r="X142" s="1181"/>
      <c r="Y142" s="8886"/>
      <c r="Z142" s="8734" t="s">
        <v>63</v>
      </c>
      <c r="AA142" s="8886"/>
      <c r="AB142" s="8734" t="s">
        <v>63</v>
      </c>
      <c r="AC142" s="666">
        <v>536.20000000000005</v>
      </c>
      <c r="AD142" s="666"/>
      <c r="AE142" s="1181"/>
      <c r="AF142" s="8886">
        <v>45292</v>
      </c>
      <c r="AG142" s="8734" t="s">
        <v>63</v>
      </c>
      <c r="AH142" s="8905">
        <v>45657</v>
      </c>
      <c r="AI142" s="8734" t="s">
        <v>63</v>
      </c>
      <c r="AJ142" s="1358"/>
      <c r="AK14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2" s="1562" t="e">
        <f ca="1">STRCHECKDATE(V143:AJ143)</f>
        <v>#NAME?</v>
      </c>
      <c r="AM142" s="1544"/>
      <c r="AN142" s="1544" t="str">
        <f t="shared" si="2"/>
        <v>Тариф для населения, руб. за 1 куб. метр с НДС</v>
      </c>
      <c r="AO142" s="1544"/>
      <c r="AP142" s="1544"/>
    </row>
    <row r="143" spans="1:42" s="1818" customFormat="1" ht="14.25" customHeight="1">
      <c r="A143" s="1284"/>
      <c r="B143" s="1284"/>
      <c r="C143" s="1284"/>
      <c r="D143" s="1284"/>
      <c r="E143" s="8884" t="s">
        <v>88</v>
      </c>
      <c r="F143" s="8884"/>
      <c r="G143" s="8884"/>
      <c r="H143" s="8884"/>
      <c r="I143" s="8904"/>
      <c r="J143" s="8904"/>
      <c r="K143" s="8881"/>
      <c r="L143" s="1290"/>
      <c r="M143" s="1696"/>
      <c r="N143" s="1696"/>
      <c r="O143" s="1696"/>
      <c r="P143" s="8882"/>
      <c r="Q143" s="8882"/>
      <c r="R143" s="278"/>
      <c r="S143" s="1815"/>
      <c r="T143" s="214"/>
      <c r="U143" s="214"/>
      <c r="V143" s="246"/>
      <c r="W143" s="246"/>
      <c r="X143" s="250" t="str">
        <f>Y142&amp;"-"&amp;AA142</f>
        <v>-</v>
      </c>
      <c r="Y143" s="8887"/>
      <c r="Z143" s="8734"/>
      <c r="AA143" s="8887"/>
      <c r="AB143" s="8734"/>
      <c r="AC143" s="246"/>
      <c r="AD143" s="246"/>
      <c r="AE143" s="250" t="str">
        <f>AF142&amp;"-"&amp;AH142</f>
        <v>45292-45657</v>
      </c>
      <c r="AF143" s="8887"/>
      <c r="AG143" s="8734"/>
      <c r="AH143" s="8906"/>
      <c r="AI143" s="8734"/>
      <c r="AJ143" s="1359"/>
      <c r="AK143" s="8941"/>
      <c r="AL143" s="1562"/>
      <c r="AM143" s="1544"/>
      <c r="AN143" s="1544" t="str">
        <f t="shared" si="2"/>
        <v/>
      </c>
      <c r="AO143" s="1544"/>
      <c r="AP143" s="1544"/>
    </row>
    <row r="144" spans="1:42" s="1818" customFormat="1" ht="21" customHeight="1">
      <c r="A144" s="1284"/>
      <c r="B144" s="1284"/>
      <c r="C144" s="1284"/>
      <c r="D144" s="1284"/>
      <c r="E144" s="8884" t="s">
        <v>88</v>
      </c>
      <c r="F144" s="8884"/>
      <c r="G144" s="8884"/>
      <c r="H144" s="8884"/>
      <c r="I144" s="8904"/>
      <c r="J144" s="8881"/>
      <c r="K144" s="1284"/>
      <c r="L144" s="1290"/>
      <c r="M144" s="1696"/>
      <c r="N144" s="1696"/>
      <c r="O144" s="1696"/>
      <c r="P144" s="8882"/>
      <c r="Q144" s="8882"/>
      <c r="R144" s="277"/>
      <c r="S144" s="2243"/>
      <c r="T144" s="2244" t="s">
        <v>948</v>
      </c>
      <c r="U144" s="2245"/>
      <c r="V144" s="2246"/>
      <c r="W144" s="2247"/>
      <c r="X144" s="2248"/>
      <c r="Y144" s="2249"/>
      <c r="Z144" s="2250"/>
      <c r="AA144" s="2251"/>
      <c r="AB144" s="2252"/>
      <c r="AC144" s="2253"/>
      <c r="AD144" s="2254"/>
      <c r="AE144" s="2255"/>
      <c r="AF144" s="2256"/>
      <c r="AG144" s="2257"/>
      <c r="AH144" s="2258"/>
      <c r="AI144" s="2259"/>
      <c r="AJ144" s="2260"/>
      <c r="AK144" s="1182" t="s">
        <v>949</v>
      </c>
      <c r="AL144" s="1562"/>
      <c r="AM144" s="1544"/>
      <c r="AN144" s="1544" t="str">
        <f t="shared" si="2"/>
        <v>Добавить значение признака дифференциации</v>
      </c>
      <c r="AO144" s="1544"/>
      <c r="AP144" s="1544"/>
    </row>
    <row r="145" spans="1:42" s="1818" customFormat="1" ht="23.25" customHeight="1">
      <c r="A145" s="1284"/>
      <c r="B145" s="1284"/>
      <c r="C145" s="1284"/>
      <c r="D145" s="1284"/>
      <c r="E145" s="8884"/>
      <c r="F145" s="8884"/>
      <c r="G145" s="8884"/>
      <c r="H145" s="8884"/>
      <c r="I145" s="8904"/>
      <c r="J145" s="8881" t="str">
        <f>I140&amp;".2"</f>
        <v>7.1.1.1.2</v>
      </c>
      <c r="K145" s="1284"/>
      <c r="L145" s="1290" t="s">
        <v>871</v>
      </c>
      <c r="M145" s="1696"/>
      <c r="N145" s="1696"/>
      <c r="O145" s="1696"/>
      <c r="P145" s="8882"/>
      <c r="Q145" s="8948" t="s">
        <v>100</v>
      </c>
      <c r="R145" s="278"/>
      <c r="S145" s="1810" t="str">
        <f>$J145</f>
        <v>7.1.1.1.2</v>
      </c>
      <c r="T145" s="201" t="s">
        <v>872</v>
      </c>
      <c r="U145" s="214"/>
      <c r="V145" s="8872"/>
      <c r="W145" s="8873"/>
      <c r="X145" s="8873"/>
      <c r="Y145" s="8873"/>
      <c r="Z145" s="8873"/>
      <c r="AA145" s="8873"/>
      <c r="AB145" s="8874"/>
      <c r="AC145" s="8872" t="s">
        <v>963</v>
      </c>
      <c r="AD145" s="8873"/>
      <c r="AE145" s="8873"/>
      <c r="AF145" s="8873"/>
      <c r="AG145" s="8873"/>
      <c r="AH145" s="8873"/>
      <c r="AI145" s="8873"/>
      <c r="AJ145" s="8874"/>
      <c r="AK145" s="1231" t="s">
        <v>947</v>
      </c>
      <c r="AL145" s="1562"/>
      <c r="AM145" s="1544"/>
      <c r="AN145" s="1544" t="str">
        <f t="shared" si="2"/>
        <v>Группа потребителей</v>
      </c>
      <c r="AO145" s="1544"/>
      <c r="AP145" s="1544"/>
    </row>
    <row r="146" spans="1:42" s="1818" customFormat="1" ht="23.25" customHeight="1">
      <c r="A146" s="1284"/>
      <c r="B146" s="1284"/>
      <c r="C146" s="1284"/>
      <c r="D146" s="1284"/>
      <c r="E146" s="8884"/>
      <c r="F146" s="8884"/>
      <c r="G146" s="8884"/>
      <c r="H146" s="8884"/>
      <c r="I146" s="8904"/>
      <c r="J146" s="8904" t="str">
        <f>I140&amp;".1"</f>
        <v>7.1.1.1.1</v>
      </c>
      <c r="K146" s="8881" t="str">
        <f>J145&amp;".1"</f>
        <v>7.1.1.1.2.1</v>
      </c>
      <c r="L146" s="1290"/>
      <c r="M146" s="1696"/>
      <c r="N146" s="1696"/>
      <c r="O146" s="1696"/>
      <c r="P146" s="8882"/>
      <c r="Q146" s="8882"/>
      <c r="R146" s="278">
        <v>1</v>
      </c>
      <c r="S146" s="1810" t="str">
        <f>$K146</f>
        <v>7.1.1.1.2.1</v>
      </c>
      <c r="T146" s="1357" t="s">
        <v>964</v>
      </c>
      <c r="U146" s="214"/>
      <c r="V146" s="666"/>
      <c r="W146" s="666"/>
      <c r="X146" s="1181"/>
      <c r="Y146" s="8886"/>
      <c r="Z146" s="8734" t="s">
        <v>63</v>
      </c>
      <c r="AA146" s="8886"/>
      <c r="AB146" s="8734" t="s">
        <v>63</v>
      </c>
      <c r="AC146" s="666">
        <v>446.83</v>
      </c>
      <c r="AD146" s="666"/>
      <c r="AE146" s="1181"/>
      <c r="AF146" s="8886">
        <v>45292</v>
      </c>
      <c r="AG146" s="8734" t="s">
        <v>63</v>
      </c>
      <c r="AH146" s="8905">
        <v>45657</v>
      </c>
      <c r="AI146" s="8734" t="s">
        <v>63</v>
      </c>
      <c r="AJ146" s="1358"/>
      <c r="AK1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6" s="1562" t="e">
        <f ca="1">STRCHECKDATE(V147:AJ147)</f>
        <v>#NAME?</v>
      </c>
      <c r="AM146" s="1544"/>
      <c r="AN146" s="1544" t="str">
        <f t="shared" si="2"/>
        <v>Тариф, руб. за 1 куб. метр без НДС</v>
      </c>
      <c r="AO146" s="1544"/>
      <c r="AP146" s="1544"/>
    </row>
    <row r="147" spans="1:42" s="1818" customFormat="1" ht="14.25" customHeight="1">
      <c r="A147" s="1284"/>
      <c r="B147" s="1284"/>
      <c r="C147" s="1284"/>
      <c r="D147" s="1284"/>
      <c r="E147" s="8884"/>
      <c r="F147" s="8884"/>
      <c r="G147" s="8884"/>
      <c r="H147" s="8884"/>
      <c r="I147" s="8904"/>
      <c r="J147" s="8904" t="str">
        <f>I140&amp;".1"</f>
        <v>7.1.1.1.1</v>
      </c>
      <c r="K147" s="8881"/>
      <c r="L147" s="1290"/>
      <c r="M147" s="1696"/>
      <c r="N147" s="1696"/>
      <c r="O147" s="1696"/>
      <c r="P147" s="8882"/>
      <c r="Q147" s="8882"/>
      <c r="R147" s="278"/>
      <c r="S147" s="1815"/>
      <c r="T147" s="214"/>
      <c r="U147" s="214"/>
      <c r="V147" s="246"/>
      <c r="W147" s="246"/>
      <c r="X147" s="250" t="str">
        <f>Y146&amp;"-"&amp;AA146</f>
        <v>-</v>
      </c>
      <c r="Y147" s="8887"/>
      <c r="Z147" s="8734"/>
      <c r="AA147" s="8887"/>
      <c r="AB147" s="8734"/>
      <c r="AC147" s="246"/>
      <c r="AD147" s="246"/>
      <c r="AE147" s="250" t="str">
        <f>AF146&amp;"-"&amp;AH146</f>
        <v>45292-45657</v>
      </c>
      <c r="AF147" s="8887"/>
      <c r="AG147" s="8734"/>
      <c r="AH147" s="8906"/>
      <c r="AI147" s="8734"/>
      <c r="AJ147" s="1359"/>
      <c r="AK147" s="8941"/>
      <c r="AL147" s="1562"/>
      <c r="AM147" s="1544"/>
      <c r="AN147" s="1544" t="str">
        <f t="shared" si="2"/>
        <v/>
      </c>
      <c r="AO147" s="1544"/>
      <c r="AP147" s="1544"/>
    </row>
    <row r="148" spans="1:42" s="1818" customFormat="1" ht="21" customHeight="1">
      <c r="A148" s="1284"/>
      <c r="B148" s="1284"/>
      <c r="C148" s="1284"/>
      <c r="D148" s="1284"/>
      <c r="E148" s="8884"/>
      <c r="F148" s="8884"/>
      <c r="G148" s="8884"/>
      <c r="H148" s="8884"/>
      <c r="I148" s="8904"/>
      <c r="J148" s="8881" t="str">
        <f>I140&amp;".1"</f>
        <v>7.1.1.1.1</v>
      </c>
      <c r="K148" s="1284"/>
      <c r="L148" s="1290"/>
      <c r="M148" s="1696"/>
      <c r="N148" s="1696"/>
      <c r="O148" s="1696"/>
      <c r="P148" s="8882"/>
      <c r="Q148" s="8882"/>
      <c r="R148" s="277"/>
      <c r="S148" s="2261"/>
      <c r="T148" s="2262" t="s">
        <v>948</v>
      </c>
      <c r="U148" s="2263"/>
      <c r="V148" s="2264"/>
      <c r="W148" s="2265"/>
      <c r="X148" s="2266"/>
      <c r="Y148" s="2267"/>
      <c r="Z148" s="2268"/>
      <c r="AA148" s="2269"/>
      <c r="AB148" s="2270"/>
      <c r="AC148" s="2271"/>
      <c r="AD148" s="2272"/>
      <c r="AE148" s="2273"/>
      <c r="AF148" s="2274"/>
      <c r="AG148" s="2275"/>
      <c r="AH148" s="2276"/>
      <c r="AI148" s="2277"/>
      <c r="AJ148" s="2278"/>
      <c r="AK148" s="1182" t="s">
        <v>949</v>
      </c>
      <c r="AL148" s="1562"/>
      <c r="AM148" s="1544"/>
      <c r="AN148" s="1544" t="str">
        <f t="shared" si="2"/>
        <v>Добавить значение признака дифференциации</v>
      </c>
      <c r="AO148" s="1544"/>
      <c r="AP148" s="1544"/>
    </row>
    <row r="149" spans="1:42" s="1818" customFormat="1" ht="21" customHeight="1">
      <c r="A149" s="1284"/>
      <c r="B149" s="1284"/>
      <c r="C149" s="1284"/>
      <c r="D149" s="1284"/>
      <c r="E149" s="8884" t="s">
        <v>88</v>
      </c>
      <c r="F149" s="8884"/>
      <c r="G149" s="8884"/>
      <c r="H149" s="8884"/>
      <c r="I149" s="8881"/>
      <c r="J149" s="1284"/>
      <c r="K149" s="1284"/>
      <c r="L149" s="1290"/>
      <c r="M149" s="1696"/>
      <c r="N149" s="1696"/>
      <c r="O149" s="1696"/>
      <c r="P149" s="8882"/>
      <c r="Q149" s="1811"/>
      <c r="R149" s="277"/>
      <c r="S149" s="2279"/>
      <c r="T149" s="2280" t="s">
        <v>877</v>
      </c>
      <c r="U149" s="2281"/>
      <c r="V149" s="2282"/>
      <c r="W149" s="2283"/>
      <c r="X149" s="2284"/>
      <c r="Y149" s="2285"/>
      <c r="Z149" s="2286"/>
      <c r="AA149" s="2287"/>
      <c r="AB149" s="2288"/>
      <c r="AC149" s="2289"/>
      <c r="AD149" s="2290"/>
      <c r="AE149" s="2291"/>
      <c r="AF149" s="2292"/>
      <c r="AG149" s="2293"/>
      <c r="AH149" s="2294"/>
      <c r="AI149" s="2295"/>
      <c r="AJ149" s="2296"/>
      <c r="AK149" s="2297"/>
      <c r="AL149" s="1562"/>
      <c r="AM149" s="1544"/>
      <c r="AN149" s="1544" t="str">
        <f t="shared" si="2"/>
        <v>Добавить группу потребителей</v>
      </c>
      <c r="AO149" s="1544"/>
      <c r="AP149" s="1544"/>
    </row>
    <row r="150" spans="1:42" s="1818" customFormat="1" ht="21" customHeight="1">
      <c r="A150" s="1284"/>
      <c r="B150" s="1284"/>
      <c r="C150" s="1284"/>
      <c r="D150" s="1284"/>
      <c r="E150" s="8884" t="s">
        <v>88</v>
      </c>
      <c r="F150" s="8884"/>
      <c r="G150" s="8884"/>
      <c r="H150" s="8883"/>
      <c r="I150" s="1284"/>
      <c r="J150" s="1284"/>
      <c r="K150" s="1284"/>
      <c r="L150" s="1290"/>
      <c r="M150" s="1286"/>
      <c r="N150" s="1286"/>
      <c r="O150" s="1287"/>
      <c r="P150" s="1742"/>
      <c r="Q150" s="299"/>
      <c r="R150" s="276"/>
      <c r="S150" s="2298"/>
      <c r="T150" s="2299" t="s">
        <v>950</v>
      </c>
      <c r="U150" s="2300"/>
      <c r="V150" s="2301"/>
      <c r="W150" s="2302"/>
      <c r="X150" s="2303"/>
      <c r="Y150" s="2304"/>
      <c r="Z150" s="2305"/>
      <c r="AA150" s="2306"/>
      <c r="AB150" s="2307"/>
      <c r="AC150" s="2308"/>
      <c r="AD150" s="2309"/>
      <c r="AE150" s="2310"/>
      <c r="AF150" s="2311"/>
      <c r="AG150" s="2312"/>
      <c r="AH150" s="2313"/>
      <c r="AI150" s="2314"/>
      <c r="AJ150" s="2315"/>
      <c r="AK150" s="2316"/>
      <c r="AL150" s="1562"/>
      <c r="AM150" s="1544"/>
      <c r="AN150" s="1544" t="str">
        <f t="shared" si="2"/>
        <v>Добавить наименование признака дифференциации</v>
      </c>
      <c r="AO150" s="1544"/>
      <c r="AP150" s="1544"/>
    </row>
    <row r="151" spans="1:42" s="541" customFormat="1" ht="14.25" customHeight="1">
      <c r="A151" s="1265"/>
      <c r="B151" s="1265"/>
      <c r="C151" s="1265"/>
      <c r="D151" s="1265"/>
      <c r="E151" s="8884" t="s">
        <v>88</v>
      </c>
      <c r="F151" s="8883"/>
      <c r="G151" s="1265"/>
      <c r="H151" s="1265"/>
      <c r="I151" s="1265"/>
      <c r="J151" s="1265"/>
      <c r="K151" s="1265"/>
      <c r="L151" s="1466"/>
      <c r="M151" s="1244"/>
      <c r="N151" s="1244"/>
      <c r="O151" s="1562"/>
      <c r="P151" s="1239"/>
      <c r="Q151" s="1266"/>
      <c r="R151" s="1239"/>
      <c r="S151" s="1245"/>
      <c r="T151" s="1248" t="s">
        <v>314</v>
      </c>
      <c r="U151" s="1247"/>
      <c r="V151" s="1247"/>
      <c r="W151" s="1247"/>
      <c r="X151" s="1247"/>
      <c r="Y151" s="1247"/>
      <c r="Z151" s="1247"/>
      <c r="AA151" s="1247"/>
      <c r="AB151" s="1247"/>
      <c r="AC151" s="1247"/>
      <c r="AD151" s="1247"/>
      <c r="AE151" s="1247"/>
      <c r="AF151" s="1247"/>
      <c r="AG151" s="1247"/>
      <c r="AH151" s="1247"/>
      <c r="AI151" s="1247"/>
      <c r="AJ151" s="1247"/>
      <c r="AK151" s="1247"/>
      <c r="AL151" s="1562"/>
      <c r="AM151" s="1544"/>
      <c r="AN151" s="1544" t="str">
        <f t="shared" si="2"/>
        <v>Добавить централизованную систему для дифференциации</v>
      </c>
      <c r="AO151" s="1544"/>
      <c r="AP151" s="1544"/>
    </row>
    <row r="152" spans="1:42" s="541" customFormat="1" ht="14.25" customHeight="1">
      <c r="A152" s="1265"/>
      <c r="B152" s="1265"/>
      <c r="C152" s="1265"/>
      <c r="D152" s="1265"/>
      <c r="E152" s="8883" t="s">
        <v>88</v>
      </c>
      <c r="F152" s="1265"/>
      <c r="G152" s="1265"/>
      <c r="H152" s="1265"/>
      <c r="I152" s="1265"/>
      <c r="J152" s="1265"/>
      <c r="K152" s="1265"/>
      <c r="L152" s="1466"/>
      <c r="M152" s="1244"/>
      <c r="N152" s="1244"/>
      <c r="O152" s="1562"/>
      <c r="P152" s="1239"/>
      <c r="Q152" s="1266"/>
      <c r="R152" s="1239"/>
      <c r="S152" s="1245"/>
      <c r="T152" s="1248" t="s">
        <v>315</v>
      </c>
      <c r="U152" s="1247"/>
      <c r="V152" s="1247"/>
      <c r="W152" s="1247"/>
      <c r="X152" s="1247"/>
      <c r="Y152" s="1247"/>
      <c r="Z152" s="1247"/>
      <c r="AA152" s="1247"/>
      <c r="AB152" s="1247"/>
      <c r="AC152" s="1247"/>
      <c r="AD152" s="1247"/>
      <c r="AE152" s="1247"/>
      <c r="AF152" s="1247"/>
      <c r="AG152" s="1247"/>
      <c r="AH152" s="1247"/>
      <c r="AI152" s="1247"/>
      <c r="AJ152" s="1247"/>
      <c r="AK152" s="1247"/>
      <c r="AL152" s="1562"/>
      <c r="AM152" s="1544"/>
      <c r="AN152" s="1544" t="str">
        <f t="shared" si="2"/>
        <v>Добавить территорию для дифференциации</v>
      </c>
      <c r="AO152" s="1544"/>
      <c r="AP152" s="1544"/>
    </row>
    <row r="153" spans="1:42" s="1818" customFormat="1" ht="23.25" customHeight="1">
      <c r="A153" s="1284" t="s">
        <v>347</v>
      </c>
      <c r="B153" s="1284"/>
      <c r="C153" s="1284"/>
      <c r="D153" s="1284"/>
      <c r="E153" s="8883" t="s">
        <v>126</v>
      </c>
      <c r="F153" s="1284"/>
      <c r="G153" s="1284"/>
      <c r="H153" s="1284"/>
      <c r="I153" s="1284"/>
      <c r="J153" s="1284"/>
      <c r="K153" s="1284"/>
      <c r="L153" s="1290"/>
      <c r="M153" s="1286"/>
      <c r="N153" s="1286"/>
      <c r="O153" s="1286"/>
      <c r="P153" s="1812"/>
      <c r="Q153" s="1742"/>
      <c r="R153" s="276"/>
      <c r="S153" s="1810" t="str">
        <f>INDEX(PT_DIFFERENTIATION_NUM_NTAR,MATCH(A153,PT_DIFFERENTIATION_NTAR_ID,0))</f>
        <v>8</v>
      </c>
      <c r="T153" s="1440" t="s">
        <v>211</v>
      </c>
      <c r="U153" s="214"/>
      <c r="V153" s="8869"/>
      <c r="W153" s="8870"/>
      <c r="X153" s="8870"/>
      <c r="Y153" s="8870"/>
      <c r="Z153" s="8870"/>
      <c r="AA153" s="8870"/>
      <c r="AB153" s="8871"/>
      <c r="AC153" s="8869" t="str">
        <f>INDEX(PT_DIFFERENTIATION_NTAR,MATCH(A153,PT_DIFFERENTIATION_NTAR_ID,0))</f>
        <v>Подвоз воды потребителям поселка Вишнёвого</v>
      </c>
      <c r="AD153" s="8870"/>
      <c r="AE153" s="8870"/>
      <c r="AF153" s="8870"/>
      <c r="AG153" s="8870"/>
      <c r="AH153" s="8870"/>
      <c r="AI153" s="8870"/>
      <c r="AJ153" s="8871"/>
      <c r="AK15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53" s="1562"/>
      <c r="AM153" s="1544"/>
      <c r="AN153" s="1544" t="str">
        <f t="shared" si="2"/>
        <v>Наименование тарифа</v>
      </c>
      <c r="AO153" s="1544"/>
      <c r="AP153" s="1544"/>
    </row>
    <row r="154" spans="1:42" s="1818" customFormat="1" ht="23.25" customHeight="1">
      <c r="A154" s="1284"/>
      <c r="B154" s="1284" t="s">
        <v>348</v>
      </c>
      <c r="C154" s="1284"/>
      <c r="D154" s="1284"/>
      <c r="E154" s="8884" t="s">
        <v>89</v>
      </c>
      <c r="F154" s="8883">
        <v>1</v>
      </c>
      <c r="G154" s="1284"/>
      <c r="H154" s="1284"/>
      <c r="I154" s="1284"/>
      <c r="J154" s="1284"/>
      <c r="K154" s="1284"/>
      <c r="L154" s="1290"/>
      <c r="M154" s="1286"/>
      <c r="N154" s="1286"/>
      <c r="O154" s="1286"/>
      <c r="P154" s="1807"/>
      <c r="Q154" s="273"/>
      <c r="R154" s="274"/>
      <c r="S154" s="1810" t="str">
        <f>INDEX(PT_DIFFERENTIATION_NUM_TER,MATCH(B154,PT_DIFFERENTIATION_TER_ID,0))</f>
        <v>8.1</v>
      </c>
      <c r="T154" s="1437" t="s">
        <v>862</v>
      </c>
      <c r="U154" s="214"/>
      <c r="V154" s="8869"/>
      <c r="W154" s="8870"/>
      <c r="X154" s="8870"/>
      <c r="Y154" s="8870"/>
      <c r="Z154" s="8870"/>
      <c r="AA154" s="8870"/>
      <c r="AB154" s="8871"/>
      <c r="AC154" s="8869" t="str">
        <f>INDEX(PT_DIFFERENTIATION_TER,MATCH(B154,PT_DIFFERENTIATION_TER_ID,0))</f>
        <v>Территория 3</v>
      </c>
      <c r="AD154" s="8870"/>
      <c r="AE154" s="8870"/>
      <c r="AF154" s="8870"/>
      <c r="AG154" s="8870"/>
      <c r="AH154" s="8870"/>
      <c r="AI154" s="8870"/>
      <c r="AJ154" s="8871"/>
      <c r="AK154" s="1182" t="s">
        <v>863</v>
      </c>
      <c r="AL154" s="1562"/>
      <c r="AM154" s="1544"/>
      <c r="AN154" s="1544" t="str">
        <f t="shared" si="2"/>
        <v>Территория действия тарифа</v>
      </c>
      <c r="AO154" s="1544"/>
      <c r="AP154" s="1544"/>
    </row>
    <row r="155" spans="1:42" s="1818" customFormat="1" ht="23.25" customHeight="1">
      <c r="A155" s="1284"/>
      <c r="B155" s="1284"/>
      <c r="C155" s="1284" t="s">
        <v>349</v>
      </c>
      <c r="D155" s="1284"/>
      <c r="E155" s="8884" t="s">
        <v>89</v>
      </c>
      <c r="F155" s="8884"/>
      <c r="G155" s="8883">
        <v>1</v>
      </c>
      <c r="H155" s="1284"/>
      <c r="I155" s="1284"/>
      <c r="J155" s="1284"/>
      <c r="K155" s="1284"/>
      <c r="L155" s="1290"/>
      <c r="M155" s="1286"/>
      <c r="N155" s="1286"/>
      <c r="O155" s="1286"/>
      <c r="P155" s="275"/>
      <c r="Q155" s="273"/>
      <c r="R155" s="274"/>
      <c r="S155" s="1810" t="str">
        <f>INDEX(PT_DIFFERENTIATION_NUM_CS,MATCH(C155,PT_DIFFERENTIATION_CS_ID,0))</f>
        <v>8.1.1</v>
      </c>
      <c r="T155" s="225" t="s">
        <v>943</v>
      </c>
      <c r="U155" s="214"/>
      <c r="V155" s="8869"/>
      <c r="W155" s="8870"/>
      <c r="X155" s="8870"/>
      <c r="Y155" s="8870"/>
      <c r="Z155" s="8870"/>
      <c r="AA155" s="8870"/>
      <c r="AB155" s="8871"/>
      <c r="AC155" s="8869" t="str">
        <f>INDEX(PT_DIFFERENTIATION_CS,MATCH(C155,PT_DIFFERENTIATION_CS_ID,0))</f>
        <v>без дифференциации</v>
      </c>
      <c r="AD155" s="8870"/>
      <c r="AE155" s="8870"/>
      <c r="AF155" s="8870"/>
      <c r="AG155" s="8870"/>
      <c r="AH155" s="8870"/>
      <c r="AI155" s="8870"/>
      <c r="AJ155" s="8871"/>
      <c r="AK155" s="1182" t="s">
        <v>944</v>
      </c>
      <c r="AL155" s="1562"/>
      <c r="AM155" s="1544"/>
      <c r="AN155" s="1544" t="str">
        <f t="shared" si="2"/>
        <v>Наименование централизованной системы холодного водоснабжения</v>
      </c>
      <c r="AO155" s="1544"/>
      <c r="AP155" s="1544"/>
    </row>
    <row r="156" spans="1:42" s="1818" customFormat="1" ht="23.25" customHeight="1">
      <c r="A156" s="1284"/>
      <c r="B156" s="1284"/>
      <c r="C156" s="1284"/>
      <c r="D156" s="1284"/>
      <c r="E156" s="8884" t="s">
        <v>89</v>
      </c>
      <c r="F156" s="8884"/>
      <c r="G156" s="8884"/>
      <c r="H156" s="8884"/>
      <c r="I156" s="8881" t="str">
        <f>S155&amp;".1"</f>
        <v>8.1.1.1</v>
      </c>
      <c r="J156" s="1284"/>
      <c r="K156" s="1284"/>
      <c r="L156" s="1290"/>
      <c r="M156" s="1696"/>
      <c r="N156" s="1696"/>
      <c r="O156" s="1696"/>
      <c r="P156" s="8882">
        <v>1</v>
      </c>
      <c r="Q156" s="1811"/>
      <c r="R156" s="277"/>
      <c r="S156" s="1810" t="str">
        <f>$I156</f>
        <v>8.1.1.1</v>
      </c>
      <c r="T156" s="200" t="s">
        <v>945</v>
      </c>
      <c r="U156" s="214"/>
      <c r="V156" s="8942"/>
      <c r="W156" s="8943"/>
      <c r="X156" s="8943"/>
      <c r="Y156" s="8943"/>
      <c r="Z156" s="8943"/>
      <c r="AA156" s="8943"/>
      <c r="AB156" s="8944"/>
      <c r="AC156" s="8945"/>
      <c r="AD156" s="8946"/>
      <c r="AE156" s="8946"/>
      <c r="AF156" s="8946"/>
      <c r="AG156" s="8946"/>
      <c r="AH156" s="8946"/>
      <c r="AI156" s="8946"/>
      <c r="AJ156" s="8947"/>
      <c r="AK156" s="1182" t="s">
        <v>946</v>
      </c>
      <c r="AL156" s="1562"/>
      <c r="AM156" s="1544"/>
      <c r="AN156" s="1544" t="str">
        <f t="shared" si="2"/>
        <v>Наименование признака дифференциации</v>
      </c>
      <c r="AO156" s="1544"/>
      <c r="AP156" s="1544"/>
    </row>
    <row r="157" spans="1:42" s="1818" customFormat="1" ht="23.25" customHeight="1">
      <c r="A157" s="1284"/>
      <c r="B157" s="1284"/>
      <c r="C157" s="1284"/>
      <c r="D157" s="1284"/>
      <c r="E157" s="8884" t="s">
        <v>89</v>
      </c>
      <c r="F157" s="8884"/>
      <c r="G157" s="8884"/>
      <c r="H157" s="8884"/>
      <c r="I157" s="8904"/>
      <c r="J157" s="8881" t="str">
        <f>I156&amp;".1"</f>
        <v>8.1.1.1.1</v>
      </c>
      <c r="K157" s="1284"/>
      <c r="L157" s="1290" t="s">
        <v>871</v>
      </c>
      <c r="M157" s="1696"/>
      <c r="N157" s="1696"/>
      <c r="O157" s="1696"/>
      <c r="P157" s="8882"/>
      <c r="Q157" s="8882">
        <v>1</v>
      </c>
      <c r="R157" s="278"/>
      <c r="S157" s="1810" t="str">
        <f>$J157</f>
        <v>8.1.1.1.1</v>
      </c>
      <c r="T157" s="201" t="s">
        <v>872</v>
      </c>
      <c r="U157" s="214"/>
      <c r="V157" s="8872"/>
      <c r="W157" s="8873"/>
      <c r="X157" s="8873"/>
      <c r="Y157" s="8873"/>
      <c r="Z157" s="8873"/>
      <c r="AA157" s="8873"/>
      <c r="AB157" s="8874"/>
      <c r="AC157" s="8872" t="s">
        <v>961</v>
      </c>
      <c r="AD157" s="8873"/>
      <c r="AE157" s="8873"/>
      <c r="AF157" s="8873"/>
      <c r="AG157" s="8873"/>
      <c r="AH157" s="8873"/>
      <c r="AI157" s="8873"/>
      <c r="AJ157" s="8874"/>
      <c r="AK157" s="1231" t="s">
        <v>947</v>
      </c>
      <c r="AL157" s="1562"/>
      <c r="AM157" s="1544"/>
      <c r="AN157" s="1544" t="str">
        <f t="shared" si="2"/>
        <v>Группа потребителей</v>
      </c>
      <c r="AO157" s="1544"/>
      <c r="AP157" s="1544"/>
    </row>
    <row r="158" spans="1:42" s="1818" customFormat="1" ht="23.25" customHeight="1">
      <c r="A158" s="1284"/>
      <c r="B158" s="1284"/>
      <c r="C158" s="1284"/>
      <c r="D158" s="1284"/>
      <c r="E158" s="8884" t="s">
        <v>89</v>
      </c>
      <c r="F158" s="8884"/>
      <c r="G158" s="8884"/>
      <c r="H158" s="8884"/>
      <c r="I158" s="8904"/>
      <c r="J158" s="8904"/>
      <c r="K158" s="8881" t="str">
        <f>J157&amp;".1"</f>
        <v>8.1.1.1.1.1</v>
      </c>
      <c r="L158" s="1290"/>
      <c r="M158" s="1696"/>
      <c r="N158" s="1696"/>
      <c r="O158" s="1696"/>
      <c r="P158" s="8882"/>
      <c r="Q158" s="8882"/>
      <c r="R158" s="278">
        <v>1</v>
      </c>
      <c r="S158" s="1810" t="str">
        <f>$K158</f>
        <v>8.1.1.1.1.1</v>
      </c>
      <c r="T158" s="1357" t="s">
        <v>962</v>
      </c>
      <c r="U158" s="214"/>
      <c r="V158" s="666"/>
      <c r="W158" s="666"/>
      <c r="X158" s="1181"/>
      <c r="Y158" s="8886"/>
      <c r="Z158" s="8734" t="s">
        <v>63</v>
      </c>
      <c r="AA158" s="8886"/>
      <c r="AB158" s="8734" t="s">
        <v>63</v>
      </c>
      <c r="AC158" s="666">
        <v>504.05</v>
      </c>
      <c r="AD158" s="666"/>
      <c r="AE158" s="1181"/>
      <c r="AF158" s="8886">
        <v>45292</v>
      </c>
      <c r="AG158" s="8734" t="s">
        <v>63</v>
      </c>
      <c r="AH158" s="8905">
        <v>45657</v>
      </c>
      <c r="AI158" s="8734" t="s">
        <v>63</v>
      </c>
      <c r="AJ158" s="1358"/>
      <c r="AK15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8" s="1562" t="e">
        <f ca="1">STRCHECKDATE(V159:AJ159)</f>
        <v>#NAME?</v>
      </c>
      <c r="AM158" s="1544"/>
      <c r="AN158" s="1544" t="str">
        <f t="shared" si="2"/>
        <v>Тариф для населения, руб. за 1 куб. метр с НДС</v>
      </c>
      <c r="AO158" s="1544"/>
      <c r="AP158" s="1544"/>
    </row>
    <row r="159" spans="1:42" s="1818" customFormat="1" ht="14.25" customHeight="1">
      <c r="A159" s="1284"/>
      <c r="B159" s="1284"/>
      <c r="C159" s="1284"/>
      <c r="D159" s="1284"/>
      <c r="E159" s="8884" t="s">
        <v>89</v>
      </c>
      <c r="F159" s="8884"/>
      <c r="G159" s="8884"/>
      <c r="H159" s="8884"/>
      <c r="I159" s="8904"/>
      <c r="J159" s="8904"/>
      <c r="K159" s="8881"/>
      <c r="L159" s="1290"/>
      <c r="M159" s="1696"/>
      <c r="N159" s="1696"/>
      <c r="O159" s="1696"/>
      <c r="P159" s="8882"/>
      <c r="Q159" s="8882"/>
      <c r="R159" s="278"/>
      <c r="S159" s="1815"/>
      <c r="T159" s="214"/>
      <c r="U159" s="214"/>
      <c r="V159" s="246"/>
      <c r="W159" s="246"/>
      <c r="X159" s="250" t="str">
        <f>Y158&amp;"-"&amp;AA158</f>
        <v>-</v>
      </c>
      <c r="Y159" s="8887"/>
      <c r="Z159" s="8734"/>
      <c r="AA159" s="8887"/>
      <c r="AB159" s="8734"/>
      <c r="AC159" s="246"/>
      <c r="AD159" s="246"/>
      <c r="AE159" s="250" t="str">
        <f>AF158&amp;"-"&amp;AH158</f>
        <v>45292-45657</v>
      </c>
      <c r="AF159" s="8887"/>
      <c r="AG159" s="8734"/>
      <c r="AH159" s="8906"/>
      <c r="AI159" s="8734"/>
      <c r="AJ159" s="1359"/>
      <c r="AK159" s="8941"/>
      <c r="AL159" s="1562"/>
      <c r="AM159" s="1544"/>
      <c r="AN159" s="1544" t="str">
        <f t="shared" si="2"/>
        <v/>
      </c>
      <c r="AO159" s="1544"/>
      <c r="AP159" s="1544"/>
    </row>
    <row r="160" spans="1:42" s="1818" customFormat="1" ht="21" customHeight="1">
      <c r="A160" s="1284"/>
      <c r="B160" s="1284"/>
      <c r="C160" s="1284"/>
      <c r="D160" s="1284"/>
      <c r="E160" s="8884" t="s">
        <v>89</v>
      </c>
      <c r="F160" s="8884"/>
      <c r="G160" s="8884"/>
      <c r="H160" s="8884"/>
      <c r="I160" s="8904"/>
      <c r="J160" s="8881"/>
      <c r="K160" s="1284"/>
      <c r="L160" s="1290"/>
      <c r="M160" s="1696"/>
      <c r="N160" s="1696"/>
      <c r="O160" s="1696"/>
      <c r="P160" s="8882"/>
      <c r="Q160" s="8882"/>
      <c r="R160" s="277"/>
      <c r="S160" s="2317"/>
      <c r="T160" s="2318" t="s">
        <v>948</v>
      </c>
      <c r="U160" s="2319"/>
      <c r="V160" s="2320"/>
      <c r="W160" s="2321"/>
      <c r="X160" s="2322"/>
      <c r="Y160" s="2323"/>
      <c r="Z160" s="2324"/>
      <c r="AA160" s="2325"/>
      <c r="AB160" s="2326"/>
      <c r="AC160" s="2327"/>
      <c r="AD160" s="2328"/>
      <c r="AE160" s="2329"/>
      <c r="AF160" s="2330"/>
      <c r="AG160" s="2331"/>
      <c r="AH160" s="2332"/>
      <c r="AI160" s="2333"/>
      <c r="AJ160" s="2334"/>
      <c r="AK160" s="1182" t="s">
        <v>949</v>
      </c>
      <c r="AL160" s="1562"/>
      <c r="AM160" s="1544"/>
      <c r="AN160" s="1544" t="str">
        <f t="shared" si="2"/>
        <v>Добавить значение признака дифференциации</v>
      </c>
      <c r="AO160" s="1544"/>
      <c r="AP160" s="1544"/>
    </row>
    <row r="161" spans="1:42" s="1818" customFormat="1" ht="23.25" customHeight="1">
      <c r="A161" s="1284"/>
      <c r="B161" s="1284"/>
      <c r="C161" s="1284"/>
      <c r="D161" s="1284"/>
      <c r="E161" s="8884"/>
      <c r="F161" s="8884"/>
      <c r="G161" s="8884"/>
      <c r="H161" s="8884"/>
      <c r="I161" s="8904"/>
      <c r="J161" s="8881" t="str">
        <f>I156&amp;".2"</f>
        <v>8.1.1.1.2</v>
      </c>
      <c r="K161" s="1284"/>
      <c r="L161" s="1290" t="s">
        <v>871</v>
      </c>
      <c r="M161" s="1696"/>
      <c r="N161" s="1696"/>
      <c r="O161" s="1696"/>
      <c r="P161" s="8882"/>
      <c r="Q161" s="8948" t="s">
        <v>100</v>
      </c>
      <c r="R161" s="278"/>
      <c r="S161" s="1810" t="str">
        <f>$J161</f>
        <v>8.1.1.1.2</v>
      </c>
      <c r="T161" s="201" t="s">
        <v>872</v>
      </c>
      <c r="U161" s="214"/>
      <c r="V161" s="8872"/>
      <c r="W161" s="8873"/>
      <c r="X161" s="8873"/>
      <c r="Y161" s="8873"/>
      <c r="Z161" s="8873"/>
      <c r="AA161" s="8873"/>
      <c r="AB161" s="8874"/>
      <c r="AC161" s="8872" t="s">
        <v>963</v>
      </c>
      <c r="AD161" s="8873"/>
      <c r="AE161" s="8873"/>
      <c r="AF161" s="8873"/>
      <c r="AG161" s="8873"/>
      <c r="AH161" s="8873"/>
      <c r="AI161" s="8873"/>
      <c r="AJ161" s="8874"/>
      <c r="AK161" s="1231" t="s">
        <v>947</v>
      </c>
      <c r="AL161" s="1562"/>
      <c r="AM161" s="1544"/>
      <c r="AN161" s="1544" t="str">
        <f t="shared" si="2"/>
        <v>Группа потребителей</v>
      </c>
      <c r="AO161" s="1544"/>
      <c r="AP161" s="1544"/>
    </row>
    <row r="162" spans="1:42" s="1818" customFormat="1" ht="23.25" customHeight="1">
      <c r="A162" s="1284"/>
      <c r="B162" s="1284"/>
      <c r="C162" s="1284"/>
      <c r="D162" s="1284"/>
      <c r="E162" s="8884"/>
      <c r="F162" s="8884"/>
      <c r="G162" s="8884"/>
      <c r="H162" s="8884"/>
      <c r="I162" s="8904"/>
      <c r="J162" s="8904" t="str">
        <f>I156&amp;".1"</f>
        <v>8.1.1.1.1</v>
      </c>
      <c r="K162" s="8881" t="str">
        <f>J161&amp;".1"</f>
        <v>8.1.1.1.2.1</v>
      </c>
      <c r="L162" s="1290"/>
      <c r="M162" s="1696"/>
      <c r="N162" s="1696"/>
      <c r="O162" s="1696"/>
      <c r="P162" s="8882"/>
      <c r="Q162" s="8882"/>
      <c r="R162" s="278">
        <v>1</v>
      </c>
      <c r="S162" s="1810" t="str">
        <f>$K162</f>
        <v>8.1.1.1.2.1</v>
      </c>
      <c r="T162" s="1357" t="s">
        <v>964</v>
      </c>
      <c r="U162" s="214"/>
      <c r="V162" s="666"/>
      <c r="W162" s="666"/>
      <c r="X162" s="1181"/>
      <c r="Y162" s="8886"/>
      <c r="Z162" s="8734" t="s">
        <v>63</v>
      </c>
      <c r="AA162" s="8886"/>
      <c r="AB162" s="8734" t="s">
        <v>63</v>
      </c>
      <c r="AC162" s="666">
        <v>420.04</v>
      </c>
      <c r="AD162" s="666"/>
      <c r="AE162" s="1181"/>
      <c r="AF162" s="8886">
        <v>45292</v>
      </c>
      <c r="AG162" s="8734" t="s">
        <v>63</v>
      </c>
      <c r="AH162" s="8905">
        <v>45657</v>
      </c>
      <c r="AI162" s="8734" t="s">
        <v>63</v>
      </c>
      <c r="AJ162" s="1358"/>
      <c r="AK16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2" s="1562" t="e">
        <f ca="1">STRCHECKDATE(V163:AJ163)</f>
        <v>#NAME?</v>
      </c>
      <c r="AM162" s="1544"/>
      <c r="AN162" s="1544" t="str">
        <f t="shared" si="2"/>
        <v>Тариф, руб. за 1 куб. метр без НДС</v>
      </c>
      <c r="AO162" s="1544"/>
      <c r="AP162" s="1544"/>
    </row>
    <row r="163" spans="1:42" s="1818" customFormat="1" ht="14.25" customHeight="1">
      <c r="A163" s="1284"/>
      <c r="B163" s="1284"/>
      <c r="C163" s="1284"/>
      <c r="D163" s="1284"/>
      <c r="E163" s="8884"/>
      <c r="F163" s="8884"/>
      <c r="G163" s="8884"/>
      <c r="H163" s="8884"/>
      <c r="I163" s="8904"/>
      <c r="J163" s="8904" t="str">
        <f>I156&amp;".1"</f>
        <v>8.1.1.1.1</v>
      </c>
      <c r="K163" s="8881"/>
      <c r="L163" s="1290"/>
      <c r="M163" s="1696"/>
      <c r="N163" s="1696"/>
      <c r="O163" s="1696"/>
      <c r="P163" s="8882"/>
      <c r="Q163" s="8882"/>
      <c r="R163" s="278"/>
      <c r="S163" s="1815"/>
      <c r="T163" s="214"/>
      <c r="U163" s="214"/>
      <c r="V163" s="246"/>
      <c r="W163" s="246"/>
      <c r="X163" s="250" t="str">
        <f>Y162&amp;"-"&amp;AA162</f>
        <v>-</v>
      </c>
      <c r="Y163" s="8887"/>
      <c r="Z163" s="8734"/>
      <c r="AA163" s="8887"/>
      <c r="AB163" s="8734"/>
      <c r="AC163" s="246"/>
      <c r="AD163" s="246"/>
      <c r="AE163" s="250" t="str">
        <f>AF162&amp;"-"&amp;AH162</f>
        <v>45292-45657</v>
      </c>
      <c r="AF163" s="8887"/>
      <c r="AG163" s="8734"/>
      <c r="AH163" s="8906"/>
      <c r="AI163" s="8734"/>
      <c r="AJ163" s="1359"/>
      <c r="AK163" s="8941"/>
      <c r="AL163" s="1562"/>
      <c r="AM163" s="1544"/>
      <c r="AN163" s="1544" t="str">
        <f t="shared" si="2"/>
        <v/>
      </c>
      <c r="AO163" s="1544"/>
      <c r="AP163" s="1544"/>
    </row>
    <row r="164" spans="1:42" s="1818" customFormat="1" ht="21" customHeight="1">
      <c r="A164" s="1284"/>
      <c r="B164" s="1284"/>
      <c r="C164" s="1284"/>
      <c r="D164" s="1284"/>
      <c r="E164" s="8884"/>
      <c r="F164" s="8884"/>
      <c r="G164" s="8884"/>
      <c r="H164" s="8884"/>
      <c r="I164" s="8904"/>
      <c r="J164" s="8881" t="str">
        <f>I156&amp;".1"</f>
        <v>8.1.1.1.1</v>
      </c>
      <c r="K164" s="1284"/>
      <c r="L164" s="1290"/>
      <c r="M164" s="1696"/>
      <c r="N164" s="1696"/>
      <c r="O164" s="1696"/>
      <c r="P164" s="8882"/>
      <c r="Q164" s="8882"/>
      <c r="R164" s="277"/>
      <c r="S164" s="2335"/>
      <c r="T164" s="2336" t="s">
        <v>948</v>
      </c>
      <c r="U164" s="2337"/>
      <c r="V164" s="2338"/>
      <c r="W164" s="2339"/>
      <c r="X164" s="2340"/>
      <c r="Y164" s="2341"/>
      <c r="Z164" s="2342"/>
      <c r="AA164" s="2343"/>
      <c r="AB164" s="2344"/>
      <c r="AC164" s="2345"/>
      <c r="AD164" s="2346"/>
      <c r="AE164" s="2347"/>
      <c r="AF164" s="2348"/>
      <c r="AG164" s="2349"/>
      <c r="AH164" s="2350"/>
      <c r="AI164" s="2351"/>
      <c r="AJ164" s="2352"/>
      <c r="AK164" s="1182" t="s">
        <v>949</v>
      </c>
      <c r="AL164" s="1562"/>
      <c r="AM164" s="1544"/>
      <c r="AN164" s="1544" t="str">
        <f t="shared" si="2"/>
        <v>Добавить значение признака дифференциации</v>
      </c>
      <c r="AO164" s="1544"/>
      <c r="AP164" s="1544"/>
    </row>
    <row r="165" spans="1:42" s="1818" customFormat="1" ht="21" customHeight="1">
      <c r="A165" s="1284"/>
      <c r="B165" s="1284"/>
      <c r="C165" s="1284"/>
      <c r="D165" s="1284"/>
      <c r="E165" s="8884" t="s">
        <v>89</v>
      </c>
      <c r="F165" s="8884"/>
      <c r="G165" s="8884"/>
      <c r="H165" s="8884"/>
      <c r="I165" s="8881"/>
      <c r="J165" s="1284"/>
      <c r="K165" s="1284"/>
      <c r="L165" s="1290"/>
      <c r="M165" s="1696"/>
      <c r="N165" s="1696"/>
      <c r="O165" s="1696"/>
      <c r="P165" s="8882"/>
      <c r="Q165" s="1811"/>
      <c r="R165" s="277"/>
      <c r="S165" s="2353"/>
      <c r="T165" s="2354" t="s">
        <v>877</v>
      </c>
      <c r="U165" s="2355"/>
      <c r="V165" s="2356"/>
      <c r="W165" s="2357"/>
      <c r="X165" s="2358"/>
      <c r="Y165" s="2359"/>
      <c r="Z165" s="2360"/>
      <c r="AA165" s="2361"/>
      <c r="AB165" s="2362"/>
      <c r="AC165" s="2363"/>
      <c r="AD165" s="2364"/>
      <c r="AE165" s="2365"/>
      <c r="AF165" s="2366"/>
      <c r="AG165" s="2367"/>
      <c r="AH165" s="2368"/>
      <c r="AI165" s="2369"/>
      <c r="AJ165" s="2370"/>
      <c r="AK165" s="2371"/>
      <c r="AL165" s="1562"/>
      <c r="AM165" s="1544"/>
      <c r="AN165" s="1544" t="str">
        <f t="shared" si="2"/>
        <v>Добавить группу потребителей</v>
      </c>
      <c r="AO165" s="1544"/>
      <c r="AP165" s="1544"/>
    </row>
    <row r="166" spans="1:42" s="1818" customFormat="1" ht="21" customHeight="1">
      <c r="A166" s="1284"/>
      <c r="B166" s="1284"/>
      <c r="C166" s="1284"/>
      <c r="D166" s="1284"/>
      <c r="E166" s="8884" t="s">
        <v>89</v>
      </c>
      <c r="F166" s="8884"/>
      <c r="G166" s="8884"/>
      <c r="H166" s="8883"/>
      <c r="I166" s="1284"/>
      <c r="J166" s="1284"/>
      <c r="K166" s="1284"/>
      <c r="L166" s="1290"/>
      <c r="M166" s="1286"/>
      <c r="N166" s="1286"/>
      <c r="O166" s="1287"/>
      <c r="P166" s="1742"/>
      <c r="Q166" s="299"/>
      <c r="R166" s="276"/>
      <c r="S166" s="2372"/>
      <c r="T166" s="2373" t="s">
        <v>950</v>
      </c>
      <c r="U166" s="2374"/>
      <c r="V166" s="2375"/>
      <c r="W166" s="2376"/>
      <c r="X166" s="2377"/>
      <c r="Y166" s="2378"/>
      <c r="Z166" s="2379"/>
      <c r="AA166" s="2380"/>
      <c r="AB166" s="2381"/>
      <c r="AC166" s="2382"/>
      <c r="AD166" s="2383"/>
      <c r="AE166" s="2384"/>
      <c r="AF166" s="2385"/>
      <c r="AG166" s="2386"/>
      <c r="AH166" s="2387"/>
      <c r="AI166" s="2388"/>
      <c r="AJ166" s="2389"/>
      <c r="AK166" s="2390"/>
      <c r="AL166" s="1562"/>
      <c r="AM166" s="1544"/>
      <c r="AN166" s="1544" t="str">
        <f t="shared" si="2"/>
        <v>Добавить наименование признака дифференциации</v>
      </c>
      <c r="AO166" s="1544"/>
      <c r="AP166" s="1544"/>
    </row>
    <row r="167" spans="1:42" s="541" customFormat="1" ht="14.25" customHeight="1">
      <c r="A167" s="1265"/>
      <c r="B167" s="1265"/>
      <c r="C167" s="1265"/>
      <c r="D167" s="1265"/>
      <c r="E167" s="8884" t="s">
        <v>89</v>
      </c>
      <c r="F167" s="8883"/>
      <c r="G167" s="1265"/>
      <c r="H167" s="1265"/>
      <c r="I167" s="1265"/>
      <c r="J167" s="1265"/>
      <c r="K167" s="1265"/>
      <c r="L167" s="1466"/>
      <c r="M167" s="1244"/>
      <c r="N167" s="1244"/>
      <c r="O167" s="1562"/>
      <c r="P167" s="1239"/>
      <c r="Q167" s="1266"/>
      <c r="R167" s="1239"/>
      <c r="S167" s="1245"/>
      <c r="T167" s="1248" t="s">
        <v>314</v>
      </c>
      <c r="U167" s="1247"/>
      <c r="V167" s="1247"/>
      <c r="W167" s="1247"/>
      <c r="X167" s="1247"/>
      <c r="Y167" s="1247"/>
      <c r="Z167" s="1247"/>
      <c r="AA167" s="1247"/>
      <c r="AB167" s="1247"/>
      <c r="AC167" s="1247"/>
      <c r="AD167" s="1247"/>
      <c r="AE167" s="1247"/>
      <c r="AF167" s="1247"/>
      <c r="AG167" s="1247"/>
      <c r="AH167" s="1247"/>
      <c r="AI167" s="1247"/>
      <c r="AJ167" s="1247"/>
      <c r="AK167" s="1247"/>
      <c r="AL167" s="1562"/>
      <c r="AM167" s="1544"/>
      <c r="AN167" s="1544" t="str">
        <f t="shared" si="2"/>
        <v>Добавить централизованную систему для дифференциации</v>
      </c>
      <c r="AO167" s="1544"/>
      <c r="AP167" s="1544"/>
    </row>
    <row r="168" spans="1:42" s="541" customFormat="1" ht="14.25" customHeight="1">
      <c r="A168" s="1265"/>
      <c r="B168" s="1265"/>
      <c r="C168" s="1265"/>
      <c r="D168" s="1265"/>
      <c r="E168" s="8883" t="s">
        <v>89</v>
      </c>
      <c r="F168" s="1265"/>
      <c r="G168" s="1265"/>
      <c r="H168" s="1265"/>
      <c r="I168" s="1265"/>
      <c r="J168" s="1265"/>
      <c r="K168" s="1265"/>
      <c r="L168" s="1466"/>
      <c r="M168" s="1244"/>
      <c r="N168" s="1244"/>
      <c r="O168" s="1562"/>
      <c r="P168" s="1239"/>
      <c r="Q168" s="1266"/>
      <c r="R168" s="1239"/>
      <c r="S168" s="1245"/>
      <c r="T168" s="1248" t="s">
        <v>315</v>
      </c>
      <c r="U168" s="1247"/>
      <c r="V168" s="1247"/>
      <c r="W168" s="1247"/>
      <c r="X168" s="1247"/>
      <c r="Y168" s="1247"/>
      <c r="Z168" s="1247"/>
      <c r="AA168" s="1247"/>
      <c r="AB168" s="1247"/>
      <c r="AC168" s="1247"/>
      <c r="AD168" s="1247"/>
      <c r="AE168" s="1247"/>
      <c r="AF168" s="1247"/>
      <c r="AG168" s="1247"/>
      <c r="AH168" s="1247"/>
      <c r="AI168" s="1247"/>
      <c r="AJ168" s="1247"/>
      <c r="AK168" s="1247"/>
      <c r="AL168" s="1562"/>
      <c r="AM168" s="1544"/>
      <c r="AN168" s="1544" t="str">
        <f t="shared" si="2"/>
        <v>Добавить территорию для дифференциации</v>
      </c>
      <c r="AO168" s="1544"/>
      <c r="AP168" s="1544"/>
    </row>
    <row r="169" spans="1:42" s="1818" customFormat="1" ht="23.25" customHeight="1">
      <c r="A169" s="1284" t="s">
        <v>352</v>
      </c>
      <c r="B169" s="1284"/>
      <c r="C169" s="1284"/>
      <c r="D169" s="1284"/>
      <c r="E169" s="8883" t="s">
        <v>131</v>
      </c>
      <c r="F169" s="1284"/>
      <c r="G169" s="1284"/>
      <c r="H169" s="1284"/>
      <c r="I169" s="1284"/>
      <c r="J169" s="1284"/>
      <c r="K169" s="1284"/>
      <c r="L169" s="1290"/>
      <c r="M169" s="1286"/>
      <c r="N169" s="1286"/>
      <c r="O169" s="1286"/>
      <c r="P169" s="1812"/>
      <c r="Q169" s="1742"/>
      <c r="R169" s="276"/>
      <c r="S169" s="1810" t="str">
        <f>INDEX(PT_DIFFERENTIATION_NUM_NTAR,MATCH(A169,PT_DIFFERENTIATION_NTAR_ID,0))</f>
        <v>9</v>
      </c>
      <c r="T169" s="1440" t="s">
        <v>211</v>
      </c>
      <c r="U169" s="214"/>
      <c r="V169" s="8869"/>
      <c r="W169" s="8870"/>
      <c r="X169" s="8870"/>
      <c r="Y169" s="8870"/>
      <c r="Z169" s="8870"/>
      <c r="AA169" s="8870"/>
      <c r="AB169" s="8871"/>
      <c r="AC169" s="8869" t="str">
        <f>INDEX(PT_DIFFERENTIATION_NTAR,MATCH(A169,PT_DIFFERENTIATION_NTAR_ID,0))</f>
        <v>Подвоз воды потребителям поселка Степного</v>
      </c>
      <c r="AD169" s="8870"/>
      <c r="AE169" s="8870"/>
      <c r="AF169" s="8870"/>
      <c r="AG169" s="8870"/>
      <c r="AH169" s="8870"/>
      <c r="AI169" s="8870"/>
      <c r="AJ169" s="8871"/>
      <c r="AK16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69" s="1562"/>
      <c r="AM169" s="1544"/>
      <c r="AN169" s="1544" t="str">
        <f t="shared" ref="AN169:AN232" si="3">IF(T169="","",T169)</f>
        <v>Наименование тарифа</v>
      </c>
      <c r="AO169" s="1544"/>
      <c r="AP169" s="1544"/>
    </row>
    <row r="170" spans="1:42" s="1818" customFormat="1" ht="23.25" customHeight="1">
      <c r="A170" s="1284"/>
      <c r="B170" s="1284" t="s">
        <v>353</v>
      </c>
      <c r="C170" s="1284"/>
      <c r="D170" s="1284"/>
      <c r="E170" s="8884" t="s">
        <v>126</v>
      </c>
      <c r="F170" s="8883">
        <v>1</v>
      </c>
      <c r="G170" s="1284"/>
      <c r="H170" s="1284"/>
      <c r="I170" s="1284"/>
      <c r="J170" s="1284"/>
      <c r="K170" s="1284"/>
      <c r="L170" s="1290"/>
      <c r="M170" s="1286"/>
      <c r="N170" s="1286"/>
      <c r="O170" s="1286"/>
      <c r="P170" s="1807"/>
      <c r="Q170" s="273"/>
      <c r="R170" s="274"/>
      <c r="S170" s="1810" t="str">
        <f>INDEX(PT_DIFFERENTIATION_NUM_TER,MATCH(B170,PT_DIFFERENTIATION_TER_ID,0))</f>
        <v>9.1</v>
      </c>
      <c r="T170" s="1437" t="s">
        <v>862</v>
      </c>
      <c r="U170" s="214"/>
      <c r="V170" s="8869"/>
      <c r="W170" s="8870"/>
      <c r="X170" s="8870"/>
      <c r="Y170" s="8870"/>
      <c r="Z170" s="8870"/>
      <c r="AA170" s="8870"/>
      <c r="AB170" s="8871"/>
      <c r="AC170" s="8869" t="str">
        <f>INDEX(PT_DIFFERENTIATION_TER,MATCH(B170,PT_DIFFERENTIATION_TER_ID,0))</f>
        <v>Территория 4</v>
      </c>
      <c r="AD170" s="8870"/>
      <c r="AE170" s="8870"/>
      <c r="AF170" s="8870"/>
      <c r="AG170" s="8870"/>
      <c r="AH170" s="8870"/>
      <c r="AI170" s="8870"/>
      <c r="AJ170" s="8871"/>
      <c r="AK170" s="1182" t="s">
        <v>863</v>
      </c>
      <c r="AL170" s="1562"/>
      <c r="AM170" s="1544"/>
      <c r="AN170" s="1544" t="str">
        <f t="shared" si="3"/>
        <v>Территория действия тарифа</v>
      </c>
      <c r="AO170" s="1544"/>
      <c r="AP170" s="1544"/>
    </row>
    <row r="171" spans="1:42" s="1818" customFormat="1" ht="23.25" customHeight="1">
      <c r="A171" s="1284"/>
      <c r="B171" s="1284"/>
      <c r="C171" s="1284" t="s">
        <v>354</v>
      </c>
      <c r="D171" s="1284"/>
      <c r="E171" s="8884" t="s">
        <v>126</v>
      </c>
      <c r="F171" s="8884"/>
      <c r="G171" s="8883">
        <v>1</v>
      </c>
      <c r="H171" s="1284"/>
      <c r="I171" s="1284"/>
      <c r="J171" s="1284"/>
      <c r="K171" s="1284"/>
      <c r="L171" s="1290"/>
      <c r="M171" s="1286"/>
      <c r="N171" s="1286"/>
      <c r="O171" s="1286"/>
      <c r="P171" s="275"/>
      <c r="Q171" s="273"/>
      <c r="R171" s="274"/>
      <c r="S171" s="1810" t="str">
        <f>INDEX(PT_DIFFERENTIATION_NUM_CS,MATCH(C171,PT_DIFFERENTIATION_CS_ID,0))</f>
        <v>9.1.1</v>
      </c>
      <c r="T171" s="225" t="s">
        <v>943</v>
      </c>
      <c r="U171" s="214"/>
      <c r="V171" s="8869"/>
      <c r="W171" s="8870"/>
      <c r="X171" s="8870"/>
      <c r="Y171" s="8870"/>
      <c r="Z171" s="8870"/>
      <c r="AA171" s="8870"/>
      <c r="AB171" s="8871"/>
      <c r="AC171" s="8869" t="str">
        <f>INDEX(PT_DIFFERENTIATION_CS,MATCH(C171,PT_DIFFERENTIATION_CS_ID,0))</f>
        <v>без дифференциации</v>
      </c>
      <c r="AD171" s="8870"/>
      <c r="AE171" s="8870"/>
      <c r="AF171" s="8870"/>
      <c r="AG171" s="8870"/>
      <c r="AH171" s="8870"/>
      <c r="AI171" s="8870"/>
      <c r="AJ171" s="8871"/>
      <c r="AK171" s="1182" t="s">
        <v>944</v>
      </c>
      <c r="AL171" s="1562"/>
      <c r="AM171" s="1544"/>
      <c r="AN171" s="1544" t="str">
        <f t="shared" si="3"/>
        <v>Наименование централизованной системы холодного водоснабжения</v>
      </c>
      <c r="AO171" s="1544"/>
      <c r="AP171" s="1544"/>
    </row>
    <row r="172" spans="1:42" s="1818" customFormat="1" ht="23.25" customHeight="1">
      <c r="A172" s="1284"/>
      <c r="B172" s="1284"/>
      <c r="C172" s="1284"/>
      <c r="D172" s="1284"/>
      <c r="E172" s="8884" t="s">
        <v>126</v>
      </c>
      <c r="F172" s="8884"/>
      <c r="G172" s="8884"/>
      <c r="H172" s="8884"/>
      <c r="I172" s="8881" t="str">
        <f>S171&amp;".1"</f>
        <v>9.1.1.1</v>
      </c>
      <c r="J172" s="1284"/>
      <c r="K172" s="1284"/>
      <c r="L172" s="1290"/>
      <c r="M172" s="1696"/>
      <c r="N172" s="1696"/>
      <c r="O172" s="1696"/>
      <c r="P172" s="8882">
        <v>1</v>
      </c>
      <c r="Q172" s="1811"/>
      <c r="R172" s="277"/>
      <c r="S172" s="1810" t="str">
        <f>$I172</f>
        <v>9.1.1.1</v>
      </c>
      <c r="T172" s="200" t="s">
        <v>945</v>
      </c>
      <c r="U172" s="214"/>
      <c r="V172" s="8942"/>
      <c r="W172" s="8943"/>
      <c r="X172" s="8943"/>
      <c r="Y172" s="8943"/>
      <c r="Z172" s="8943"/>
      <c r="AA172" s="8943"/>
      <c r="AB172" s="8944"/>
      <c r="AC172" s="8945"/>
      <c r="AD172" s="8946"/>
      <c r="AE172" s="8946"/>
      <c r="AF172" s="8946"/>
      <c r="AG172" s="8946"/>
      <c r="AH172" s="8946"/>
      <c r="AI172" s="8946"/>
      <c r="AJ172" s="8947"/>
      <c r="AK172" s="1182" t="s">
        <v>946</v>
      </c>
      <c r="AL172" s="1562"/>
      <c r="AM172" s="1544"/>
      <c r="AN172" s="1544" t="str">
        <f t="shared" si="3"/>
        <v>Наименование признака дифференциации</v>
      </c>
      <c r="AO172" s="1544"/>
      <c r="AP172" s="1544"/>
    </row>
    <row r="173" spans="1:42" s="1818" customFormat="1" ht="23.25" customHeight="1">
      <c r="A173" s="1284"/>
      <c r="B173" s="1284"/>
      <c r="C173" s="1284"/>
      <c r="D173" s="1284"/>
      <c r="E173" s="8884" t="s">
        <v>126</v>
      </c>
      <c r="F173" s="8884"/>
      <c r="G173" s="8884"/>
      <c r="H173" s="8884"/>
      <c r="I173" s="8904"/>
      <c r="J173" s="8881" t="str">
        <f>I172&amp;".1"</f>
        <v>9.1.1.1.1</v>
      </c>
      <c r="K173" s="1284"/>
      <c r="L173" s="1290" t="s">
        <v>871</v>
      </c>
      <c r="M173" s="1696"/>
      <c r="N173" s="1696"/>
      <c r="O173" s="1696"/>
      <c r="P173" s="8882"/>
      <c r="Q173" s="8882">
        <v>1</v>
      </c>
      <c r="R173" s="278"/>
      <c r="S173" s="1810" t="str">
        <f>$J173</f>
        <v>9.1.1.1.1</v>
      </c>
      <c r="T173" s="201" t="s">
        <v>872</v>
      </c>
      <c r="U173" s="214"/>
      <c r="V173" s="8872"/>
      <c r="W173" s="8873"/>
      <c r="X173" s="8873"/>
      <c r="Y173" s="8873"/>
      <c r="Z173" s="8873"/>
      <c r="AA173" s="8873"/>
      <c r="AB173" s="8874"/>
      <c r="AC173" s="8872" t="s">
        <v>961</v>
      </c>
      <c r="AD173" s="8873"/>
      <c r="AE173" s="8873"/>
      <c r="AF173" s="8873"/>
      <c r="AG173" s="8873"/>
      <c r="AH173" s="8873"/>
      <c r="AI173" s="8873"/>
      <c r="AJ173" s="8874"/>
      <c r="AK173" s="1231" t="s">
        <v>947</v>
      </c>
      <c r="AL173" s="1562"/>
      <c r="AM173" s="1544"/>
      <c r="AN173" s="1544" t="str">
        <f t="shared" si="3"/>
        <v>Группа потребителей</v>
      </c>
      <c r="AO173" s="1544"/>
      <c r="AP173" s="1544"/>
    </row>
    <row r="174" spans="1:42" s="1818" customFormat="1" ht="23.25" customHeight="1">
      <c r="A174" s="1284"/>
      <c r="B174" s="1284"/>
      <c r="C174" s="1284"/>
      <c r="D174" s="1284"/>
      <c r="E174" s="8884" t="s">
        <v>126</v>
      </c>
      <c r="F174" s="8884"/>
      <c r="G174" s="8884"/>
      <c r="H174" s="8884"/>
      <c r="I174" s="8904"/>
      <c r="J174" s="8904"/>
      <c r="K174" s="8881" t="str">
        <f>J173&amp;".1"</f>
        <v>9.1.1.1.1.1</v>
      </c>
      <c r="L174" s="1290"/>
      <c r="M174" s="1696"/>
      <c r="N174" s="1696"/>
      <c r="O174" s="1696"/>
      <c r="P174" s="8882"/>
      <c r="Q174" s="8882"/>
      <c r="R174" s="278">
        <v>1</v>
      </c>
      <c r="S174" s="1810" t="str">
        <f>$K174</f>
        <v>9.1.1.1.1.1</v>
      </c>
      <c r="T174" s="1357" t="s">
        <v>962</v>
      </c>
      <c r="U174" s="214"/>
      <c r="V174" s="666"/>
      <c r="W174" s="666"/>
      <c r="X174" s="1181"/>
      <c r="Y174" s="8886"/>
      <c r="Z174" s="8734" t="s">
        <v>63</v>
      </c>
      <c r="AA174" s="8886"/>
      <c r="AB174" s="8734" t="s">
        <v>63</v>
      </c>
      <c r="AC174" s="666">
        <v>862.32</v>
      </c>
      <c r="AD174" s="666"/>
      <c r="AE174" s="1181"/>
      <c r="AF174" s="8886">
        <v>45292</v>
      </c>
      <c r="AG174" s="8734" t="s">
        <v>63</v>
      </c>
      <c r="AH174" s="8905">
        <v>45657</v>
      </c>
      <c r="AI174" s="8734" t="s">
        <v>63</v>
      </c>
      <c r="AJ174" s="1358"/>
      <c r="AK17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4" s="1562" t="e">
        <f ca="1">STRCHECKDATE(V175:AJ175)</f>
        <v>#NAME?</v>
      </c>
      <c r="AM174" s="1544"/>
      <c r="AN174" s="1544" t="str">
        <f t="shared" si="3"/>
        <v>Тариф для населения, руб. за 1 куб. метр с НДС</v>
      </c>
      <c r="AO174" s="1544"/>
      <c r="AP174" s="1544"/>
    </row>
    <row r="175" spans="1:42" s="1818" customFormat="1" ht="14.25" customHeight="1">
      <c r="A175" s="1284"/>
      <c r="B175" s="1284"/>
      <c r="C175" s="1284"/>
      <c r="D175" s="1284"/>
      <c r="E175" s="8884" t="s">
        <v>126</v>
      </c>
      <c r="F175" s="8884"/>
      <c r="G175" s="8884"/>
      <c r="H175" s="8884"/>
      <c r="I175" s="8904"/>
      <c r="J175" s="8904"/>
      <c r="K175" s="8881"/>
      <c r="L175" s="1290"/>
      <c r="M175" s="1696"/>
      <c r="N175" s="1696"/>
      <c r="O175" s="1696"/>
      <c r="P175" s="8882"/>
      <c r="Q175" s="8882"/>
      <c r="R175" s="278"/>
      <c r="S175" s="1815"/>
      <c r="T175" s="214"/>
      <c r="U175" s="214"/>
      <c r="V175" s="246"/>
      <c r="W175" s="246"/>
      <c r="X175" s="250" t="str">
        <f>Y174&amp;"-"&amp;AA174</f>
        <v>-</v>
      </c>
      <c r="Y175" s="8887"/>
      <c r="Z175" s="8734"/>
      <c r="AA175" s="8887"/>
      <c r="AB175" s="8734"/>
      <c r="AC175" s="246"/>
      <c r="AD175" s="246"/>
      <c r="AE175" s="250" t="str">
        <f>AF174&amp;"-"&amp;AH174</f>
        <v>45292-45657</v>
      </c>
      <c r="AF175" s="8887"/>
      <c r="AG175" s="8734"/>
      <c r="AH175" s="8906"/>
      <c r="AI175" s="8734"/>
      <c r="AJ175" s="1359"/>
      <c r="AK175" s="8941"/>
      <c r="AL175" s="1562"/>
      <c r="AM175" s="1544"/>
      <c r="AN175" s="1544" t="str">
        <f t="shared" si="3"/>
        <v/>
      </c>
      <c r="AO175" s="1544"/>
      <c r="AP175" s="1544"/>
    </row>
    <row r="176" spans="1:42" s="1818" customFormat="1" ht="21" customHeight="1">
      <c r="A176" s="1284"/>
      <c r="B176" s="1284"/>
      <c r="C176" s="1284"/>
      <c r="D176" s="1284"/>
      <c r="E176" s="8884" t="s">
        <v>126</v>
      </c>
      <c r="F176" s="8884"/>
      <c r="G176" s="8884"/>
      <c r="H176" s="8884"/>
      <c r="I176" s="8904"/>
      <c r="J176" s="8881"/>
      <c r="K176" s="1284"/>
      <c r="L176" s="1290"/>
      <c r="M176" s="1696"/>
      <c r="N176" s="1696"/>
      <c r="O176" s="1696"/>
      <c r="P176" s="8882"/>
      <c r="Q176" s="8882"/>
      <c r="R176" s="277"/>
      <c r="S176" s="2391"/>
      <c r="T176" s="2392" t="s">
        <v>948</v>
      </c>
      <c r="U176" s="2393"/>
      <c r="V176" s="2394"/>
      <c r="W176" s="2395"/>
      <c r="X176" s="2396"/>
      <c r="Y176" s="2397"/>
      <c r="Z176" s="2398"/>
      <c r="AA176" s="2399"/>
      <c r="AB176" s="2400"/>
      <c r="AC176" s="2401"/>
      <c r="AD176" s="2402"/>
      <c r="AE176" s="2403"/>
      <c r="AF176" s="2404"/>
      <c r="AG176" s="2405"/>
      <c r="AH176" s="2406"/>
      <c r="AI176" s="2407"/>
      <c r="AJ176" s="2408"/>
      <c r="AK176" s="1182" t="s">
        <v>949</v>
      </c>
      <c r="AL176" s="1562"/>
      <c r="AM176" s="1544"/>
      <c r="AN176" s="1544" t="str">
        <f t="shared" si="3"/>
        <v>Добавить значение признака дифференциации</v>
      </c>
      <c r="AO176" s="1544"/>
      <c r="AP176" s="1544"/>
    </row>
    <row r="177" spans="1:42" s="1818" customFormat="1" ht="23.25" customHeight="1">
      <c r="A177" s="1284"/>
      <c r="B177" s="1284"/>
      <c r="C177" s="1284"/>
      <c r="D177" s="1284"/>
      <c r="E177" s="8884"/>
      <c r="F177" s="8884"/>
      <c r="G177" s="8884"/>
      <c r="H177" s="8884"/>
      <c r="I177" s="8904"/>
      <c r="J177" s="8881" t="str">
        <f>I172&amp;".2"</f>
        <v>9.1.1.1.2</v>
      </c>
      <c r="K177" s="1284"/>
      <c r="L177" s="1290" t="s">
        <v>871</v>
      </c>
      <c r="M177" s="1696"/>
      <c r="N177" s="1696"/>
      <c r="O177" s="1696"/>
      <c r="P177" s="8882"/>
      <c r="Q177" s="8948" t="s">
        <v>100</v>
      </c>
      <c r="R177" s="278"/>
      <c r="S177" s="1810" t="str">
        <f>$J177</f>
        <v>9.1.1.1.2</v>
      </c>
      <c r="T177" s="201" t="s">
        <v>872</v>
      </c>
      <c r="U177" s="214"/>
      <c r="V177" s="8872"/>
      <c r="W177" s="8873"/>
      <c r="X177" s="8873"/>
      <c r="Y177" s="8873"/>
      <c r="Z177" s="8873"/>
      <c r="AA177" s="8873"/>
      <c r="AB177" s="8874"/>
      <c r="AC177" s="8872" t="s">
        <v>963</v>
      </c>
      <c r="AD177" s="8873"/>
      <c r="AE177" s="8873"/>
      <c r="AF177" s="8873"/>
      <c r="AG177" s="8873"/>
      <c r="AH177" s="8873"/>
      <c r="AI177" s="8873"/>
      <c r="AJ177" s="8874"/>
      <c r="AK177" s="1231" t="s">
        <v>947</v>
      </c>
      <c r="AL177" s="1562"/>
      <c r="AM177" s="1544"/>
      <c r="AN177" s="1544" t="str">
        <f t="shared" si="3"/>
        <v>Группа потребителей</v>
      </c>
      <c r="AO177" s="1544"/>
      <c r="AP177" s="1544"/>
    </row>
    <row r="178" spans="1:42" s="1818" customFormat="1" ht="23.25" customHeight="1">
      <c r="A178" s="1284"/>
      <c r="B178" s="1284"/>
      <c r="C178" s="1284"/>
      <c r="D178" s="1284"/>
      <c r="E178" s="8884"/>
      <c r="F178" s="8884"/>
      <c r="G178" s="8884"/>
      <c r="H178" s="8884"/>
      <c r="I178" s="8904"/>
      <c r="J178" s="8904" t="str">
        <f>I172&amp;".1"</f>
        <v>9.1.1.1.1</v>
      </c>
      <c r="K178" s="8881" t="str">
        <f>J177&amp;".1"</f>
        <v>9.1.1.1.2.1</v>
      </c>
      <c r="L178" s="1290"/>
      <c r="M178" s="1696"/>
      <c r="N178" s="1696"/>
      <c r="O178" s="1696"/>
      <c r="P178" s="8882"/>
      <c r="Q178" s="8882"/>
      <c r="R178" s="278">
        <v>1</v>
      </c>
      <c r="S178" s="1810" t="str">
        <f>$K178</f>
        <v>9.1.1.1.2.1</v>
      </c>
      <c r="T178" s="1357" t="s">
        <v>964</v>
      </c>
      <c r="U178" s="214"/>
      <c r="V178" s="666"/>
      <c r="W178" s="666"/>
      <c r="X178" s="1181"/>
      <c r="Y178" s="8886"/>
      <c r="Z178" s="8734" t="s">
        <v>63</v>
      </c>
      <c r="AA178" s="8886"/>
      <c r="AB178" s="8734" t="s">
        <v>63</v>
      </c>
      <c r="AC178" s="666">
        <v>718.6</v>
      </c>
      <c r="AD178" s="666"/>
      <c r="AE178" s="1181"/>
      <c r="AF178" s="8886">
        <v>45292</v>
      </c>
      <c r="AG178" s="8734" t="s">
        <v>63</v>
      </c>
      <c r="AH178" s="8905">
        <v>45657</v>
      </c>
      <c r="AI178" s="8734" t="s">
        <v>63</v>
      </c>
      <c r="AJ178" s="1358"/>
      <c r="AK17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8" s="1562" t="e">
        <f ca="1">STRCHECKDATE(V179:AJ179)</f>
        <v>#NAME?</v>
      </c>
      <c r="AM178" s="1544"/>
      <c r="AN178" s="1544" t="str">
        <f t="shared" si="3"/>
        <v>Тариф, руб. за 1 куб. метр без НДС</v>
      </c>
      <c r="AO178" s="1544"/>
      <c r="AP178" s="1544"/>
    </row>
    <row r="179" spans="1:42" s="1818" customFormat="1" ht="14.25" customHeight="1">
      <c r="A179" s="1284"/>
      <c r="B179" s="1284"/>
      <c r="C179" s="1284"/>
      <c r="D179" s="1284"/>
      <c r="E179" s="8884"/>
      <c r="F179" s="8884"/>
      <c r="G179" s="8884"/>
      <c r="H179" s="8884"/>
      <c r="I179" s="8904"/>
      <c r="J179" s="8904" t="str">
        <f>I172&amp;".1"</f>
        <v>9.1.1.1.1</v>
      </c>
      <c r="K179" s="8881"/>
      <c r="L179" s="1290"/>
      <c r="M179" s="1696"/>
      <c r="N179" s="1696"/>
      <c r="O179" s="1696"/>
      <c r="P179" s="8882"/>
      <c r="Q179" s="8882"/>
      <c r="R179" s="278"/>
      <c r="S179" s="1815"/>
      <c r="T179" s="214"/>
      <c r="U179" s="214"/>
      <c r="V179" s="246"/>
      <c r="W179" s="246"/>
      <c r="X179" s="250" t="str">
        <f>Y178&amp;"-"&amp;AA178</f>
        <v>-</v>
      </c>
      <c r="Y179" s="8887"/>
      <c r="Z179" s="8734"/>
      <c r="AA179" s="8887"/>
      <c r="AB179" s="8734"/>
      <c r="AC179" s="246"/>
      <c r="AD179" s="246"/>
      <c r="AE179" s="250" t="str">
        <f>AF178&amp;"-"&amp;AH178</f>
        <v>45292-45657</v>
      </c>
      <c r="AF179" s="8887"/>
      <c r="AG179" s="8734"/>
      <c r="AH179" s="8906"/>
      <c r="AI179" s="8734"/>
      <c r="AJ179" s="1359"/>
      <c r="AK179" s="8941"/>
      <c r="AL179" s="1562"/>
      <c r="AM179" s="1544"/>
      <c r="AN179" s="1544" t="str">
        <f t="shared" si="3"/>
        <v/>
      </c>
      <c r="AO179" s="1544"/>
      <c r="AP179" s="1544"/>
    </row>
    <row r="180" spans="1:42" s="1818" customFormat="1" ht="21" customHeight="1">
      <c r="A180" s="1284"/>
      <c r="B180" s="1284"/>
      <c r="C180" s="1284"/>
      <c r="D180" s="1284"/>
      <c r="E180" s="8884"/>
      <c r="F180" s="8884"/>
      <c r="G180" s="8884"/>
      <c r="H180" s="8884"/>
      <c r="I180" s="8904"/>
      <c r="J180" s="8881" t="str">
        <f>I172&amp;".1"</f>
        <v>9.1.1.1.1</v>
      </c>
      <c r="K180" s="1284"/>
      <c r="L180" s="1290"/>
      <c r="M180" s="1696"/>
      <c r="N180" s="1696"/>
      <c r="O180" s="1696"/>
      <c r="P180" s="8882"/>
      <c r="Q180" s="8882"/>
      <c r="R180" s="277"/>
      <c r="S180" s="2409"/>
      <c r="T180" s="2410" t="s">
        <v>948</v>
      </c>
      <c r="U180" s="2411"/>
      <c r="V180" s="2412"/>
      <c r="W180" s="2413"/>
      <c r="X180" s="2414"/>
      <c r="Y180" s="2415"/>
      <c r="Z180" s="2416"/>
      <c r="AA180" s="2417"/>
      <c r="AB180" s="2418"/>
      <c r="AC180" s="2419"/>
      <c r="AD180" s="2420"/>
      <c r="AE180" s="2421"/>
      <c r="AF180" s="2422"/>
      <c r="AG180" s="2423"/>
      <c r="AH180" s="2424"/>
      <c r="AI180" s="2425"/>
      <c r="AJ180" s="2426"/>
      <c r="AK180" s="1182" t="s">
        <v>949</v>
      </c>
      <c r="AL180" s="1562"/>
      <c r="AM180" s="1544"/>
      <c r="AN180" s="1544" t="str">
        <f t="shared" si="3"/>
        <v>Добавить значение признака дифференциации</v>
      </c>
      <c r="AO180" s="1544"/>
      <c r="AP180" s="1544"/>
    </row>
    <row r="181" spans="1:42" s="1818" customFormat="1" ht="21" customHeight="1">
      <c r="A181" s="1284"/>
      <c r="B181" s="1284"/>
      <c r="C181" s="1284"/>
      <c r="D181" s="1284"/>
      <c r="E181" s="8884" t="s">
        <v>126</v>
      </c>
      <c r="F181" s="8884"/>
      <c r="G181" s="8884"/>
      <c r="H181" s="8884"/>
      <c r="I181" s="8881"/>
      <c r="J181" s="1284"/>
      <c r="K181" s="1284"/>
      <c r="L181" s="1290"/>
      <c r="M181" s="1696"/>
      <c r="N181" s="1696"/>
      <c r="O181" s="1696"/>
      <c r="P181" s="8882"/>
      <c r="Q181" s="1811"/>
      <c r="R181" s="277"/>
      <c r="S181" s="2427"/>
      <c r="T181" s="2428" t="s">
        <v>877</v>
      </c>
      <c r="U181" s="2429"/>
      <c r="V181" s="2430"/>
      <c r="W181" s="2431"/>
      <c r="X181" s="2432"/>
      <c r="Y181" s="2433"/>
      <c r="Z181" s="2434"/>
      <c r="AA181" s="2435"/>
      <c r="AB181" s="2436"/>
      <c r="AC181" s="2437"/>
      <c r="AD181" s="2438"/>
      <c r="AE181" s="2439"/>
      <c r="AF181" s="2440"/>
      <c r="AG181" s="2441"/>
      <c r="AH181" s="2442"/>
      <c r="AI181" s="2443"/>
      <c r="AJ181" s="2444"/>
      <c r="AK181" s="2445"/>
      <c r="AL181" s="1562"/>
      <c r="AM181" s="1544"/>
      <c r="AN181" s="1544" t="str">
        <f t="shared" si="3"/>
        <v>Добавить группу потребителей</v>
      </c>
      <c r="AO181" s="1544"/>
      <c r="AP181" s="1544"/>
    </row>
    <row r="182" spans="1:42" s="1818" customFormat="1" ht="21" customHeight="1">
      <c r="A182" s="1284"/>
      <c r="B182" s="1284"/>
      <c r="C182" s="1284"/>
      <c r="D182" s="1284"/>
      <c r="E182" s="8884" t="s">
        <v>126</v>
      </c>
      <c r="F182" s="8884"/>
      <c r="G182" s="8884"/>
      <c r="H182" s="8883"/>
      <c r="I182" s="1284"/>
      <c r="J182" s="1284"/>
      <c r="K182" s="1284"/>
      <c r="L182" s="1290"/>
      <c r="M182" s="1286"/>
      <c r="N182" s="1286"/>
      <c r="O182" s="1287"/>
      <c r="P182" s="1742"/>
      <c r="Q182" s="299"/>
      <c r="R182" s="276"/>
      <c r="S182" s="2446"/>
      <c r="T182" s="2447" t="s">
        <v>950</v>
      </c>
      <c r="U182" s="2448"/>
      <c r="V182" s="2449"/>
      <c r="W182" s="2450"/>
      <c r="X182" s="2451"/>
      <c r="Y182" s="2452"/>
      <c r="Z182" s="2453"/>
      <c r="AA182" s="2454"/>
      <c r="AB182" s="2455"/>
      <c r="AC182" s="2456"/>
      <c r="AD182" s="2457"/>
      <c r="AE182" s="2458"/>
      <c r="AF182" s="2459"/>
      <c r="AG182" s="2460"/>
      <c r="AH182" s="2461"/>
      <c r="AI182" s="2462"/>
      <c r="AJ182" s="2463"/>
      <c r="AK182" s="2464"/>
      <c r="AL182" s="1562"/>
      <c r="AM182" s="1544"/>
      <c r="AN182" s="1544" t="str">
        <f t="shared" si="3"/>
        <v>Добавить наименование признака дифференциации</v>
      </c>
      <c r="AO182" s="1544"/>
      <c r="AP182" s="1544"/>
    </row>
    <row r="183" spans="1:42" s="541" customFormat="1" ht="14.25" customHeight="1">
      <c r="A183" s="1265"/>
      <c r="B183" s="1265"/>
      <c r="C183" s="1265"/>
      <c r="D183" s="1265"/>
      <c r="E183" s="8884" t="s">
        <v>126</v>
      </c>
      <c r="F183" s="8883"/>
      <c r="G183" s="1265"/>
      <c r="H183" s="1265"/>
      <c r="I183" s="1265"/>
      <c r="J183" s="1265"/>
      <c r="K183" s="1265"/>
      <c r="L183" s="1466"/>
      <c r="M183" s="1244"/>
      <c r="N183" s="1244"/>
      <c r="O183" s="1562"/>
      <c r="P183" s="1239"/>
      <c r="Q183" s="1266"/>
      <c r="R183" s="1239"/>
      <c r="S183" s="1245"/>
      <c r="T183" s="1248" t="s">
        <v>314</v>
      </c>
      <c r="U183" s="1247"/>
      <c r="V183" s="1247"/>
      <c r="W183" s="1247"/>
      <c r="X183" s="1247"/>
      <c r="Y183" s="1247"/>
      <c r="Z183" s="1247"/>
      <c r="AA183" s="1247"/>
      <c r="AB183" s="1247"/>
      <c r="AC183" s="1247"/>
      <c r="AD183" s="1247"/>
      <c r="AE183" s="1247"/>
      <c r="AF183" s="1247"/>
      <c r="AG183" s="1247"/>
      <c r="AH183" s="1247"/>
      <c r="AI183" s="1247"/>
      <c r="AJ183" s="1247"/>
      <c r="AK183" s="1247"/>
      <c r="AL183" s="1562"/>
      <c r="AM183" s="1544"/>
      <c r="AN183" s="1544" t="str">
        <f t="shared" si="3"/>
        <v>Добавить централизованную систему для дифференциации</v>
      </c>
      <c r="AO183" s="1544"/>
      <c r="AP183" s="1544"/>
    </row>
    <row r="184" spans="1:42" s="541" customFormat="1" ht="14.25" customHeight="1">
      <c r="A184" s="1265"/>
      <c r="B184" s="1265"/>
      <c r="C184" s="1265"/>
      <c r="D184" s="1265"/>
      <c r="E184" s="8883" t="s">
        <v>126</v>
      </c>
      <c r="F184" s="1265"/>
      <c r="G184" s="1265"/>
      <c r="H184" s="1265"/>
      <c r="I184" s="1265"/>
      <c r="J184" s="1265"/>
      <c r="K184" s="1265"/>
      <c r="L184" s="1466"/>
      <c r="M184" s="1244"/>
      <c r="N184" s="1244"/>
      <c r="O184" s="1562"/>
      <c r="P184" s="1239"/>
      <c r="Q184" s="1266"/>
      <c r="R184" s="1239"/>
      <c r="S184" s="1245"/>
      <c r="T184" s="1248" t="s">
        <v>315</v>
      </c>
      <c r="U184" s="1247"/>
      <c r="V184" s="1247"/>
      <c r="W184" s="1247"/>
      <c r="X184" s="1247"/>
      <c r="Y184" s="1247"/>
      <c r="Z184" s="1247"/>
      <c r="AA184" s="1247"/>
      <c r="AB184" s="1247"/>
      <c r="AC184" s="1247"/>
      <c r="AD184" s="1247"/>
      <c r="AE184" s="1247"/>
      <c r="AF184" s="1247"/>
      <c r="AG184" s="1247"/>
      <c r="AH184" s="1247"/>
      <c r="AI184" s="1247"/>
      <c r="AJ184" s="1247"/>
      <c r="AK184" s="1247"/>
      <c r="AL184" s="1562"/>
      <c r="AM184" s="1544"/>
      <c r="AN184" s="1544" t="str">
        <f t="shared" si="3"/>
        <v>Добавить территорию для дифференциации</v>
      </c>
      <c r="AO184" s="1544"/>
      <c r="AP184" s="1544"/>
    </row>
    <row r="185" spans="1:42" s="1818" customFormat="1" ht="23.25" customHeight="1">
      <c r="A185" s="1284" t="s">
        <v>357</v>
      </c>
      <c r="B185" s="1284"/>
      <c r="C185" s="1284"/>
      <c r="D185" s="1284"/>
      <c r="E185" s="8883" t="s">
        <v>136</v>
      </c>
      <c r="F185" s="1284"/>
      <c r="G185" s="1284"/>
      <c r="H185" s="1284"/>
      <c r="I185" s="1284"/>
      <c r="J185" s="1284"/>
      <c r="K185" s="1284"/>
      <c r="L185" s="1290"/>
      <c r="M185" s="1286"/>
      <c r="N185" s="1286"/>
      <c r="O185" s="1286"/>
      <c r="P185" s="1812"/>
      <c r="Q185" s="1742"/>
      <c r="R185" s="276"/>
      <c r="S185" s="1810" t="str">
        <f>INDEX(PT_DIFFERENTIATION_NUM_NTAR,MATCH(A185,PT_DIFFERENTIATION_NTAR_ID,0))</f>
        <v>10</v>
      </c>
      <c r="T185" s="1440" t="s">
        <v>211</v>
      </c>
      <c r="U185" s="214"/>
      <c r="V185" s="8869"/>
      <c r="W185" s="8870"/>
      <c r="X185" s="8870"/>
      <c r="Y185" s="8870"/>
      <c r="Z185" s="8870"/>
      <c r="AA185" s="8870"/>
      <c r="AB185" s="8871"/>
      <c r="AC185" s="8869" t="str">
        <f>INDEX(PT_DIFFERENTIATION_NTAR,MATCH(A185,PT_DIFFERENTIATION_NTAR_ID,0))</f>
        <v>Подвоз воды потребителям поселка Лугового</v>
      </c>
      <c r="AD185" s="8870"/>
      <c r="AE185" s="8870"/>
      <c r="AF185" s="8870"/>
      <c r="AG185" s="8870"/>
      <c r="AH185" s="8870"/>
      <c r="AI185" s="8870"/>
      <c r="AJ185" s="8871"/>
      <c r="AK18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85" s="1562"/>
      <c r="AM185" s="1544"/>
      <c r="AN185" s="1544" t="str">
        <f t="shared" si="3"/>
        <v>Наименование тарифа</v>
      </c>
      <c r="AO185" s="1544"/>
      <c r="AP185" s="1544"/>
    </row>
    <row r="186" spans="1:42" s="1818" customFormat="1" ht="23.25" customHeight="1">
      <c r="A186" s="1284"/>
      <c r="B186" s="1284" t="s">
        <v>358</v>
      </c>
      <c r="C186" s="1284"/>
      <c r="D186" s="1284"/>
      <c r="E186" s="8884" t="s">
        <v>131</v>
      </c>
      <c r="F186" s="8883">
        <v>1</v>
      </c>
      <c r="G186" s="1284"/>
      <c r="H186" s="1284"/>
      <c r="I186" s="1284"/>
      <c r="J186" s="1284"/>
      <c r="K186" s="1284"/>
      <c r="L186" s="1290"/>
      <c r="M186" s="1286"/>
      <c r="N186" s="1286"/>
      <c r="O186" s="1286"/>
      <c r="P186" s="1807"/>
      <c r="Q186" s="273"/>
      <c r="R186" s="274"/>
      <c r="S186" s="1810" t="str">
        <f>INDEX(PT_DIFFERENTIATION_NUM_TER,MATCH(B186,PT_DIFFERENTIATION_TER_ID,0))</f>
        <v>10.1</v>
      </c>
      <c r="T186" s="1437" t="s">
        <v>862</v>
      </c>
      <c r="U186" s="214"/>
      <c r="V186" s="8869"/>
      <c r="W186" s="8870"/>
      <c r="X186" s="8870"/>
      <c r="Y186" s="8870"/>
      <c r="Z186" s="8870"/>
      <c r="AA186" s="8870"/>
      <c r="AB186" s="8871"/>
      <c r="AC186" s="8869" t="str">
        <f>INDEX(PT_DIFFERENTIATION_TER,MATCH(B186,PT_DIFFERENTIATION_TER_ID,0))</f>
        <v>Территория 5</v>
      </c>
      <c r="AD186" s="8870"/>
      <c r="AE186" s="8870"/>
      <c r="AF186" s="8870"/>
      <c r="AG186" s="8870"/>
      <c r="AH186" s="8870"/>
      <c r="AI186" s="8870"/>
      <c r="AJ186" s="8871"/>
      <c r="AK186" s="1182" t="s">
        <v>863</v>
      </c>
      <c r="AL186" s="1562"/>
      <c r="AM186" s="1544"/>
      <c r="AN186" s="1544" t="str">
        <f t="shared" si="3"/>
        <v>Территория действия тарифа</v>
      </c>
      <c r="AO186" s="1544"/>
      <c r="AP186" s="1544"/>
    </row>
    <row r="187" spans="1:42" s="1818" customFormat="1" ht="23.25" customHeight="1">
      <c r="A187" s="1284"/>
      <c r="B187" s="1284"/>
      <c r="C187" s="1284" t="s">
        <v>359</v>
      </c>
      <c r="D187" s="1284"/>
      <c r="E187" s="8884" t="s">
        <v>131</v>
      </c>
      <c r="F187" s="8884"/>
      <c r="G187" s="8883">
        <v>1</v>
      </c>
      <c r="H187" s="1284"/>
      <c r="I187" s="1284"/>
      <c r="J187" s="1284"/>
      <c r="K187" s="1284"/>
      <c r="L187" s="1290"/>
      <c r="M187" s="1286"/>
      <c r="N187" s="1286"/>
      <c r="O187" s="1286"/>
      <c r="P187" s="275"/>
      <c r="Q187" s="273"/>
      <c r="R187" s="274"/>
      <c r="S187" s="1810" t="str">
        <f>INDEX(PT_DIFFERENTIATION_NUM_CS,MATCH(C187,PT_DIFFERENTIATION_CS_ID,0))</f>
        <v>10.1.1</v>
      </c>
      <c r="T187" s="225" t="s">
        <v>943</v>
      </c>
      <c r="U187" s="214"/>
      <c r="V187" s="8869"/>
      <c r="W187" s="8870"/>
      <c r="X187" s="8870"/>
      <c r="Y187" s="8870"/>
      <c r="Z187" s="8870"/>
      <c r="AA187" s="8870"/>
      <c r="AB187" s="8871"/>
      <c r="AC187" s="8869" t="str">
        <f>INDEX(PT_DIFFERENTIATION_CS,MATCH(C187,PT_DIFFERENTIATION_CS_ID,0))</f>
        <v>без дифференциации</v>
      </c>
      <c r="AD187" s="8870"/>
      <c r="AE187" s="8870"/>
      <c r="AF187" s="8870"/>
      <c r="AG187" s="8870"/>
      <c r="AH187" s="8870"/>
      <c r="AI187" s="8870"/>
      <c r="AJ187" s="8871"/>
      <c r="AK187" s="1182" t="s">
        <v>944</v>
      </c>
      <c r="AL187" s="1562"/>
      <c r="AM187" s="1544"/>
      <c r="AN187" s="1544" t="str">
        <f t="shared" si="3"/>
        <v>Наименование централизованной системы холодного водоснабжения</v>
      </c>
      <c r="AO187" s="1544"/>
      <c r="AP187" s="1544"/>
    </row>
    <row r="188" spans="1:42" s="1818" customFormat="1" ht="23.25" customHeight="1">
      <c r="A188" s="1284"/>
      <c r="B188" s="1284"/>
      <c r="C188" s="1284"/>
      <c r="D188" s="1284"/>
      <c r="E188" s="8884" t="s">
        <v>131</v>
      </c>
      <c r="F188" s="8884"/>
      <c r="G188" s="8884"/>
      <c r="H188" s="8884"/>
      <c r="I188" s="8881" t="str">
        <f>S187&amp;".1"</f>
        <v>10.1.1.1</v>
      </c>
      <c r="J188" s="1284"/>
      <c r="K188" s="1284"/>
      <c r="L188" s="1290"/>
      <c r="M188" s="1696"/>
      <c r="N188" s="1696"/>
      <c r="O188" s="1696"/>
      <c r="P188" s="8882">
        <v>1</v>
      </c>
      <c r="Q188" s="1811"/>
      <c r="R188" s="277"/>
      <c r="S188" s="1810" t="str">
        <f>$I188</f>
        <v>10.1.1.1</v>
      </c>
      <c r="T188" s="200" t="s">
        <v>945</v>
      </c>
      <c r="U188" s="214"/>
      <c r="V188" s="8942"/>
      <c r="W188" s="8943"/>
      <c r="X188" s="8943"/>
      <c r="Y188" s="8943"/>
      <c r="Z188" s="8943"/>
      <c r="AA188" s="8943"/>
      <c r="AB188" s="8944"/>
      <c r="AC188" s="8945"/>
      <c r="AD188" s="8946"/>
      <c r="AE188" s="8946"/>
      <c r="AF188" s="8946"/>
      <c r="AG188" s="8946"/>
      <c r="AH188" s="8946"/>
      <c r="AI188" s="8946"/>
      <c r="AJ188" s="8947"/>
      <c r="AK188" s="1182" t="s">
        <v>946</v>
      </c>
      <c r="AL188" s="1562"/>
      <c r="AM188" s="1544"/>
      <c r="AN188" s="1544" t="str">
        <f t="shared" si="3"/>
        <v>Наименование признака дифференциации</v>
      </c>
      <c r="AO188" s="1544"/>
      <c r="AP188" s="1544"/>
    </row>
    <row r="189" spans="1:42" s="1818" customFormat="1" ht="23.25" customHeight="1">
      <c r="A189" s="1284"/>
      <c r="B189" s="1284"/>
      <c r="C189" s="1284"/>
      <c r="D189" s="1284"/>
      <c r="E189" s="8884" t="s">
        <v>131</v>
      </c>
      <c r="F189" s="8884"/>
      <c r="G189" s="8884"/>
      <c r="H189" s="8884"/>
      <c r="I189" s="8904"/>
      <c r="J189" s="8881" t="str">
        <f>I188&amp;".1"</f>
        <v>10.1.1.1.1</v>
      </c>
      <c r="K189" s="1284"/>
      <c r="L189" s="1290" t="s">
        <v>871</v>
      </c>
      <c r="M189" s="1696"/>
      <c r="N189" s="1696"/>
      <c r="O189" s="1696"/>
      <c r="P189" s="8882"/>
      <c r="Q189" s="8882">
        <v>1</v>
      </c>
      <c r="R189" s="278"/>
      <c r="S189" s="1810" t="str">
        <f>$J189</f>
        <v>10.1.1.1.1</v>
      </c>
      <c r="T189" s="201" t="s">
        <v>872</v>
      </c>
      <c r="U189" s="214"/>
      <c r="V189" s="8872"/>
      <c r="W189" s="8873"/>
      <c r="X189" s="8873"/>
      <c r="Y189" s="8873"/>
      <c r="Z189" s="8873"/>
      <c r="AA189" s="8873"/>
      <c r="AB189" s="8874"/>
      <c r="AC189" s="8872" t="s">
        <v>961</v>
      </c>
      <c r="AD189" s="8873"/>
      <c r="AE189" s="8873"/>
      <c r="AF189" s="8873"/>
      <c r="AG189" s="8873"/>
      <c r="AH189" s="8873"/>
      <c r="AI189" s="8873"/>
      <c r="AJ189" s="8874"/>
      <c r="AK189" s="1231" t="s">
        <v>947</v>
      </c>
      <c r="AL189" s="1562"/>
      <c r="AM189" s="1544"/>
      <c r="AN189" s="1544" t="str">
        <f t="shared" si="3"/>
        <v>Группа потребителей</v>
      </c>
      <c r="AO189" s="1544"/>
      <c r="AP189" s="1544"/>
    </row>
    <row r="190" spans="1:42" s="1818" customFormat="1" ht="23.25" customHeight="1">
      <c r="A190" s="1284"/>
      <c r="B190" s="1284"/>
      <c r="C190" s="1284"/>
      <c r="D190" s="1284"/>
      <c r="E190" s="8884" t="s">
        <v>131</v>
      </c>
      <c r="F190" s="8884"/>
      <c r="G190" s="8884"/>
      <c r="H190" s="8884"/>
      <c r="I190" s="8904"/>
      <c r="J190" s="8904"/>
      <c r="K190" s="8881" t="str">
        <f>J189&amp;".1"</f>
        <v>10.1.1.1.1.1</v>
      </c>
      <c r="L190" s="1290"/>
      <c r="M190" s="1696"/>
      <c r="N190" s="1696"/>
      <c r="O190" s="1696"/>
      <c r="P190" s="8882"/>
      <c r="Q190" s="8882"/>
      <c r="R190" s="278">
        <v>1</v>
      </c>
      <c r="S190" s="1810" t="str">
        <f>$K190</f>
        <v>10.1.1.1.1.1</v>
      </c>
      <c r="T190" s="1357" t="s">
        <v>962</v>
      </c>
      <c r="U190" s="214"/>
      <c r="V190" s="666"/>
      <c r="W190" s="666"/>
      <c r="X190" s="1181"/>
      <c r="Y190" s="8886"/>
      <c r="Z190" s="8734" t="s">
        <v>63</v>
      </c>
      <c r="AA190" s="8886"/>
      <c r="AB190" s="8734" t="s">
        <v>63</v>
      </c>
      <c r="AC190" s="666">
        <v>680.93</v>
      </c>
      <c r="AD190" s="666"/>
      <c r="AE190" s="1181"/>
      <c r="AF190" s="8886">
        <v>45292</v>
      </c>
      <c r="AG190" s="8734" t="s">
        <v>63</v>
      </c>
      <c r="AH190" s="8905">
        <v>45657</v>
      </c>
      <c r="AI190" s="8734" t="s">
        <v>63</v>
      </c>
      <c r="AJ190" s="1358"/>
      <c r="AK19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0" s="1562" t="e">
        <f ca="1">STRCHECKDATE(V191:AJ191)</f>
        <v>#NAME?</v>
      </c>
      <c r="AM190" s="1544"/>
      <c r="AN190" s="1544" t="str">
        <f t="shared" si="3"/>
        <v>Тариф для населения, руб. за 1 куб. метр с НДС</v>
      </c>
      <c r="AO190" s="1544"/>
      <c r="AP190" s="1544"/>
    </row>
    <row r="191" spans="1:42" s="1818" customFormat="1" ht="14.25" customHeight="1">
      <c r="A191" s="1284"/>
      <c r="B191" s="1284"/>
      <c r="C191" s="1284"/>
      <c r="D191" s="1284"/>
      <c r="E191" s="8884" t="s">
        <v>131</v>
      </c>
      <c r="F191" s="8884"/>
      <c r="G191" s="8884"/>
      <c r="H191" s="8884"/>
      <c r="I191" s="8904"/>
      <c r="J191" s="8904"/>
      <c r="K191" s="8881"/>
      <c r="L191" s="1290"/>
      <c r="M191" s="1696"/>
      <c r="N191" s="1696"/>
      <c r="O191" s="1696"/>
      <c r="P191" s="8882"/>
      <c r="Q191" s="8882"/>
      <c r="R191" s="278"/>
      <c r="S191" s="1815"/>
      <c r="T191" s="214"/>
      <c r="U191" s="214"/>
      <c r="V191" s="246"/>
      <c r="W191" s="246"/>
      <c r="X191" s="250" t="str">
        <f>Y190&amp;"-"&amp;AA190</f>
        <v>-</v>
      </c>
      <c r="Y191" s="8887"/>
      <c r="Z191" s="8734"/>
      <c r="AA191" s="8887"/>
      <c r="AB191" s="8734"/>
      <c r="AC191" s="246"/>
      <c r="AD191" s="246"/>
      <c r="AE191" s="250" t="str">
        <f>AF190&amp;"-"&amp;AH190</f>
        <v>45292-45657</v>
      </c>
      <c r="AF191" s="8887"/>
      <c r="AG191" s="8734"/>
      <c r="AH191" s="8906"/>
      <c r="AI191" s="8734"/>
      <c r="AJ191" s="1359"/>
      <c r="AK191" s="8941"/>
      <c r="AL191" s="1562"/>
      <c r="AM191" s="1544"/>
      <c r="AN191" s="1544" t="str">
        <f t="shared" si="3"/>
        <v/>
      </c>
      <c r="AO191" s="1544"/>
      <c r="AP191" s="1544"/>
    </row>
    <row r="192" spans="1:42" s="1818" customFormat="1" ht="21" customHeight="1">
      <c r="A192" s="1284"/>
      <c r="B192" s="1284"/>
      <c r="C192" s="1284"/>
      <c r="D192" s="1284"/>
      <c r="E192" s="8884" t="s">
        <v>131</v>
      </c>
      <c r="F192" s="8884"/>
      <c r="G192" s="8884"/>
      <c r="H192" s="8884"/>
      <c r="I192" s="8904"/>
      <c r="J192" s="8881"/>
      <c r="K192" s="1284"/>
      <c r="L192" s="1290"/>
      <c r="M192" s="1696"/>
      <c r="N192" s="1696"/>
      <c r="O192" s="1696"/>
      <c r="P192" s="8882"/>
      <c r="Q192" s="8882"/>
      <c r="R192" s="277"/>
      <c r="S192" s="2465"/>
      <c r="T192" s="2466" t="s">
        <v>948</v>
      </c>
      <c r="U192" s="2467"/>
      <c r="V192" s="2468"/>
      <c r="W192" s="2469"/>
      <c r="X192" s="2470"/>
      <c r="Y192" s="2471"/>
      <c r="Z192" s="2472"/>
      <c r="AA192" s="2473"/>
      <c r="AB192" s="2474"/>
      <c r="AC192" s="2475"/>
      <c r="AD192" s="2476"/>
      <c r="AE192" s="2477"/>
      <c r="AF192" s="2478"/>
      <c r="AG192" s="2479"/>
      <c r="AH192" s="2480"/>
      <c r="AI192" s="2481"/>
      <c r="AJ192" s="2482"/>
      <c r="AK192" s="1182" t="s">
        <v>949</v>
      </c>
      <c r="AL192" s="1562"/>
      <c r="AM192" s="1544"/>
      <c r="AN192" s="1544" t="str">
        <f t="shared" si="3"/>
        <v>Добавить значение признака дифференциации</v>
      </c>
      <c r="AO192" s="1544"/>
      <c r="AP192" s="1544"/>
    </row>
    <row r="193" spans="1:42" s="1818" customFormat="1" ht="23.25" customHeight="1">
      <c r="A193" s="1284"/>
      <c r="B193" s="1284"/>
      <c r="C193" s="1284"/>
      <c r="D193" s="1284"/>
      <c r="E193" s="8884"/>
      <c r="F193" s="8884"/>
      <c r="G193" s="8884"/>
      <c r="H193" s="8884"/>
      <c r="I193" s="8904"/>
      <c r="J193" s="8881" t="str">
        <f>I188&amp;".2"</f>
        <v>10.1.1.1.2</v>
      </c>
      <c r="K193" s="1284"/>
      <c r="L193" s="1290" t="s">
        <v>871</v>
      </c>
      <c r="M193" s="1696"/>
      <c r="N193" s="1696"/>
      <c r="O193" s="1696"/>
      <c r="P193" s="8882"/>
      <c r="Q193" s="8948" t="s">
        <v>100</v>
      </c>
      <c r="R193" s="278"/>
      <c r="S193" s="1810" t="str">
        <f>$J193</f>
        <v>10.1.1.1.2</v>
      </c>
      <c r="T193" s="201" t="s">
        <v>872</v>
      </c>
      <c r="U193" s="214"/>
      <c r="V193" s="8872"/>
      <c r="W193" s="8873"/>
      <c r="X193" s="8873"/>
      <c r="Y193" s="8873"/>
      <c r="Z193" s="8873"/>
      <c r="AA193" s="8873"/>
      <c r="AB193" s="8874"/>
      <c r="AC193" s="8872" t="s">
        <v>963</v>
      </c>
      <c r="AD193" s="8873"/>
      <c r="AE193" s="8873"/>
      <c r="AF193" s="8873"/>
      <c r="AG193" s="8873"/>
      <c r="AH193" s="8873"/>
      <c r="AI193" s="8873"/>
      <c r="AJ193" s="8874"/>
      <c r="AK193" s="1231" t="s">
        <v>947</v>
      </c>
      <c r="AL193" s="1562"/>
      <c r="AM193" s="1544"/>
      <c r="AN193" s="1544" t="str">
        <f t="shared" si="3"/>
        <v>Группа потребителей</v>
      </c>
      <c r="AO193" s="1544"/>
      <c r="AP193" s="1544"/>
    </row>
    <row r="194" spans="1:42" s="1818" customFormat="1" ht="23.25" customHeight="1">
      <c r="A194" s="1284"/>
      <c r="B194" s="1284"/>
      <c r="C194" s="1284"/>
      <c r="D194" s="1284"/>
      <c r="E194" s="8884"/>
      <c r="F194" s="8884"/>
      <c r="G194" s="8884"/>
      <c r="H194" s="8884"/>
      <c r="I194" s="8904"/>
      <c r="J194" s="8904" t="str">
        <f>I188&amp;".1"</f>
        <v>10.1.1.1.1</v>
      </c>
      <c r="K194" s="8881" t="str">
        <f>J193&amp;".1"</f>
        <v>10.1.1.1.2.1</v>
      </c>
      <c r="L194" s="1290"/>
      <c r="M194" s="1696"/>
      <c r="N194" s="1696"/>
      <c r="O194" s="1696"/>
      <c r="P194" s="8882"/>
      <c r="Q194" s="8882"/>
      <c r="R194" s="278">
        <v>1</v>
      </c>
      <c r="S194" s="1810" t="str">
        <f>$K194</f>
        <v>10.1.1.1.2.1</v>
      </c>
      <c r="T194" s="1357" t="s">
        <v>964</v>
      </c>
      <c r="U194" s="214"/>
      <c r="V194" s="666"/>
      <c r="W194" s="666"/>
      <c r="X194" s="1181"/>
      <c r="Y194" s="8886"/>
      <c r="Z194" s="8734" t="s">
        <v>63</v>
      </c>
      <c r="AA194" s="8886"/>
      <c r="AB194" s="8734" t="s">
        <v>63</v>
      </c>
      <c r="AC194" s="666">
        <v>567.44000000000005</v>
      </c>
      <c r="AD194" s="666"/>
      <c r="AE194" s="1181"/>
      <c r="AF194" s="8886">
        <v>45292</v>
      </c>
      <c r="AG194" s="8734" t="s">
        <v>63</v>
      </c>
      <c r="AH194" s="8905">
        <v>45657</v>
      </c>
      <c r="AI194" s="8734" t="s">
        <v>63</v>
      </c>
      <c r="AJ194" s="1358"/>
      <c r="AK19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4" s="1562" t="e">
        <f ca="1">STRCHECKDATE(V195:AJ195)</f>
        <v>#NAME?</v>
      </c>
      <c r="AM194" s="1544"/>
      <c r="AN194" s="1544" t="str">
        <f t="shared" si="3"/>
        <v>Тариф, руб. за 1 куб. метр без НДС</v>
      </c>
      <c r="AO194" s="1544"/>
      <c r="AP194" s="1544"/>
    </row>
    <row r="195" spans="1:42" s="1818" customFormat="1" ht="14.25" customHeight="1">
      <c r="A195" s="1284"/>
      <c r="B195" s="1284"/>
      <c r="C195" s="1284"/>
      <c r="D195" s="1284"/>
      <c r="E195" s="8884"/>
      <c r="F195" s="8884"/>
      <c r="G195" s="8884"/>
      <c r="H195" s="8884"/>
      <c r="I195" s="8904"/>
      <c r="J195" s="8904" t="str">
        <f>I188&amp;".1"</f>
        <v>10.1.1.1.1</v>
      </c>
      <c r="K195" s="8881"/>
      <c r="L195" s="1290"/>
      <c r="M195" s="1696"/>
      <c r="N195" s="1696"/>
      <c r="O195" s="1696"/>
      <c r="P195" s="8882"/>
      <c r="Q195" s="8882"/>
      <c r="R195" s="278"/>
      <c r="S195" s="1815"/>
      <c r="T195" s="214"/>
      <c r="U195" s="214"/>
      <c r="V195" s="246"/>
      <c r="W195" s="246"/>
      <c r="X195" s="250" t="str">
        <f>Y194&amp;"-"&amp;AA194</f>
        <v>-</v>
      </c>
      <c r="Y195" s="8887"/>
      <c r="Z195" s="8734"/>
      <c r="AA195" s="8887"/>
      <c r="AB195" s="8734"/>
      <c r="AC195" s="246"/>
      <c r="AD195" s="246"/>
      <c r="AE195" s="250" t="str">
        <f>AF194&amp;"-"&amp;AH194</f>
        <v>45292-45657</v>
      </c>
      <c r="AF195" s="8887"/>
      <c r="AG195" s="8734"/>
      <c r="AH195" s="8906"/>
      <c r="AI195" s="8734"/>
      <c r="AJ195" s="1359"/>
      <c r="AK195" s="8941"/>
      <c r="AL195" s="1562"/>
      <c r="AM195" s="1544"/>
      <c r="AN195" s="1544" t="str">
        <f t="shared" si="3"/>
        <v/>
      </c>
      <c r="AO195" s="1544"/>
      <c r="AP195" s="1544"/>
    </row>
    <row r="196" spans="1:42" s="1818" customFormat="1" ht="21" customHeight="1">
      <c r="A196" s="1284"/>
      <c r="B196" s="1284"/>
      <c r="C196" s="1284"/>
      <c r="D196" s="1284"/>
      <c r="E196" s="8884"/>
      <c r="F196" s="8884"/>
      <c r="G196" s="8884"/>
      <c r="H196" s="8884"/>
      <c r="I196" s="8904"/>
      <c r="J196" s="8881" t="str">
        <f>I188&amp;".1"</f>
        <v>10.1.1.1.1</v>
      </c>
      <c r="K196" s="1284"/>
      <c r="L196" s="1290"/>
      <c r="M196" s="1696"/>
      <c r="N196" s="1696"/>
      <c r="O196" s="1696"/>
      <c r="P196" s="8882"/>
      <c r="Q196" s="8882"/>
      <c r="R196" s="277"/>
      <c r="S196" s="2483"/>
      <c r="T196" s="2484" t="s">
        <v>948</v>
      </c>
      <c r="U196" s="2485"/>
      <c r="V196" s="2486"/>
      <c r="W196" s="2487"/>
      <c r="X196" s="2488"/>
      <c r="Y196" s="2489"/>
      <c r="Z196" s="2490"/>
      <c r="AA196" s="2491"/>
      <c r="AB196" s="2492"/>
      <c r="AC196" s="2493"/>
      <c r="AD196" s="2494"/>
      <c r="AE196" s="2495"/>
      <c r="AF196" s="2496"/>
      <c r="AG196" s="2497"/>
      <c r="AH196" s="2498"/>
      <c r="AI196" s="2499"/>
      <c r="AJ196" s="2500"/>
      <c r="AK196" s="1182" t="s">
        <v>949</v>
      </c>
      <c r="AL196" s="1562"/>
      <c r="AM196" s="1544"/>
      <c r="AN196" s="1544" t="str">
        <f t="shared" si="3"/>
        <v>Добавить значение признака дифференциации</v>
      </c>
      <c r="AO196" s="1544"/>
      <c r="AP196" s="1544"/>
    </row>
    <row r="197" spans="1:42" s="1818" customFormat="1" ht="21" customHeight="1">
      <c r="A197" s="1284"/>
      <c r="B197" s="1284"/>
      <c r="C197" s="1284"/>
      <c r="D197" s="1284"/>
      <c r="E197" s="8884" t="s">
        <v>131</v>
      </c>
      <c r="F197" s="8884"/>
      <c r="G197" s="8884"/>
      <c r="H197" s="8884"/>
      <c r="I197" s="8881"/>
      <c r="J197" s="1284"/>
      <c r="K197" s="1284"/>
      <c r="L197" s="1290"/>
      <c r="M197" s="1696"/>
      <c r="N197" s="1696"/>
      <c r="O197" s="1696"/>
      <c r="P197" s="8882"/>
      <c r="Q197" s="1811"/>
      <c r="R197" s="277"/>
      <c r="S197" s="2501"/>
      <c r="T197" s="2502" t="s">
        <v>877</v>
      </c>
      <c r="U197" s="2503"/>
      <c r="V197" s="2504"/>
      <c r="W197" s="2505"/>
      <c r="X197" s="2506"/>
      <c r="Y197" s="2507"/>
      <c r="Z197" s="2508"/>
      <c r="AA197" s="2509"/>
      <c r="AB197" s="2510"/>
      <c r="AC197" s="2511"/>
      <c r="AD197" s="2512"/>
      <c r="AE197" s="2513"/>
      <c r="AF197" s="2514"/>
      <c r="AG197" s="2515"/>
      <c r="AH197" s="2516"/>
      <c r="AI197" s="2517"/>
      <c r="AJ197" s="2518"/>
      <c r="AK197" s="2519"/>
      <c r="AL197" s="1562"/>
      <c r="AM197" s="1544"/>
      <c r="AN197" s="1544" t="str">
        <f t="shared" si="3"/>
        <v>Добавить группу потребителей</v>
      </c>
      <c r="AO197" s="1544"/>
      <c r="AP197" s="1544"/>
    </row>
    <row r="198" spans="1:42" s="1818" customFormat="1" ht="21" customHeight="1">
      <c r="A198" s="1284"/>
      <c r="B198" s="1284"/>
      <c r="C198" s="1284"/>
      <c r="D198" s="1284"/>
      <c r="E198" s="8884" t="s">
        <v>131</v>
      </c>
      <c r="F198" s="8884"/>
      <c r="G198" s="8884"/>
      <c r="H198" s="8883"/>
      <c r="I198" s="1284"/>
      <c r="J198" s="1284"/>
      <c r="K198" s="1284"/>
      <c r="L198" s="1290"/>
      <c r="M198" s="1286"/>
      <c r="N198" s="1286"/>
      <c r="O198" s="1287"/>
      <c r="P198" s="1742"/>
      <c r="Q198" s="299"/>
      <c r="R198" s="276"/>
      <c r="S198" s="2520"/>
      <c r="T198" s="2521" t="s">
        <v>950</v>
      </c>
      <c r="U198" s="2522"/>
      <c r="V198" s="2523"/>
      <c r="W198" s="2524"/>
      <c r="X198" s="2525"/>
      <c r="Y198" s="2526"/>
      <c r="Z198" s="2527"/>
      <c r="AA198" s="2528"/>
      <c r="AB198" s="2529"/>
      <c r="AC198" s="2530"/>
      <c r="AD198" s="2531"/>
      <c r="AE198" s="2532"/>
      <c r="AF198" s="2533"/>
      <c r="AG198" s="2534"/>
      <c r="AH198" s="2535"/>
      <c r="AI198" s="2536"/>
      <c r="AJ198" s="2537"/>
      <c r="AK198" s="2538"/>
      <c r="AL198" s="1562"/>
      <c r="AM198" s="1544"/>
      <c r="AN198" s="1544" t="str">
        <f t="shared" si="3"/>
        <v>Добавить наименование признака дифференциации</v>
      </c>
      <c r="AO198" s="1544"/>
      <c r="AP198" s="1544"/>
    </row>
    <row r="199" spans="1:42" s="541" customFormat="1" ht="14.25" customHeight="1">
      <c r="A199" s="1265"/>
      <c r="B199" s="1265"/>
      <c r="C199" s="1265"/>
      <c r="D199" s="1265"/>
      <c r="E199" s="8884" t="s">
        <v>131</v>
      </c>
      <c r="F199" s="8883"/>
      <c r="G199" s="1265"/>
      <c r="H199" s="1265"/>
      <c r="I199" s="1265"/>
      <c r="J199" s="1265"/>
      <c r="K199" s="1265"/>
      <c r="L199" s="1466"/>
      <c r="M199" s="1244"/>
      <c r="N199" s="1244"/>
      <c r="O199" s="1562"/>
      <c r="P199" s="1239"/>
      <c r="Q199" s="1266"/>
      <c r="R199" s="1239"/>
      <c r="S199" s="1245"/>
      <c r="T199" s="1248" t="s">
        <v>314</v>
      </c>
      <c r="U199" s="1247"/>
      <c r="V199" s="1247"/>
      <c r="W199" s="1247"/>
      <c r="X199" s="1247"/>
      <c r="Y199" s="1247"/>
      <c r="Z199" s="1247"/>
      <c r="AA199" s="1247"/>
      <c r="AB199" s="1247"/>
      <c r="AC199" s="1247"/>
      <c r="AD199" s="1247"/>
      <c r="AE199" s="1247"/>
      <c r="AF199" s="1247"/>
      <c r="AG199" s="1247"/>
      <c r="AH199" s="1247"/>
      <c r="AI199" s="1247"/>
      <c r="AJ199" s="1247"/>
      <c r="AK199" s="1247"/>
      <c r="AL199" s="1562"/>
      <c r="AM199" s="1544"/>
      <c r="AN199" s="1544" t="str">
        <f t="shared" si="3"/>
        <v>Добавить централизованную систему для дифференциации</v>
      </c>
      <c r="AO199" s="1544"/>
      <c r="AP199" s="1544"/>
    </row>
    <row r="200" spans="1:42" s="541" customFormat="1" ht="14.25" customHeight="1">
      <c r="A200" s="1265"/>
      <c r="B200" s="1265"/>
      <c r="C200" s="1265"/>
      <c r="D200" s="1265"/>
      <c r="E200" s="8883" t="s">
        <v>131</v>
      </c>
      <c r="F200" s="1265"/>
      <c r="G200" s="1265"/>
      <c r="H200" s="1265"/>
      <c r="I200" s="1265"/>
      <c r="J200" s="1265"/>
      <c r="K200" s="1265"/>
      <c r="L200" s="1466"/>
      <c r="M200" s="1244"/>
      <c r="N200" s="1244"/>
      <c r="O200" s="1562"/>
      <c r="P200" s="1239"/>
      <c r="Q200" s="1266"/>
      <c r="R200" s="1239"/>
      <c r="S200" s="1245"/>
      <c r="T200" s="1248" t="s">
        <v>315</v>
      </c>
      <c r="U200" s="1247"/>
      <c r="V200" s="1247"/>
      <c r="W200" s="1247"/>
      <c r="X200" s="1247"/>
      <c r="Y200" s="1247"/>
      <c r="Z200" s="1247"/>
      <c r="AA200" s="1247"/>
      <c r="AB200" s="1247"/>
      <c r="AC200" s="1247"/>
      <c r="AD200" s="1247"/>
      <c r="AE200" s="1247"/>
      <c r="AF200" s="1247"/>
      <c r="AG200" s="1247"/>
      <c r="AH200" s="1247"/>
      <c r="AI200" s="1247"/>
      <c r="AJ200" s="1247"/>
      <c r="AK200" s="1247"/>
      <c r="AL200" s="1562"/>
      <c r="AM200" s="1544"/>
      <c r="AN200" s="1544" t="str">
        <f t="shared" si="3"/>
        <v>Добавить территорию для дифференциации</v>
      </c>
      <c r="AO200" s="1544"/>
      <c r="AP200" s="1544"/>
    </row>
    <row r="201" spans="1:42" s="1818" customFormat="1" ht="23.25" customHeight="1">
      <c r="A201" s="1284" t="s">
        <v>362</v>
      </c>
      <c r="B201" s="1284"/>
      <c r="C201" s="1284"/>
      <c r="D201" s="1284"/>
      <c r="E201" s="8883" t="s">
        <v>102</v>
      </c>
      <c r="F201" s="1284"/>
      <c r="G201" s="1284"/>
      <c r="H201" s="1284"/>
      <c r="I201" s="1284"/>
      <c r="J201" s="1284"/>
      <c r="K201" s="1284"/>
      <c r="L201" s="1290"/>
      <c r="M201" s="1286"/>
      <c r="N201" s="1286"/>
      <c r="O201" s="1286"/>
      <c r="P201" s="1812"/>
      <c r="Q201" s="1742"/>
      <c r="R201" s="276"/>
      <c r="S201" s="1810" t="str">
        <f>INDEX(PT_DIFFERENTIATION_NUM_NTAR,MATCH(A201,PT_DIFFERENTIATION_NTAR_ID,0))</f>
        <v>11</v>
      </c>
      <c r="T201" s="1440" t="s">
        <v>211</v>
      </c>
      <c r="U201" s="214"/>
      <c r="V201" s="8869"/>
      <c r="W201" s="8870"/>
      <c r="X201" s="8870"/>
      <c r="Y201" s="8870"/>
      <c r="Z201" s="8870"/>
      <c r="AA201" s="8870"/>
      <c r="AB201" s="8871"/>
      <c r="AC201" s="8869" t="str">
        <f>INDEX(PT_DIFFERENTIATION_NTAR,MATCH(A201,PT_DIFFERENTIATION_NTAR_ID,0))</f>
        <v>Подвоз воды потребителям поселка Правобережного</v>
      </c>
      <c r="AD201" s="8870"/>
      <c r="AE201" s="8870"/>
      <c r="AF201" s="8870"/>
      <c r="AG201" s="8870"/>
      <c r="AH201" s="8870"/>
      <c r="AI201" s="8870"/>
      <c r="AJ201" s="8871"/>
      <c r="AK20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201" s="1562"/>
      <c r="AM201" s="1544"/>
      <c r="AN201" s="1544" t="str">
        <f t="shared" si="3"/>
        <v>Наименование тарифа</v>
      </c>
      <c r="AO201" s="1544"/>
      <c r="AP201" s="1544"/>
    </row>
    <row r="202" spans="1:42" s="1818" customFormat="1" ht="23.25" customHeight="1">
      <c r="A202" s="1284"/>
      <c r="B202" s="1284" t="s">
        <v>363</v>
      </c>
      <c r="C202" s="1284"/>
      <c r="D202" s="1284"/>
      <c r="E202" s="8884" t="s">
        <v>136</v>
      </c>
      <c r="F202" s="8883">
        <v>1</v>
      </c>
      <c r="G202" s="1284"/>
      <c r="H202" s="1284"/>
      <c r="I202" s="1284"/>
      <c r="J202" s="1284"/>
      <c r="K202" s="1284"/>
      <c r="L202" s="1290"/>
      <c r="M202" s="1286"/>
      <c r="N202" s="1286"/>
      <c r="O202" s="1286"/>
      <c r="P202" s="1807"/>
      <c r="Q202" s="273"/>
      <c r="R202" s="274"/>
      <c r="S202" s="1810" t="str">
        <f>INDEX(PT_DIFFERENTIATION_NUM_TER,MATCH(B202,PT_DIFFERENTIATION_TER_ID,0))</f>
        <v>11.1</v>
      </c>
      <c r="T202" s="1437" t="s">
        <v>862</v>
      </c>
      <c r="U202" s="214"/>
      <c r="V202" s="8869"/>
      <c r="W202" s="8870"/>
      <c r="X202" s="8870"/>
      <c r="Y202" s="8870"/>
      <c r="Z202" s="8870"/>
      <c r="AA202" s="8870"/>
      <c r="AB202" s="8871"/>
      <c r="AC202" s="8869" t="str">
        <f>INDEX(PT_DIFFERENTIATION_TER,MATCH(B202,PT_DIFFERENTIATION_TER_ID,0))</f>
        <v>Территория 5</v>
      </c>
      <c r="AD202" s="8870"/>
      <c r="AE202" s="8870"/>
      <c r="AF202" s="8870"/>
      <c r="AG202" s="8870"/>
      <c r="AH202" s="8870"/>
      <c r="AI202" s="8870"/>
      <c r="AJ202" s="8871"/>
      <c r="AK202" s="1182" t="s">
        <v>863</v>
      </c>
      <c r="AL202" s="1562"/>
      <c r="AM202" s="1544"/>
      <c r="AN202" s="1544" t="str">
        <f t="shared" si="3"/>
        <v>Территория действия тарифа</v>
      </c>
      <c r="AO202" s="1544"/>
      <c r="AP202" s="1544"/>
    </row>
    <row r="203" spans="1:42" s="1818" customFormat="1" ht="23.25" customHeight="1">
      <c r="A203" s="1284"/>
      <c r="B203" s="1284"/>
      <c r="C203" s="1284" t="s">
        <v>364</v>
      </c>
      <c r="D203" s="1284"/>
      <c r="E203" s="8884" t="s">
        <v>136</v>
      </c>
      <c r="F203" s="8884"/>
      <c r="G203" s="8883">
        <v>1</v>
      </c>
      <c r="H203" s="1284"/>
      <c r="I203" s="1284"/>
      <c r="J203" s="1284"/>
      <c r="K203" s="1284"/>
      <c r="L203" s="1290"/>
      <c r="M203" s="1286"/>
      <c r="N203" s="1286"/>
      <c r="O203" s="1286"/>
      <c r="P203" s="275"/>
      <c r="Q203" s="273"/>
      <c r="R203" s="274"/>
      <c r="S203" s="1810" t="str">
        <f>INDEX(PT_DIFFERENTIATION_NUM_CS,MATCH(C203,PT_DIFFERENTIATION_CS_ID,0))</f>
        <v>11.1.1</v>
      </c>
      <c r="T203" s="225" t="s">
        <v>943</v>
      </c>
      <c r="U203" s="214"/>
      <c r="V203" s="8869"/>
      <c r="W203" s="8870"/>
      <c r="X203" s="8870"/>
      <c r="Y203" s="8870"/>
      <c r="Z203" s="8870"/>
      <c r="AA203" s="8870"/>
      <c r="AB203" s="8871"/>
      <c r="AC203" s="8869" t="str">
        <f>INDEX(PT_DIFFERENTIATION_CS,MATCH(C203,PT_DIFFERENTIATION_CS_ID,0))</f>
        <v>без дифференциации</v>
      </c>
      <c r="AD203" s="8870"/>
      <c r="AE203" s="8870"/>
      <c r="AF203" s="8870"/>
      <c r="AG203" s="8870"/>
      <c r="AH203" s="8870"/>
      <c r="AI203" s="8870"/>
      <c r="AJ203" s="8871"/>
      <c r="AK203" s="1182" t="s">
        <v>944</v>
      </c>
      <c r="AL203" s="1562"/>
      <c r="AM203" s="1544"/>
      <c r="AN203" s="1544" t="str">
        <f t="shared" si="3"/>
        <v>Наименование централизованной системы холодного водоснабжения</v>
      </c>
      <c r="AO203" s="1544"/>
      <c r="AP203" s="1544"/>
    </row>
    <row r="204" spans="1:42" s="1818" customFormat="1" ht="23.25" customHeight="1">
      <c r="A204" s="1284"/>
      <c r="B204" s="1284"/>
      <c r="C204" s="1284"/>
      <c r="D204" s="1284"/>
      <c r="E204" s="8884" t="s">
        <v>136</v>
      </c>
      <c r="F204" s="8884"/>
      <c r="G204" s="8884"/>
      <c r="H204" s="8884"/>
      <c r="I204" s="8881" t="str">
        <f>S203&amp;".1"</f>
        <v>11.1.1.1</v>
      </c>
      <c r="J204" s="1284"/>
      <c r="K204" s="1284"/>
      <c r="L204" s="1290"/>
      <c r="M204" s="1696"/>
      <c r="N204" s="1696"/>
      <c r="O204" s="1696"/>
      <c r="P204" s="8882">
        <v>1</v>
      </c>
      <c r="Q204" s="1811"/>
      <c r="R204" s="277"/>
      <c r="S204" s="1810" t="str">
        <f>$I204</f>
        <v>11.1.1.1</v>
      </c>
      <c r="T204" s="200" t="s">
        <v>945</v>
      </c>
      <c r="U204" s="214"/>
      <c r="V204" s="8942"/>
      <c r="W204" s="8943"/>
      <c r="X204" s="8943"/>
      <c r="Y204" s="8943"/>
      <c r="Z204" s="8943"/>
      <c r="AA204" s="8943"/>
      <c r="AB204" s="8944"/>
      <c r="AC204" s="8945"/>
      <c r="AD204" s="8946"/>
      <c r="AE204" s="8946"/>
      <c r="AF204" s="8946"/>
      <c r="AG204" s="8946"/>
      <c r="AH204" s="8946"/>
      <c r="AI204" s="8946"/>
      <c r="AJ204" s="8947"/>
      <c r="AK204" s="1182" t="s">
        <v>946</v>
      </c>
      <c r="AL204" s="1562"/>
      <c r="AM204" s="1544"/>
      <c r="AN204" s="1544" t="str">
        <f t="shared" si="3"/>
        <v>Наименование признака дифференциации</v>
      </c>
      <c r="AO204" s="1544"/>
      <c r="AP204" s="1544"/>
    </row>
    <row r="205" spans="1:42" s="1818" customFormat="1" ht="23.25" customHeight="1">
      <c r="A205" s="1284"/>
      <c r="B205" s="1284"/>
      <c r="C205" s="1284"/>
      <c r="D205" s="1284"/>
      <c r="E205" s="8884" t="s">
        <v>136</v>
      </c>
      <c r="F205" s="8884"/>
      <c r="G205" s="8884"/>
      <c r="H205" s="8884"/>
      <c r="I205" s="8904"/>
      <c r="J205" s="8881" t="str">
        <f>I204&amp;".1"</f>
        <v>11.1.1.1.1</v>
      </c>
      <c r="K205" s="1284"/>
      <c r="L205" s="1290" t="s">
        <v>871</v>
      </c>
      <c r="M205" s="1696"/>
      <c r="N205" s="1696"/>
      <c r="O205" s="1696"/>
      <c r="P205" s="8882"/>
      <c r="Q205" s="8882">
        <v>1</v>
      </c>
      <c r="R205" s="278"/>
      <c r="S205" s="1810" t="str">
        <f>$J205</f>
        <v>11.1.1.1.1</v>
      </c>
      <c r="T205" s="201" t="s">
        <v>872</v>
      </c>
      <c r="U205" s="214"/>
      <c r="V205" s="8872"/>
      <c r="W205" s="8873"/>
      <c r="X205" s="8873"/>
      <c r="Y205" s="8873"/>
      <c r="Z205" s="8873"/>
      <c r="AA205" s="8873"/>
      <c r="AB205" s="8874"/>
      <c r="AC205" s="8872" t="s">
        <v>961</v>
      </c>
      <c r="AD205" s="8873"/>
      <c r="AE205" s="8873"/>
      <c r="AF205" s="8873"/>
      <c r="AG205" s="8873"/>
      <c r="AH205" s="8873"/>
      <c r="AI205" s="8873"/>
      <c r="AJ205" s="8874"/>
      <c r="AK205" s="1231" t="s">
        <v>947</v>
      </c>
      <c r="AL205" s="1562"/>
      <c r="AM205" s="1544"/>
      <c r="AN205" s="1544" t="str">
        <f t="shared" si="3"/>
        <v>Группа потребителей</v>
      </c>
      <c r="AO205" s="1544"/>
      <c r="AP205" s="1544"/>
    </row>
    <row r="206" spans="1:42" s="1818" customFormat="1" ht="23.25" customHeight="1">
      <c r="A206" s="1284"/>
      <c r="B206" s="1284"/>
      <c r="C206" s="1284"/>
      <c r="D206" s="1284"/>
      <c r="E206" s="8884" t="s">
        <v>136</v>
      </c>
      <c r="F206" s="8884"/>
      <c r="G206" s="8884"/>
      <c r="H206" s="8884"/>
      <c r="I206" s="8904"/>
      <c r="J206" s="8904"/>
      <c r="K206" s="8881" t="str">
        <f>J205&amp;".1"</f>
        <v>11.1.1.1.1.1</v>
      </c>
      <c r="L206" s="1290"/>
      <c r="M206" s="1696"/>
      <c r="N206" s="1696"/>
      <c r="O206" s="1696"/>
      <c r="P206" s="8882"/>
      <c r="Q206" s="8882"/>
      <c r="R206" s="278">
        <v>1</v>
      </c>
      <c r="S206" s="1810" t="str">
        <f>$K206</f>
        <v>11.1.1.1.1.1</v>
      </c>
      <c r="T206" s="1357" t="s">
        <v>962</v>
      </c>
      <c r="U206" s="214"/>
      <c r="V206" s="666"/>
      <c r="W206" s="666"/>
      <c r="X206" s="1181"/>
      <c r="Y206" s="8886"/>
      <c r="Z206" s="8734" t="s">
        <v>63</v>
      </c>
      <c r="AA206" s="8886"/>
      <c r="AB206" s="8734" t="s">
        <v>63</v>
      </c>
      <c r="AC206" s="666">
        <v>573.29</v>
      </c>
      <c r="AD206" s="666"/>
      <c r="AE206" s="1181"/>
      <c r="AF206" s="8886">
        <v>45292</v>
      </c>
      <c r="AG206" s="8734" t="s">
        <v>63</v>
      </c>
      <c r="AH206" s="8905">
        <v>45657</v>
      </c>
      <c r="AI206" s="8734" t="s">
        <v>63</v>
      </c>
      <c r="AJ206" s="1358"/>
      <c r="AK20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6" s="1562" t="e">
        <f ca="1">STRCHECKDATE(V207:AJ207)</f>
        <v>#NAME?</v>
      </c>
      <c r="AM206" s="1544"/>
      <c r="AN206" s="1544" t="str">
        <f t="shared" si="3"/>
        <v>Тариф для населения, руб. за 1 куб. метр с НДС</v>
      </c>
      <c r="AO206" s="1544"/>
      <c r="AP206" s="1544"/>
    </row>
    <row r="207" spans="1:42" s="1818" customFormat="1" ht="14.25" customHeight="1">
      <c r="A207" s="1284"/>
      <c r="B207" s="1284"/>
      <c r="C207" s="1284"/>
      <c r="D207" s="1284"/>
      <c r="E207" s="8884" t="s">
        <v>136</v>
      </c>
      <c r="F207" s="8884"/>
      <c r="G207" s="8884"/>
      <c r="H207" s="8884"/>
      <c r="I207" s="8904"/>
      <c r="J207" s="8904"/>
      <c r="K207" s="8881"/>
      <c r="L207" s="1290"/>
      <c r="M207" s="1696"/>
      <c r="N207" s="1696"/>
      <c r="O207" s="1696"/>
      <c r="P207" s="8882"/>
      <c r="Q207" s="8882"/>
      <c r="R207" s="278"/>
      <c r="S207" s="1815"/>
      <c r="T207" s="214"/>
      <c r="U207" s="214"/>
      <c r="V207" s="246"/>
      <c r="W207" s="246"/>
      <c r="X207" s="250" t="str">
        <f>Y206&amp;"-"&amp;AA206</f>
        <v>-</v>
      </c>
      <c r="Y207" s="8887"/>
      <c r="Z207" s="8734"/>
      <c r="AA207" s="8887"/>
      <c r="AB207" s="8734"/>
      <c r="AC207" s="246"/>
      <c r="AD207" s="246"/>
      <c r="AE207" s="250" t="str">
        <f>AF206&amp;"-"&amp;AH206</f>
        <v>45292-45657</v>
      </c>
      <c r="AF207" s="8887"/>
      <c r="AG207" s="8734"/>
      <c r="AH207" s="8906"/>
      <c r="AI207" s="8734"/>
      <c r="AJ207" s="1359"/>
      <c r="AK207" s="8941"/>
      <c r="AL207" s="1562"/>
      <c r="AM207" s="1544"/>
      <c r="AN207" s="1544" t="str">
        <f t="shared" si="3"/>
        <v/>
      </c>
      <c r="AO207" s="1544"/>
      <c r="AP207" s="1544"/>
    </row>
    <row r="208" spans="1:42" s="1818" customFormat="1" ht="21" customHeight="1">
      <c r="A208" s="1284"/>
      <c r="B208" s="1284"/>
      <c r="C208" s="1284"/>
      <c r="D208" s="1284"/>
      <c r="E208" s="8884" t="s">
        <v>136</v>
      </c>
      <c r="F208" s="8884"/>
      <c r="G208" s="8884"/>
      <c r="H208" s="8884"/>
      <c r="I208" s="8904"/>
      <c r="J208" s="8881"/>
      <c r="K208" s="1284"/>
      <c r="L208" s="1290"/>
      <c r="M208" s="1696"/>
      <c r="N208" s="1696"/>
      <c r="O208" s="1696"/>
      <c r="P208" s="8882"/>
      <c r="Q208" s="8882"/>
      <c r="R208" s="277"/>
      <c r="S208" s="2539"/>
      <c r="T208" s="2540" t="s">
        <v>948</v>
      </c>
      <c r="U208" s="2541"/>
      <c r="V208" s="2542"/>
      <c r="W208" s="2543"/>
      <c r="X208" s="2544"/>
      <c r="Y208" s="2545"/>
      <c r="Z208" s="2546"/>
      <c r="AA208" s="2547"/>
      <c r="AB208" s="2548"/>
      <c r="AC208" s="2549"/>
      <c r="AD208" s="2550"/>
      <c r="AE208" s="2551"/>
      <c r="AF208" s="2552"/>
      <c r="AG208" s="2553"/>
      <c r="AH208" s="2554"/>
      <c r="AI208" s="2555"/>
      <c r="AJ208" s="2556"/>
      <c r="AK208" s="1182" t="s">
        <v>949</v>
      </c>
      <c r="AL208" s="1562"/>
      <c r="AM208" s="1544"/>
      <c r="AN208" s="1544" t="str">
        <f t="shared" si="3"/>
        <v>Добавить значение признака дифференциации</v>
      </c>
      <c r="AO208" s="1544"/>
      <c r="AP208" s="1544"/>
    </row>
    <row r="209" spans="1:42" s="1818" customFormat="1" ht="23.25" customHeight="1">
      <c r="A209" s="1284"/>
      <c r="B209" s="1284"/>
      <c r="C209" s="1284"/>
      <c r="D209" s="1284"/>
      <c r="E209" s="8884"/>
      <c r="F209" s="8884"/>
      <c r="G209" s="8884"/>
      <c r="H209" s="8884"/>
      <c r="I209" s="8904"/>
      <c r="J209" s="8881" t="str">
        <f>I204&amp;".2"</f>
        <v>11.1.1.1.2</v>
      </c>
      <c r="K209" s="1284"/>
      <c r="L209" s="1290" t="s">
        <v>871</v>
      </c>
      <c r="M209" s="1696"/>
      <c r="N209" s="1696"/>
      <c r="O209" s="1696"/>
      <c r="P209" s="8882"/>
      <c r="Q209" s="8948" t="s">
        <v>100</v>
      </c>
      <c r="R209" s="278"/>
      <c r="S209" s="1810" t="str">
        <f>$J209</f>
        <v>11.1.1.1.2</v>
      </c>
      <c r="T209" s="201" t="s">
        <v>872</v>
      </c>
      <c r="U209" s="214"/>
      <c r="V209" s="8872"/>
      <c r="W209" s="8873"/>
      <c r="X209" s="8873"/>
      <c r="Y209" s="8873"/>
      <c r="Z209" s="8873"/>
      <c r="AA209" s="8873"/>
      <c r="AB209" s="8874"/>
      <c r="AC209" s="8872" t="s">
        <v>963</v>
      </c>
      <c r="AD209" s="8873"/>
      <c r="AE209" s="8873"/>
      <c r="AF209" s="8873"/>
      <c r="AG209" s="8873"/>
      <c r="AH209" s="8873"/>
      <c r="AI209" s="8873"/>
      <c r="AJ209" s="8874"/>
      <c r="AK209" s="1231" t="s">
        <v>947</v>
      </c>
      <c r="AL209" s="1562"/>
      <c r="AM209" s="1544"/>
      <c r="AN209" s="1544" t="str">
        <f t="shared" si="3"/>
        <v>Группа потребителей</v>
      </c>
      <c r="AO209" s="1544"/>
      <c r="AP209" s="1544"/>
    </row>
    <row r="210" spans="1:42" s="1818" customFormat="1" ht="23.25" customHeight="1">
      <c r="A210" s="1284"/>
      <c r="B210" s="1284"/>
      <c r="C210" s="1284"/>
      <c r="D210" s="1284"/>
      <c r="E210" s="8884"/>
      <c r="F210" s="8884"/>
      <c r="G210" s="8884"/>
      <c r="H210" s="8884"/>
      <c r="I210" s="8904"/>
      <c r="J210" s="8904" t="str">
        <f>I204&amp;".1"</f>
        <v>11.1.1.1.1</v>
      </c>
      <c r="K210" s="8881" t="str">
        <f>J209&amp;".1"</f>
        <v>11.1.1.1.2.1</v>
      </c>
      <c r="L210" s="1290"/>
      <c r="M210" s="1696"/>
      <c r="N210" s="1696"/>
      <c r="O210" s="1696"/>
      <c r="P210" s="8882"/>
      <c r="Q210" s="8882"/>
      <c r="R210" s="278">
        <v>1</v>
      </c>
      <c r="S210" s="1810" t="str">
        <f>$K210</f>
        <v>11.1.1.1.2.1</v>
      </c>
      <c r="T210" s="1357" t="s">
        <v>964</v>
      </c>
      <c r="U210" s="214"/>
      <c r="V210" s="666"/>
      <c r="W210" s="666"/>
      <c r="X210" s="1181"/>
      <c r="Y210" s="8886"/>
      <c r="Z210" s="8734" t="s">
        <v>63</v>
      </c>
      <c r="AA210" s="8886"/>
      <c r="AB210" s="8734" t="s">
        <v>63</v>
      </c>
      <c r="AC210" s="666">
        <v>477.74</v>
      </c>
      <c r="AD210" s="666"/>
      <c r="AE210" s="1181"/>
      <c r="AF210" s="8886">
        <v>45292</v>
      </c>
      <c r="AG210" s="8734" t="s">
        <v>63</v>
      </c>
      <c r="AH210" s="8905">
        <v>45657</v>
      </c>
      <c r="AI210" s="8734" t="s">
        <v>63</v>
      </c>
      <c r="AJ210" s="1358"/>
      <c r="AK21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0" s="1562" t="e">
        <f ca="1">STRCHECKDATE(V211:AJ211)</f>
        <v>#NAME?</v>
      </c>
      <c r="AM210" s="1544"/>
      <c r="AN210" s="1544" t="str">
        <f t="shared" si="3"/>
        <v>Тариф, руб. за 1 куб. метр без НДС</v>
      </c>
      <c r="AO210" s="1544"/>
      <c r="AP210" s="1544"/>
    </row>
    <row r="211" spans="1:42" s="1818" customFormat="1" ht="14.25" customHeight="1">
      <c r="A211" s="1284"/>
      <c r="B211" s="1284"/>
      <c r="C211" s="1284"/>
      <c r="D211" s="1284"/>
      <c r="E211" s="8884"/>
      <c r="F211" s="8884"/>
      <c r="G211" s="8884"/>
      <c r="H211" s="8884"/>
      <c r="I211" s="8904"/>
      <c r="J211" s="8904" t="str">
        <f>I204&amp;".1"</f>
        <v>11.1.1.1.1</v>
      </c>
      <c r="K211" s="8881"/>
      <c r="L211" s="1290"/>
      <c r="M211" s="1696"/>
      <c r="N211" s="1696"/>
      <c r="O211" s="1696"/>
      <c r="P211" s="8882"/>
      <c r="Q211" s="8882"/>
      <c r="R211" s="278"/>
      <c r="S211" s="1815"/>
      <c r="T211" s="214"/>
      <c r="U211" s="214"/>
      <c r="V211" s="246"/>
      <c r="W211" s="246"/>
      <c r="X211" s="250" t="str">
        <f>Y210&amp;"-"&amp;AA210</f>
        <v>-</v>
      </c>
      <c r="Y211" s="8887"/>
      <c r="Z211" s="8734"/>
      <c r="AA211" s="8887"/>
      <c r="AB211" s="8734"/>
      <c r="AC211" s="246"/>
      <c r="AD211" s="246"/>
      <c r="AE211" s="250" t="str">
        <f>AF210&amp;"-"&amp;AH210</f>
        <v>45292-45657</v>
      </c>
      <c r="AF211" s="8887"/>
      <c r="AG211" s="8734"/>
      <c r="AH211" s="8906"/>
      <c r="AI211" s="8734"/>
      <c r="AJ211" s="1359"/>
      <c r="AK211" s="8941"/>
      <c r="AL211" s="1562"/>
      <c r="AM211" s="1544"/>
      <c r="AN211" s="1544" t="str">
        <f t="shared" si="3"/>
        <v/>
      </c>
      <c r="AO211" s="1544"/>
      <c r="AP211" s="1544"/>
    </row>
    <row r="212" spans="1:42" s="1818" customFormat="1" ht="21" customHeight="1">
      <c r="A212" s="1284"/>
      <c r="B212" s="1284"/>
      <c r="C212" s="1284"/>
      <c r="D212" s="1284"/>
      <c r="E212" s="8884"/>
      <c r="F212" s="8884"/>
      <c r="G212" s="8884"/>
      <c r="H212" s="8884"/>
      <c r="I212" s="8904"/>
      <c r="J212" s="8881" t="str">
        <f>I204&amp;".1"</f>
        <v>11.1.1.1.1</v>
      </c>
      <c r="K212" s="1284"/>
      <c r="L212" s="1290"/>
      <c r="M212" s="1696"/>
      <c r="N212" s="1696"/>
      <c r="O212" s="1696"/>
      <c r="P212" s="8882"/>
      <c r="Q212" s="8882"/>
      <c r="R212" s="277"/>
      <c r="S212" s="2557"/>
      <c r="T212" s="2558" t="s">
        <v>948</v>
      </c>
      <c r="U212" s="2559"/>
      <c r="V212" s="2560"/>
      <c r="W212" s="2561"/>
      <c r="X212" s="2562"/>
      <c r="Y212" s="2563"/>
      <c r="Z212" s="2564"/>
      <c r="AA212" s="2565"/>
      <c r="AB212" s="2566"/>
      <c r="AC212" s="2567"/>
      <c r="AD212" s="2568"/>
      <c r="AE212" s="2569"/>
      <c r="AF212" s="2570"/>
      <c r="AG212" s="2571"/>
      <c r="AH212" s="2572"/>
      <c r="AI212" s="2573"/>
      <c r="AJ212" s="2574"/>
      <c r="AK212" s="1182" t="s">
        <v>949</v>
      </c>
      <c r="AL212" s="1562"/>
      <c r="AM212" s="1544"/>
      <c r="AN212" s="1544" t="str">
        <f t="shared" si="3"/>
        <v>Добавить значение признака дифференциации</v>
      </c>
      <c r="AO212" s="1544"/>
      <c r="AP212" s="1544"/>
    </row>
    <row r="213" spans="1:42" s="1818" customFormat="1" ht="21" customHeight="1">
      <c r="A213" s="1284"/>
      <c r="B213" s="1284"/>
      <c r="C213" s="1284"/>
      <c r="D213" s="1284"/>
      <c r="E213" s="8884" t="s">
        <v>136</v>
      </c>
      <c r="F213" s="8884"/>
      <c r="G213" s="8884"/>
      <c r="H213" s="8884"/>
      <c r="I213" s="8881"/>
      <c r="J213" s="1284"/>
      <c r="K213" s="1284"/>
      <c r="L213" s="1290"/>
      <c r="M213" s="1696"/>
      <c r="N213" s="1696"/>
      <c r="O213" s="1696"/>
      <c r="P213" s="8882"/>
      <c r="Q213" s="1811"/>
      <c r="R213" s="277"/>
      <c r="S213" s="2575"/>
      <c r="T213" s="2576" t="s">
        <v>877</v>
      </c>
      <c r="U213" s="2577"/>
      <c r="V213" s="2578"/>
      <c r="W213" s="2579"/>
      <c r="X213" s="2580"/>
      <c r="Y213" s="2581"/>
      <c r="Z213" s="2582"/>
      <c r="AA213" s="2583"/>
      <c r="AB213" s="2584"/>
      <c r="AC213" s="2585"/>
      <c r="AD213" s="2586"/>
      <c r="AE213" s="2587"/>
      <c r="AF213" s="2588"/>
      <c r="AG213" s="2589"/>
      <c r="AH213" s="2590"/>
      <c r="AI213" s="2591"/>
      <c r="AJ213" s="2592"/>
      <c r="AK213" s="2593"/>
      <c r="AL213" s="1562"/>
      <c r="AM213" s="1544"/>
      <c r="AN213" s="1544" t="str">
        <f t="shared" si="3"/>
        <v>Добавить группу потребителей</v>
      </c>
      <c r="AO213" s="1544"/>
      <c r="AP213" s="1544"/>
    </row>
    <row r="214" spans="1:42" s="1818" customFormat="1" ht="21" customHeight="1">
      <c r="A214" s="1284"/>
      <c r="B214" s="1284"/>
      <c r="C214" s="1284"/>
      <c r="D214" s="1284"/>
      <c r="E214" s="8884" t="s">
        <v>136</v>
      </c>
      <c r="F214" s="8884"/>
      <c r="G214" s="8884"/>
      <c r="H214" s="8883"/>
      <c r="I214" s="1284"/>
      <c r="J214" s="1284"/>
      <c r="K214" s="1284"/>
      <c r="L214" s="1290"/>
      <c r="M214" s="1286"/>
      <c r="N214" s="1286"/>
      <c r="O214" s="1287"/>
      <c r="P214" s="1742"/>
      <c r="Q214" s="299"/>
      <c r="R214" s="276"/>
      <c r="S214" s="2594"/>
      <c r="T214" s="2595" t="s">
        <v>950</v>
      </c>
      <c r="U214" s="2596"/>
      <c r="V214" s="2597"/>
      <c r="W214" s="2598"/>
      <c r="X214" s="2599"/>
      <c r="Y214" s="2600"/>
      <c r="Z214" s="2601"/>
      <c r="AA214" s="2602"/>
      <c r="AB214" s="2603"/>
      <c r="AC214" s="2604"/>
      <c r="AD214" s="2605"/>
      <c r="AE214" s="2606"/>
      <c r="AF214" s="2607"/>
      <c r="AG214" s="2608"/>
      <c r="AH214" s="2609"/>
      <c r="AI214" s="2610"/>
      <c r="AJ214" s="2611"/>
      <c r="AK214" s="2612"/>
      <c r="AL214" s="1562"/>
      <c r="AM214" s="1544"/>
      <c r="AN214" s="1544" t="str">
        <f t="shared" si="3"/>
        <v>Добавить наименование признака дифференциации</v>
      </c>
      <c r="AO214" s="1544"/>
      <c r="AP214" s="1544"/>
    </row>
    <row r="215" spans="1:42" s="541" customFormat="1" ht="14.25" customHeight="1">
      <c r="A215" s="1265"/>
      <c r="B215" s="1265"/>
      <c r="C215" s="1265"/>
      <c r="D215" s="1265"/>
      <c r="E215" s="8884" t="s">
        <v>136</v>
      </c>
      <c r="F215" s="8883"/>
      <c r="G215" s="1265"/>
      <c r="H215" s="1265"/>
      <c r="I215" s="1265"/>
      <c r="J215" s="1265"/>
      <c r="K215" s="1265"/>
      <c r="L215" s="1466"/>
      <c r="M215" s="1244"/>
      <c r="N215" s="1244"/>
      <c r="O215" s="1562"/>
      <c r="P215" s="1239"/>
      <c r="Q215" s="1266"/>
      <c r="R215" s="1239"/>
      <c r="S215" s="1245"/>
      <c r="T215" s="1248" t="s">
        <v>314</v>
      </c>
      <c r="U215" s="1247"/>
      <c r="V215" s="1247"/>
      <c r="W215" s="1247"/>
      <c r="X215" s="1247"/>
      <c r="Y215" s="1247"/>
      <c r="Z215" s="1247"/>
      <c r="AA215" s="1247"/>
      <c r="AB215" s="1247"/>
      <c r="AC215" s="1247"/>
      <c r="AD215" s="1247"/>
      <c r="AE215" s="1247"/>
      <c r="AF215" s="1247"/>
      <c r="AG215" s="1247"/>
      <c r="AH215" s="1247"/>
      <c r="AI215" s="1247"/>
      <c r="AJ215" s="1247"/>
      <c r="AK215" s="1247"/>
      <c r="AL215" s="1562"/>
      <c r="AM215" s="1544"/>
      <c r="AN215" s="1544" t="str">
        <f t="shared" si="3"/>
        <v>Добавить централизованную систему для дифференциации</v>
      </c>
      <c r="AO215" s="1544"/>
      <c r="AP215" s="1544"/>
    </row>
    <row r="216" spans="1:42" s="541" customFormat="1" ht="14.25" customHeight="1">
      <c r="A216" s="1265"/>
      <c r="B216" s="1265"/>
      <c r="C216" s="1265"/>
      <c r="D216" s="1265"/>
      <c r="E216" s="8883" t="s">
        <v>136</v>
      </c>
      <c r="F216" s="1265"/>
      <c r="G216" s="1265"/>
      <c r="H216" s="1265"/>
      <c r="I216" s="1265"/>
      <c r="J216" s="1265"/>
      <c r="K216" s="1265"/>
      <c r="L216" s="1466"/>
      <c r="M216" s="1244"/>
      <c r="N216" s="1244"/>
      <c r="O216" s="1562"/>
      <c r="P216" s="1239"/>
      <c r="Q216" s="1266"/>
      <c r="R216" s="1239"/>
      <c r="S216" s="1245"/>
      <c r="T216" s="1248" t="s">
        <v>315</v>
      </c>
      <c r="U216" s="1247"/>
      <c r="V216" s="1247"/>
      <c r="W216" s="1247"/>
      <c r="X216" s="1247"/>
      <c r="Y216" s="1247"/>
      <c r="Z216" s="1247"/>
      <c r="AA216" s="1247"/>
      <c r="AB216" s="1247"/>
      <c r="AC216" s="1247"/>
      <c r="AD216" s="1247"/>
      <c r="AE216" s="1247"/>
      <c r="AF216" s="1247"/>
      <c r="AG216" s="1247"/>
      <c r="AH216" s="1247"/>
      <c r="AI216" s="1247"/>
      <c r="AJ216" s="1247"/>
      <c r="AK216" s="1247"/>
      <c r="AL216" s="1562"/>
      <c r="AM216" s="1544"/>
      <c r="AN216" s="1544" t="str">
        <f t="shared" si="3"/>
        <v>Добавить территорию для дифференциации</v>
      </c>
      <c r="AO216" s="1544"/>
      <c r="AP216" s="1544"/>
    </row>
    <row r="217" spans="1:42" s="1818" customFormat="1" ht="23.25" customHeight="1">
      <c r="A217" s="1284" t="s">
        <v>367</v>
      </c>
      <c r="B217" s="1284"/>
      <c r="C217" s="1284"/>
      <c r="D217" s="1284"/>
      <c r="E217" s="8883" t="s">
        <v>145</v>
      </c>
      <c r="F217" s="1284"/>
      <c r="G217" s="1284"/>
      <c r="H217" s="1284"/>
      <c r="I217" s="1284"/>
      <c r="J217" s="1284"/>
      <c r="K217" s="1284"/>
      <c r="L217" s="1290"/>
      <c r="M217" s="1286"/>
      <c r="N217" s="1286"/>
      <c r="O217" s="1286"/>
      <c r="P217" s="1812"/>
      <c r="Q217" s="1742"/>
      <c r="R217" s="276"/>
      <c r="S217" s="1810" t="str">
        <f>INDEX(PT_DIFFERENTIATION_NUM_NTAR,MATCH(A217,PT_DIFFERENTIATION_NTAR_ID,0))</f>
        <v>12</v>
      </c>
      <c r="T217" s="1440" t="s">
        <v>211</v>
      </c>
      <c r="U217" s="214"/>
      <c r="V217" s="8869"/>
      <c r="W217" s="8870"/>
      <c r="X217" s="8870"/>
      <c r="Y217" s="8870"/>
      <c r="Z217" s="8870"/>
      <c r="AA217" s="8870"/>
      <c r="AB217" s="8871"/>
      <c r="AC217" s="8869" t="str">
        <f>INDEX(PT_DIFFERENTIATION_NTAR,MATCH(A217,PT_DIFFERENTIATION_NTAR_ID,0))</f>
        <v>Подвоз воды потребителям хутора Добровольного</v>
      </c>
      <c r="AD217" s="8870"/>
      <c r="AE217" s="8870"/>
      <c r="AF217" s="8870"/>
      <c r="AG217" s="8870"/>
      <c r="AH217" s="8870"/>
      <c r="AI217" s="8870"/>
      <c r="AJ217" s="8871"/>
      <c r="AK21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217" s="1562"/>
      <c r="AM217" s="1544"/>
      <c r="AN217" s="1544" t="str">
        <f t="shared" si="3"/>
        <v>Наименование тарифа</v>
      </c>
      <c r="AO217" s="1544"/>
      <c r="AP217" s="1544"/>
    </row>
    <row r="218" spans="1:42" s="1818" customFormat="1" ht="23.25" customHeight="1">
      <c r="A218" s="1284"/>
      <c r="B218" s="1284" t="s">
        <v>368</v>
      </c>
      <c r="C218" s="1284"/>
      <c r="D218" s="1284"/>
      <c r="E218" s="8884" t="s">
        <v>102</v>
      </c>
      <c r="F218" s="8883">
        <v>1</v>
      </c>
      <c r="G218" s="1284"/>
      <c r="H218" s="1284"/>
      <c r="I218" s="1284"/>
      <c r="J218" s="1284"/>
      <c r="K218" s="1284"/>
      <c r="L218" s="1290"/>
      <c r="M218" s="1286"/>
      <c r="N218" s="1286"/>
      <c r="O218" s="1286"/>
      <c r="P218" s="1807"/>
      <c r="Q218" s="273"/>
      <c r="R218" s="274"/>
      <c r="S218" s="1810" t="str">
        <f>INDEX(PT_DIFFERENTIATION_NUM_TER,MATCH(B218,PT_DIFFERENTIATION_TER_ID,0))</f>
        <v>12.1</v>
      </c>
      <c r="T218" s="1437" t="s">
        <v>862</v>
      </c>
      <c r="U218" s="214"/>
      <c r="V218" s="8869"/>
      <c r="W218" s="8870"/>
      <c r="X218" s="8870"/>
      <c r="Y218" s="8870"/>
      <c r="Z218" s="8870"/>
      <c r="AA218" s="8870"/>
      <c r="AB218" s="8871"/>
      <c r="AC218" s="8869" t="str">
        <f>INDEX(PT_DIFFERENTIATION_TER,MATCH(B218,PT_DIFFERENTIATION_TER_ID,0))</f>
        <v>Территория 6</v>
      </c>
      <c r="AD218" s="8870"/>
      <c r="AE218" s="8870"/>
      <c r="AF218" s="8870"/>
      <c r="AG218" s="8870"/>
      <c r="AH218" s="8870"/>
      <c r="AI218" s="8870"/>
      <c r="AJ218" s="8871"/>
      <c r="AK218" s="1182" t="s">
        <v>863</v>
      </c>
      <c r="AL218" s="1562"/>
      <c r="AM218" s="1544"/>
      <c r="AN218" s="1544" t="str">
        <f t="shared" si="3"/>
        <v>Территория действия тарифа</v>
      </c>
      <c r="AO218" s="1544"/>
      <c r="AP218" s="1544"/>
    </row>
    <row r="219" spans="1:42" s="1818" customFormat="1" ht="23.25" customHeight="1">
      <c r="A219" s="1284"/>
      <c r="B219" s="1284"/>
      <c r="C219" s="1284" t="s">
        <v>369</v>
      </c>
      <c r="D219" s="1284"/>
      <c r="E219" s="8884" t="s">
        <v>102</v>
      </c>
      <c r="F219" s="8884"/>
      <c r="G219" s="8883">
        <v>1</v>
      </c>
      <c r="H219" s="1284"/>
      <c r="I219" s="1284"/>
      <c r="J219" s="1284"/>
      <c r="K219" s="1284"/>
      <c r="L219" s="1290"/>
      <c r="M219" s="1286"/>
      <c r="N219" s="1286"/>
      <c r="O219" s="1286"/>
      <c r="P219" s="275"/>
      <c r="Q219" s="273"/>
      <c r="R219" s="274"/>
      <c r="S219" s="1810" t="str">
        <f>INDEX(PT_DIFFERENTIATION_NUM_CS,MATCH(C219,PT_DIFFERENTIATION_CS_ID,0))</f>
        <v>12.1.1</v>
      </c>
      <c r="T219" s="225" t="s">
        <v>943</v>
      </c>
      <c r="U219" s="214"/>
      <c r="V219" s="8869"/>
      <c r="W219" s="8870"/>
      <c r="X219" s="8870"/>
      <c r="Y219" s="8870"/>
      <c r="Z219" s="8870"/>
      <c r="AA219" s="8870"/>
      <c r="AB219" s="8871"/>
      <c r="AC219" s="8869" t="str">
        <f>INDEX(PT_DIFFERENTIATION_CS,MATCH(C219,PT_DIFFERENTIATION_CS_ID,0))</f>
        <v>без дифференциации</v>
      </c>
      <c r="AD219" s="8870"/>
      <c r="AE219" s="8870"/>
      <c r="AF219" s="8870"/>
      <c r="AG219" s="8870"/>
      <c r="AH219" s="8870"/>
      <c r="AI219" s="8870"/>
      <c r="AJ219" s="8871"/>
      <c r="AK219" s="1182" t="s">
        <v>944</v>
      </c>
      <c r="AL219" s="1562"/>
      <c r="AM219" s="1544"/>
      <c r="AN219" s="1544" t="str">
        <f t="shared" si="3"/>
        <v>Наименование централизованной системы холодного водоснабжения</v>
      </c>
      <c r="AO219" s="1544"/>
      <c r="AP219" s="1544"/>
    </row>
    <row r="220" spans="1:42" s="1818" customFormat="1" ht="23.25" customHeight="1">
      <c r="A220" s="1284"/>
      <c r="B220" s="1284"/>
      <c r="C220" s="1284"/>
      <c r="D220" s="1284"/>
      <c r="E220" s="8884" t="s">
        <v>102</v>
      </c>
      <c r="F220" s="8884"/>
      <c r="G220" s="8884"/>
      <c r="H220" s="8884"/>
      <c r="I220" s="8881" t="str">
        <f>S219&amp;".1"</f>
        <v>12.1.1.1</v>
      </c>
      <c r="J220" s="1284"/>
      <c r="K220" s="1284"/>
      <c r="L220" s="1290"/>
      <c r="M220" s="1696"/>
      <c r="N220" s="1696"/>
      <c r="O220" s="1696"/>
      <c r="P220" s="8882">
        <v>1</v>
      </c>
      <c r="Q220" s="1811"/>
      <c r="R220" s="277"/>
      <c r="S220" s="1810" t="str">
        <f>$I220</f>
        <v>12.1.1.1</v>
      </c>
      <c r="T220" s="200" t="s">
        <v>945</v>
      </c>
      <c r="U220" s="214"/>
      <c r="V220" s="8942"/>
      <c r="W220" s="8943"/>
      <c r="X220" s="8943"/>
      <c r="Y220" s="8943"/>
      <c r="Z220" s="8943"/>
      <c r="AA220" s="8943"/>
      <c r="AB220" s="8944"/>
      <c r="AC220" s="8945"/>
      <c r="AD220" s="8946"/>
      <c r="AE220" s="8946"/>
      <c r="AF220" s="8946"/>
      <c r="AG220" s="8946"/>
      <c r="AH220" s="8946"/>
      <c r="AI220" s="8946"/>
      <c r="AJ220" s="8947"/>
      <c r="AK220" s="1182" t="s">
        <v>946</v>
      </c>
      <c r="AL220" s="1562"/>
      <c r="AM220" s="1544"/>
      <c r="AN220" s="1544" t="str">
        <f t="shared" si="3"/>
        <v>Наименование признака дифференциации</v>
      </c>
      <c r="AO220" s="1544"/>
      <c r="AP220" s="1544"/>
    </row>
    <row r="221" spans="1:42" s="1818" customFormat="1" ht="23.25" customHeight="1">
      <c r="A221" s="1284"/>
      <c r="B221" s="1284"/>
      <c r="C221" s="1284"/>
      <c r="D221" s="1284"/>
      <c r="E221" s="8884" t="s">
        <v>102</v>
      </c>
      <c r="F221" s="8884"/>
      <c r="G221" s="8884"/>
      <c r="H221" s="8884"/>
      <c r="I221" s="8904"/>
      <c r="J221" s="8881" t="str">
        <f>I220&amp;".1"</f>
        <v>12.1.1.1.1</v>
      </c>
      <c r="K221" s="1284"/>
      <c r="L221" s="1290" t="s">
        <v>871</v>
      </c>
      <c r="M221" s="1696"/>
      <c r="N221" s="1696"/>
      <c r="O221" s="1696"/>
      <c r="P221" s="8882"/>
      <c r="Q221" s="8882">
        <v>1</v>
      </c>
      <c r="R221" s="278"/>
      <c r="S221" s="1810" t="str">
        <f>$J221</f>
        <v>12.1.1.1.1</v>
      </c>
      <c r="T221" s="201" t="s">
        <v>872</v>
      </c>
      <c r="U221" s="214"/>
      <c r="V221" s="8872"/>
      <c r="W221" s="8873"/>
      <c r="X221" s="8873"/>
      <c r="Y221" s="8873"/>
      <c r="Z221" s="8873"/>
      <c r="AA221" s="8873"/>
      <c r="AB221" s="8874"/>
      <c r="AC221" s="8872" t="s">
        <v>961</v>
      </c>
      <c r="AD221" s="8873"/>
      <c r="AE221" s="8873"/>
      <c r="AF221" s="8873"/>
      <c r="AG221" s="8873"/>
      <c r="AH221" s="8873"/>
      <c r="AI221" s="8873"/>
      <c r="AJ221" s="8874"/>
      <c r="AK221" s="1231" t="s">
        <v>947</v>
      </c>
      <c r="AL221" s="1562"/>
      <c r="AM221" s="1544"/>
      <c r="AN221" s="1544" t="str">
        <f t="shared" si="3"/>
        <v>Группа потребителей</v>
      </c>
      <c r="AO221" s="1544"/>
      <c r="AP221" s="1544"/>
    </row>
    <row r="222" spans="1:42" s="1818" customFormat="1" ht="23.25" customHeight="1">
      <c r="A222" s="1284"/>
      <c r="B222" s="1284"/>
      <c r="C222" s="1284"/>
      <c r="D222" s="1284"/>
      <c r="E222" s="8884" t="s">
        <v>102</v>
      </c>
      <c r="F222" s="8884"/>
      <c r="G222" s="8884"/>
      <c r="H222" s="8884"/>
      <c r="I222" s="8904"/>
      <c r="J222" s="8904"/>
      <c r="K222" s="8881" t="str">
        <f>J221&amp;".1"</f>
        <v>12.1.1.1.1.1</v>
      </c>
      <c r="L222" s="1290"/>
      <c r="M222" s="1696"/>
      <c r="N222" s="1696"/>
      <c r="O222" s="1696"/>
      <c r="P222" s="8882"/>
      <c r="Q222" s="8882"/>
      <c r="R222" s="278">
        <v>1</v>
      </c>
      <c r="S222" s="1810" t="str">
        <f>$K222</f>
        <v>12.1.1.1.1.1</v>
      </c>
      <c r="T222" s="1357" t="s">
        <v>962</v>
      </c>
      <c r="U222" s="214"/>
      <c r="V222" s="666"/>
      <c r="W222" s="666"/>
      <c r="X222" s="1181"/>
      <c r="Y222" s="8886"/>
      <c r="Z222" s="8734" t="s">
        <v>63</v>
      </c>
      <c r="AA222" s="8886"/>
      <c r="AB222" s="8734" t="s">
        <v>63</v>
      </c>
      <c r="AC222" s="666">
        <v>831.19</v>
      </c>
      <c r="AD222" s="666"/>
      <c r="AE222" s="1181"/>
      <c r="AF222" s="8886">
        <v>45292</v>
      </c>
      <c r="AG222" s="8734" t="s">
        <v>63</v>
      </c>
      <c r="AH222" s="8905">
        <v>45657</v>
      </c>
      <c r="AI222" s="8734" t="s">
        <v>63</v>
      </c>
      <c r="AJ222" s="1358"/>
      <c r="AK22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2" s="1562" t="e">
        <f ca="1">STRCHECKDATE(V223:AJ223)</f>
        <v>#NAME?</v>
      </c>
      <c r="AM222" s="1544"/>
      <c r="AN222" s="1544" t="str">
        <f t="shared" si="3"/>
        <v>Тариф для населения, руб. за 1 куб. метр с НДС</v>
      </c>
      <c r="AO222" s="1544"/>
      <c r="AP222" s="1544"/>
    </row>
    <row r="223" spans="1:42" s="1818" customFormat="1" ht="14.25" customHeight="1">
      <c r="A223" s="1284"/>
      <c r="B223" s="1284"/>
      <c r="C223" s="1284"/>
      <c r="D223" s="1284"/>
      <c r="E223" s="8884" t="s">
        <v>102</v>
      </c>
      <c r="F223" s="8884"/>
      <c r="G223" s="8884"/>
      <c r="H223" s="8884"/>
      <c r="I223" s="8904"/>
      <c r="J223" s="8904"/>
      <c r="K223" s="8881"/>
      <c r="L223" s="1290"/>
      <c r="M223" s="1696"/>
      <c r="N223" s="1696"/>
      <c r="O223" s="1696"/>
      <c r="P223" s="8882"/>
      <c r="Q223" s="8882"/>
      <c r="R223" s="278"/>
      <c r="S223" s="1815"/>
      <c r="T223" s="214"/>
      <c r="U223" s="214"/>
      <c r="V223" s="246"/>
      <c r="W223" s="246"/>
      <c r="X223" s="250" t="str">
        <f>Y222&amp;"-"&amp;AA222</f>
        <v>-</v>
      </c>
      <c r="Y223" s="8887"/>
      <c r="Z223" s="8734"/>
      <c r="AA223" s="8887"/>
      <c r="AB223" s="8734"/>
      <c r="AC223" s="246"/>
      <c r="AD223" s="246"/>
      <c r="AE223" s="250" t="str">
        <f>AF222&amp;"-"&amp;AH222</f>
        <v>45292-45657</v>
      </c>
      <c r="AF223" s="8887"/>
      <c r="AG223" s="8734"/>
      <c r="AH223" s="8906"/>
      <c r="AI223" s="8734"/>
      <c r="AJ223" s="1359"/>
      <c r="AK223" s="8941"/>
      <c r="AL223" s="1562"/>
      <c r="AM223" s="1544"/>
      <c r="AN223" s="1544" t="str">
        <f t="shared" si="3"/>
        <v/>
      </c>
      <c r="AO223" s="1544"/>
      <c r="AP223" s="1544"/>
    </row>
    <row r="224" spans="1:42" s="1818" customFormat="1" ht="21" customHeight="1">
      <c r="A224" s="1284"/>
      <c r="B224" s="1284"/>
      <c r="C224" s="1284"/>
      <c r="D224" s="1284"/>
      <c r="E224" s="8884" t="s">
        <v>102</v>
      </c>
      <c r="F224" s="8884"/>
      <c r="G224" s="8884"/>
      <c r="H224" s="8884"/>
      <c r="I224" s="8904"/>
      <c r="J224" s="8881"/>
      <c r="K224" s="1284"/>
      <c r="L224" s="1290"/>
      <c r="M224" s="1696"/>
      <c r="N224" s="1696"/>
      <c r="O224" s="1696"/>
      <c r="P224" s="8882"/>
      <c r="Q224" s="8882"/>
      <c r="R224" s="277"/>
      <c r="S224" s="2613"/>
      <c r="T224" s="2614" t="s">
        <v>948</v>
      </c>
      <c r="U224" s="2615"/>
      <c r="V224" s="2616"/>
      <c r="W224" s="2617"/>
      <c r="X224" s="2618"/>
      <c r="Y224" s="2619"/>
      <c r="Z224" s="2620"/>
      <c r="AA224" s="2621"/>
      <c r="AB224" s="2622"/>
      <c r="AC224" s="2623"/>
      <c r="AD224" s="2624"/>
      <c r="AE224" s="2625"/>
      <c r="AF224" s="2626"/>
      <c r="AG224" s="2627"/>
      <c r="AH224" s="2628"/>
      <c r="AI224" s="2629"/>
      <c r="AJ224" s="2630"/>
      <c r="AK224" s="1182" t="s">
        <v>949</v>
      </c>
      <c r="AL224" s="1562"/>
      <c r="AM224" s="1544"/>
      <c r="AN224" s="1544" t="str">
        <f t="shared" si="3"/>
        <v>Добавить значение признака дифференциации</v>
      </c>
      <c r="AO224" s="1544"/>
      <c r="AP224" s="1544"/>
    </row>
    <row r="225" spans="1:42" s="1818" customFormat="1" ht="23.25" customHeight="1">
      <c r="A225" s="1284"/>
      <c r="B225" s="1284"/>
      <c r="C225" s="1284"/>
      <c r="D225" s="1284"/>
      <c r="E225" s="8884"/>
      <c r="F225" s="8884"/>
      <c r="G225" s="8884"/>
      <c r="H225" s="8884"/>
      <c r="I225" s="8904"/>
      <c r="J225" s="8881" t="str">
        <f>I220&amp;".2"</f>
        <v>12.1.1.1.2</v>
      </c>
      <c r="K225" s="1284"/>
      <c r="L225" s="1290" t="s">
        <v>871</v>
      </c>
      <c r="M225" s="1696"/>
      <c r="N225" s="1696"/>
      <c r="O225" s="1696"/>
      <c r="P225" s="8882"/>
      <c r="Q225" s="8948" t="s">
        <v>100</v>
      </c>
      <c r="R225" s="278"/>
      <c r="S225" s="1810" t="str">
        <f>$J225</f>
        <v>12.1.1.1.2</v>
      </c>
      <c r="T225" s="201" t="s">
        <v>872</v>
      </c>
      <c r="U225" s="214"/>
      <c r="V225" s="8872"/>
      <c r="W225" s="8873"/>
      <c r="X225" s="8873"/>
      <c r="Y225" s="8873"/>
      <c r="Z225" s="8873"/>
      <c r="AA225" s="8873"/>
      <c r="AB225" s="8874"/>
      <c r="AC225" s="8872" t="s">
        <v>963</v>
      </c>
      <c r="AD225" s="8873"/>
      <c r="AE225" s="8873"/>
      <c r="AF225" s="8873"/>
      <c r="AG225" s="8873"/>
      <c r="AH225" s="8873"/>
      <c r="AI225" s="8873"/>
      <c r="AJ225" s="8874"/>
      <c r="AK225" s="1231" t="s">
        <v>947</v>
      </c>
      <c r="AL225" s="1562"/>
      <c r="AM225" s="1544"/>
      <c r="AN225" s="1544" t="str">
        <f t="shared" si="3"/>
        <v>Группа потребителей</v>
      </c>
      <c r="AO225" s="1544"/>
      <c r="AP225" s="1544"/>
    </row>
    <row r="226" spans="1:42" s="1818" customFormat="1" ht="23.25" customHeight="1">
      <c r="A226" s="1284"/>
      <c r="B226" s="1284"/>
      <c r="C226" s="1284"/>
      <c r="D226" s="1284"/>
      <c r="E226" s="8884"/>
      <c r="F226" s="8884"/>
      <c r="G226" s="8884"/>
      <c r="H226" s="8884"/>
      <c r="I226" s="8904"/>
      <c r="J226" s="8904" t="str">
        <f>I220&amp;".1"</f>
        <v>12.1.1.1.1</v>
      </c>
      <c r="K226" s="8881" t="str">
        <f>J225&amp;".1"</f>
        <v>12.1.1.1.2.1</v>
      </c>
      <c r="L226" s="1290"/>
      <c r="M226" s="1696"/>
      <c r="N226" s="1696"/>
      <c r="O226" s="1696"/>
      <c r="P226" s="8882"/>
      <c r="Q226" s="8882"/>
      <c r="R226" s="278">
        <v>1</v>
      </c>
      <c r="S226" s="1810" t="str">
        <f>$K226</f>
        <v>12.1.1.1.2.1</v>
      </c>
      <c r="T226" s="1357" t="s">
        <v>964</v>
      </c>
      <c r="U226" s="214"/>
      <c r="V226" s="666"/>
      <c r="W226" s="666"/>
      <c r="X226" s="1181"/>
      <c r="Y226" s="8886"/>
      <c r="Z226" s="8734" t="s">
        <v>63</v>
      </c>
      <c r="AA226" s="8886"/>
      <c r="AB226" s="8734" t="s">
        <v>63</v>
      </c>
      <c r="AC226" s="666">
        <v>692.66</v>
      </c>
      <c r="AD226" s="666"/>
      <c r="AE226" s="1181"/>
      <c r="AF226" s="8886">
        <v>45292</v>
      </c>
      <c r="AG226" s="8734" t="s">
        <v>63</v>
      </c>
      <c r="AH226" s="8905">
        <v>45657</v>
      </c>
      <c r="AI226" s="8734" t="s">
        <v>63</v>
      </c>
      <c r="AJ226" s="1358"/>
      <c r="AK22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6" s="1562" t="e">
        <f ca="1">STRCHECKDATE(V227:AJ227)</f>
        <v>#NAME?</v>
      </c>
      <c r="AM226" s="1544"/>
      <c r="AN226" s="1544" t="str">
        <f t="shared" si="3"/>
        <v>Тариф, руб. за 1 куб. метр без НДС</v>
      </c>
      <c r="AO226" s="1544"/>
      <c r="AP226" s="1544"/>
    </row>
    <row r="227" spans="1:42" s="1818" customFormat="1" ht="14.25" customHeight="1">
      <c r="A227" s="1284"/>
      <c r="B227" s="1284"/>
      <c r="C227" s="1284"/>
      <c r="D227" s="1284"/>
      <c r="E227" s="8884"/>
      <c r="F227" s="8884"/>
      <c r="G227" s="8884"/>
      <c r="H227" s="8884"/>
      <c r="I227" s="8904"/>
      <c r="J227" s="8904" t="str">
        <f>I220&amp;".1"</f>
        <v>12.1.1.1.1</v>
      </c>
      <c r="K227" s="8881"/>
      <c r="L227" s="1290"/>
      <c r="M227" s="1696"/>
      <c r="N227" s="1696"/>
      <c r="O227" s="1696"/>
      <c r="P227" s="8882"/>
      <c r="Q227" s="8882"/>
      <c r="R227" s="278"/>
      <c r="S227" s="1815"/>
      <c r="T227" s="214"/>
      <c r="U227" s="214"/>
      <c r="V227" s="246"/>
      <c r="W227" s="246"/>
      <c r="X227" s="250" t="str">
        <f>Y226&amp;"-"&amp;AA226</f>
        <v>-</v>
      </c>
      <c r="Y227" s="8887"/>
      <c r="Z227" s="8734"/>
      <c r="AA227" s="8887"/>
      <c r="AB227" s="8734"/>
      <c r="AC227" s="246"/>
      <c r="AD227" s="246"/>
      <c r="AE227" s="250" t="str">
        <f>AF226&amp;"-"&amp;AH226</f>
        <v>45292-45657</v>
      </c>
      <c r="AF227" s="8887"/>
      <c r="AG227" s="8734"/>
      <c r="AH227" s="8906"/>
      <c r="AI227" s="8734"/>
      <c r="AJ227" s="1359"/>
      <c r="AK227" s="8941"/>
      <c r="AL227" s="1562"/>
      <c r="AM227" s="1544"/>
      <c r="AN227" s="1544" t="str">
        <f t="shared" si="3"/>
        <v/>
      </c>
      <c r="AO227" s="1544"/>
      <c r="AP227" s="1544"/>
    </row>
    <row r="228" spans="1:42" s="1818" customFormat="1" ht="21" customHeight="1">
      <c r="A228" s="1284"/>
      <c r="B228" s="1284"/>
      <c r="C228" s="1284"/>
      <c r="D228" s="1284"/>
      <c r="E228" s="8884"/>
      <c r="F228" s="8884"/>
      <c r="G228" s="8884"/>
      <c r="H228" s="8884"/>
      <c r="I228" s="8904"/>
      <c r="J228" s="8881" t="str">
        <f>I220&amp;".1"</f>
        <v>12.1.1.1.1</v>
      </c>
      <c r="K228" s="1284"/>
      <c r="L228" s="1290"/>
      <c r="M228" s="1696"/>
      <c r="N228" s="1696"/>
      <c r="O228" s="1696"/>
      <c r="P228" s="8882"/>
      <c r="Q228" s="8882"/>
      <c r="R228" s="277"/>
      <c r="S228" s="2631"/>
      <c r="T228" s="2632" t="s">
        <v>948</v>
      </c>
      <c r="U228" s="2633"/>
      <c r="V228" s="2634"/>
      <c r="W228" s="2635"/>
      <c r="X228" s="2636"/>
      <c r="Y228" s="2637"/>
      <c r="Z228" s="2638"/>
      <c r="AA228" s="2639"/>
      <c r="AB228" s="2640"/>
      <c r="AC228" s="2641"/>
      <c r="AD228" s="2642"/>
      <c r="AE228" s="2643"/>
      <c r="AF228" s="2644"/>
      <c r="AG228" s="2645"/>
      <c r="AH228" s="2646"/>
      <c r="AI228" s="2647"/>
      <c r="AJ228" s="2648"/>
      <c r="AK228" s="1182" t="s">
        <v>949</v>
      </c>
      <c r="AL228" s="1562"/>
      <c r="AM228" s="1544"/>
      <c r="AN228" s="1544" t="str">
        <f t="shared" si="3"/>
        <v>Добавить значение признака дифференциации</v>
      </c>
      <c r="AO228" s="1544"/>
      <c r="AP228" s="1544"/>
    </row>
    <row r="229" spans="1:42" s="1818" customFormat="1" ht="21" customHeight="1">
      <c r="A229" s="1284"/>
      <c r="B229" s="1284"/>
      <c r="C229" s="1284"/>
      <c r="D229" s="1284"/>
      <c r="E229" s="8884" t="s">
        <v>102</v>
      </c>
      <c r="F229" s="8884"/>
      <c r="G229" s="8884"/>
      <c r="H229" s="8884"/>
      <c r="I229" s="8881"/>
      <c r="J229" s="1284"/>
      <c r="K229" s="1284"/>
      <c r="L229" s="1290"/>
      <c r="M229" s="1696"/>
      <c r="N229" s="1696"/>
      <c r="O229" s="1696"/>
      <c r="P229" s="8882"/>
      <c r="Q229" s="1811"/>
      <c r="R229" s="277"/>
      <c r="S229" s="2649"/>
      <c r="T229" s="2650" t="s">
        <v>877</v>
      </c>
      <c r="U229" s="2651"/>
      <c r="V229" s="2652"/>
      <c r="W229" s="2653"/>
      <c r="X229" s="2654"/>
      <c r="Y229" s="2655"/>
      <c r="Z229" s="2656"/>
      <c r="AA229" s="2657"/>
      <c r="AB229" s="2658"/>
      <c r="AC229" s="2659"/>
      <c r="AD229" s="2660"/>
      <c r="AE229" s="2661"/>
      <c r="AF229" s="2662"/>
      <c r="AG229" s="2663"/>
      <c r="AH229" s="2664"/>
      <c r="AI229" s="2665"/>
      <c r="AJ229" s="2666"/>
      <c r="AK229" s="2667"/>
      <c r="AL229" s="1562"/>
      <c r="AM229" s="1544"/>
      <c r="AN229" s="1544" t="str">
        <f t="shared" si="3"/>
        <v>Добавить группу потребителей</v>
      </c>
      <c r="AO229" s="1544"/>
      <c r="AP229" s="1544"/>
    </row>
    <row r="230" spans="1:42" s="1818" customFormat="1" ht="21" customHeight="1">
      <c r="A230" s="1284"/>
      <c r="B230" s="1284"/>
      <c r="C230" s="1284"/>
      <c r="D230" s="1284"/>
      <c r="E230" s="8884" t="s">
        <v>102</v>
      </c>
      <c r="F230" s="8884"/>
      <c r="G230" s="8884"/>
      <c r="H230" s="8883"/>
      <c r="I230" s="1284"/>
      <c r="J230" s="1284"/>
      <c r="K230" s="1284"/>
      <c r="L230" s="1290"/>
      <c r="M230" s="1286"/>
      <c r="N230" s="1286"/>
      <c r="O230" s="1287"/>
      <c r="P230" s="1742"/>
      <c r="Q230" s="299"/>
      <c r="R230" s="276"/>
      <c r="S230" s="2668"/>
      <c r="T230" s="2669" t="s">
        <v>950</v>
      </c>
      <c r="U230" s="2670"/>
      <c r="V230" s="2671"/>
      <c r="W230" s="2672"/>
      <c r="X230" s="2673"/>
      <c r="Y230" s="2674"/>
      <c r="Z230" s="2675"/>
      <c r="AA230" s="2676"/>
      <c r="AB230" s="2677"/>
      <c r="AC230" s="2678"/>
      <c r="AD230" s="2679"/>
      <c r="AE230" s="2680"/>
      <c r="AF230" s="2681"/>
      <c r="AG230" s="2682"/>
      <c r="AH230" s="2683"/>
      <c r="AI230" s="2684"/>
      <c r="AJ230" s="2685"/>
      <c r="AK230" s="2686"/>
      <c r="AL230" s="1562"/>
      <c r="AM230" s="1544"/>
      <c r="AN230" s="1544" t="str">
        <f t="shared" si="3"/>
        <v>Добавить наименование признака дифференциации</v>
      </c>
      <c r="AO230" s="1544"/>
      <c r="AP230" s="1544"/>
    </row>
    <row r="231" spans="1:42" s="541" customFormat="1" ht="14.25" customHeight="1">
      <c r="A231" s="1265"/>
      <c r="B231" s="1265"/>
      <c r="C231" s="1265"/>
      <c r="D231" s="1265"/>
      <c r="E231" s="8884" t="s">
        <v>102</v>
      </c>
      <c r="F231" s="8883"/>
      <c r="G231" s="1265"/>
      <c r="H231" s="1265"/>
      <c r="I231" s="1265"/>
      <c r="J231" s="1265"/>
      <c r="K231" s="1265"/>
      <c r="L231" s="1466"/>
      <c r="M231" s="1244"/>
      <c r="N231" s="1244"/>
      <c r="O231" s="1562"/>
      <c r="P231" s="1239"/>
      <c r="Q231" s="1266"/>
      <c r="R231" s="1239"/>
      <c r="S231" s="1245"/>
      <c r="T231" s="1248" t="s">
        <v>314</v>
      </c>
      <c r="U231" s="1247"/>
      <c r="V231" s="1247"/>
      <c r="W231" s="1247"/>
      <c r="X231" s="1247"/>
      <c r="Y231" s="1247"/>
      <c r="Z231" s="1247"/>
      <c r="AA231" s="1247"/>
      <c r="AB231" s="1247"/>
      <c r="AC231" s="1247"/>
      <c r="AD231" s="1247"/>
      <c r="AE231" s="1247"/>
      <c r="AF231" s="1247"/>
      <c r="AG231" s="1247"/>
      <c r="AH231" s="1247"/>
      <c r="AI231" s="1247"/>
      <c r="AJ231" s="1247"/>
      <c r="AK231" s="1247"/>
      <c r="AL231" s="1562"/>
      <c r="AM231" s="1544"/>
      <c r="AN231" s="1544" t="str">
        <f t="shared" si="3"/>
        <v>Добавить централизованную систему для дифференциации</v>
      </c>
      <c r="AO231" s="1544"/>
      <c r="AP231" s="1544"/>
    </row>
    <row r="232" spans="1:42" s="541" customFormat="1" ht="14.25" customHeight="1">
      <c r="A232" s="1265"/>
      <c r="B232" s="1265"/>
      <c r="C232" s="1265"/>
      <c r="D232" s="1265"/>
      <c r="E232" s="8883" t="s">
        <v>102</v>
      </c>
      <c r="F232" s="1265"/>
      <c r="G232" s="1265"/>
      <c r="H232" s="1265"/>
      <c r="I232" s="1265"/>
      <c r="J232" s="1265"/>
      <c r="K232" s="1265"/>
      <c r="L232" s="1466"/>
      <c r="M232" s="1244"/>
      <c r="N232" s="1244"/>
      <c r="O232" s="1562"/>
      <c r="P232" s="1239"/>
      <c r="Q232" s="1266"/>
      <c r="R232" s="1239"/>
      <c r="S232" s="1245"/>
      <c r="T232" s="1248" t="s">
        <v>315</v>
      </c>
      <c r="U232" s="1247"/>
      <c r="V232" s="1247"/>
      <c r="W232" s="1247"/>
      <c r="X232" s="1247"/>
      <c r="Y232" s="1247"/>
      <c r="Z232" s="1247"/>
      <c r="AA232" s="1247"/>
      <c r="AB232" s="1247"/>
      <c r="AC232" s="1247"/>
      <c r="AD232" s="1247"/>
      <c r="AE232" s="1247"/>
      <c r="AF232" s="1247"/>
      <c r="AG232" s="1247"/>
      <c r="AH232" s="1247"/>
      <c r="AI232" s="1247"/>
      <c r="AJ232" s="1247"/>
      <c r="AK232" s="1247"/>
      <c r="AL232" s="1562"/>
      <c r="AM232" s="1544"/>
      <c r="AN232" s="1544" t="str">
        <f t="shared" si="3"/>
        <v>Добавить территорию для дифференциации</v>
      </c>
      <c r="AO232" s="1544"/>
      <c r="AP232" s="1544"/>
    </row>
    <row r="233" spans="1:42" s="1818" customFormat="1" ht="23.25" customHeight="1">
      <c r="A233" s="1284" t="s">
        <v>372</v>
      </c>
      <c r="B233" s="1284"/>
      <c r="C233" s="1284"/>
      <c r="D233" s="1284"/>
      <c r="E233" s="8883" t="s">
        <v>150</v>
      </c>
      <c r="F233" s="1284"/>
      <c r="G233" s="1284"/>
      <c r="H233" s="1284"/>
      <c r="I233" s="1284"/>
      <c r="J233" s="1284"/>
      <c r="K233" s="1284"/>
      <c r="L233" s="1290"/>
      <c r="M233" s="1286"/>
      <c r="N233" s="1286"/>
      <c r="O233" s="1286"/>
      <c r="P233" s="1812"/>
      <c r="Q233" s="1742"/>
      <c r="R233" s="276"/>
      <c r="S233" s="1810" t="str">
        <f>INDEX(PT_DIFFERENTIATION_NUM_NTAR,MATCH(A233,PT_DIFFERENTIATION_NTAR_ID,0))</f>
        <v>13</v>
      </c>
      <c r="T233" s="1440" t="s">
        <v>211</v>
      </c>
      <c r="U233" s="214"/>
      <c r="V233" s="8869"/>
      <c r="W233" s="8870"/>
      <c r="X233" s="8870"/>
      <c r="Y233" s="8870"/>
      <c r="Z233" s="8870"/>
      <c r="AA233" s="8870"/>
      <c r="AB233" s="8871"/>
      <c r="AC233" s="8869" t="str">
        <f>INDEX(PT_DIFFERENTIATION_NTAR,MATCH(A233,PT_DIFFERENTIATION_NTAR_ID,0))</f>
        <v>Подвоз воды потребителям хутора Среднего</v>
      </c>
      <c r="AD233" s="8870"/>
      <c r="AE233" s="8870"/>
      <c r="AF233" s="8870"/>
      <c r="AG233" s="8870"/>
      <c r="AH233" s="8870"/>
      <c r="AI233" s="8870"/>
      <c r="AJ233" s="8871"/>
      <c r="AK23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233" s="1562"/>
      <c r="AM233" s="1544"/>
      <c r="AN233" s="1544" t="str">
        <f t="shared" ref="AN233:AN296" si="4">IF(T233="","",T233)</f>
        <v>Наименование тарифа</v>
      </c>
      <c r="AO233" s="1544"/>
      <c r="AP233" s="1544"/>
    </row>
    <row r="234" spans="1:42" s="1818" customFormat="1" ht="23.25" customHeight="1">
      <c r="A234" s="1284"/>
      <c r="B234" s="1284" t="s">
        <v>373</v>
      </c>
      <c r="C234" s="1284"/>
      <c r="D234" s="1284"/>
      <c r="E234" s="8884" t="s">
        <v>145</v>
      </c>
      <c r="F234" s="8883">
        <v>1</v>
      </c>
      <c r="G234" s="1284"/>
      <c r="H234" s="1284"/>
      <c r="I234" s="1284"/>
      <c r="J234" s="1284"/>
      <c r="K234" s="1284"/>
      <c r="L234" s="1290"/>
      <c r="M234" s="1286"/>
      <c r="N234" s="1286"/>
      <c r="O234" s="1286"/>
      <c r="P234" s="1807"/>
      <c r="Q234" s="273"/>
      <c r="R234" s="274"/>
      <c r="S234" s="1810" t="str">
        <f>INDEX(PT_DIFFERENTIATION_NUM_TER,MATCH(B234,PT_DIFFERENTIATION_TER_ID,0))</f>
        <v>13.1</v>
      </c>
      <c r="T234" s="1437" t="s">
        <v>862</v>
      </c>
      <c r="U234" s="214"/>
      <c r="V234" s="8869"/>
      <c r="W234" s="8870"/>
      <c r="X234" s="8870"/>
      <c r="Y234" s="8870"/>
      <c r="Z234" s="8870"/>
      <c r="AA234" s="8870"/>
      <c r="AB234" s="8871"/>
      <c r="AC234" s="8869" t="str">
        <f>INDEX(PT_DIFFERENTIATION_TER,MATCH(B234,PT_DIFFERENTIATION_TER_ID,0))</f>
        <v>Территория 6</v>
      </c>
      <c r="AD234" s="8870"/>
      <c r="AE234" s="8870"/>
      <c r="AF234" s="8870"/>
      <c r="AG234" s="8870"/>
      <c r="AH234" s="8870"/>
      <c r="AI234" s="8870"/>
      <c r="AJ234" s="8871"/>
      <c r="AK234" s="1182" t="s">
        <v>863</v>
      </c>
      <c r="AL234" s="1562"/>
      <c r="AM234" s="1544"/>
      <c r="AN234" s="1544" t="str">
        <f t="shared" si="4"/>
        <v>Территория действия тарифа</v>
      </c>
      <c r="AO234" s="1544"/>
      <c r="AP234" s="1544"/>
    </row>
    <row r="235" spans="1:42" s="1818" customFormat="1" ht="23.25" customHeight="1">
      <c r="A235" s="1284"/>
      <c r="B235" s="1284"/>
      <c r="C235" s="1284" t="s">
        <v>374</v>
      </c>
      <c r="D235" s="1284"/>
      <c r="E235" s="8884" t="s">
        <v>145</v>
      </c>
      <c r="F235" s="8884"/>
      <c r="G235" s="8883">
        <v>1</v>
      </c>
      <c r="H235" s="1284"/>
      <c r="I235" s="1284"/>
      <c r="J235" s="1284"/>
      <c r="K235" s="1284"/>
      <c r="L235" s="1290"/>
      <c r="M235" s="1286"/>
      <c r="N235" s="1286"/>
      <c r="O235" s="1286"/>
      <c r="P235" s="275"/>
      <c r="Q235" s="273"/>
      <c r="R235" s="274"/>
      <c r="S235" s="1810" t="str">
        <f>INDEX(PT_DIFFERENTIATION_NUM_CS,MATCH(C235,PT_DIFFERENTIATION_CS_ID,0))</f>
        <v>13.1.1</v>
      </c>
      <c r="T235" s="225" t="s">
        <v>943</v>
      </c>
      <c r="U235" s="214"/>
      <c r="V235" s="8869"/>
      <c r="W235" s="8870"/>
      <c r="X235" s="8870"/>
      <c r="Y235" s="8870"/>
      <c r="Z235" s="8870"/>
      <c r="AA235" s="8870"/>
      <c r="AB235" s="8871"/>
      <c r="AC235" s="8869" t="str">
        <f>INDEX(PT_DIFFERENTIATION_CS,MATCH(C235,PT_DIFFERENTIATION_CS_ID,0))</f>
        <v>без дифференциации</v>
      </c>
      <c r="AD235" s="8870"/>
      <c r="AE235" s="8870"/>
      <c r="AF235" s="8870"/>
      <c r="AG235" s="8870"/>
      <c r="AH235" s="8870"/>
      <c r="AI235" s="8870"/>
      <c r="AJ235" s="8871"/>
      <c r="AK235" s="1182" t="s">
        <v>944</v>
      </c>
      <c r="AL235" s="1562"/>
      <c r="AM235" s="1544"/>
      <c r="AN235" s="1544" t="str">
        <f t="shared" si="4"/>
        <v>Наименование централизованной системы холодного водоснабжения</v>
      </c>
      <c r="AO235" s="1544"/>
      <c r="AP235" s="1544"/>
    </row>
    <row r="236" spans="1:42" s="1818" customFormat="1" ht="23.25" customHeight="1">
      <c r="A236" s="1284"/>
      <c r="B236" s="1284"/>
      <c r="C236" s="1284"/>
      <c r="D236" s="1284"/>
      <c r="E236" s="8884" t="s">
        <v>145</v>
      </c>
      <c r="F236" s="8884"/>
      <c r="G236" s="8884"/>
      <c r="H236" s="8884"/>
      <c r="I236" s="8881" t="str">
        <f>S235&amp;".1"</f>
        <v>13.1.1.1</v>
      </c>
      <c r="J236" s="1284"/>
      <c r="K236" s="1284"/>
      <c r="L236" s="1290"/>
      <c r="M236" s="1696"/>
      <c r="N236" s="1696"/>
      <c r="O236" s="1696"/>
      <c r="P236" s="8882">
        <v>1</v>
      </c>
      <c r="Q236" s="1811"/>
      <c r="R236" s="277"/>
      <c r="S236" s="1810" t="str">
        <f>$I236</f>
        <v>13.1.1.1</v>
      </c>
      <c r="T236" s="200" t="s">
        <v>945</v>
      </c>
      <c r="U236" s="214"/>
      <c r="V236" s="8942"/>
      <c r="W236" s="8943"/>
      <c r="X236" s="8943"/>
      <c r="Y236" s="8943"/>
      <c r="Z236" s="8943"/>
      <c r="AA236" s="8943"/>
      <c r="AB236" s="8944"/>
      <c r="AC236" s="8945"/>
      <c r="AD236" s="8946"/>
      <c r="AE236" s="8946"/>
      <c r="AF236" s="8946"/>
      <c r="AG236" s="8946"/>
      <c r="AH236" s="8946"/>
      <c r="AI236" s="8946"/>
      <c r="AJ236" s="8947"/>
      <c r="AK236" s="1182" t="s">
        <v>946</v>
      </c>
      <c r="AL236" s="1562"/>
      <c r="AM236" s="1544"/>
      <c r="AN236" s="1544" t="str">
        <f t="shared" si="4"/>
        <v>Наименование признака дифференциации</v>
      </c>
      <c r="AO236" s="1544"/>
      <c r="AP236" s="1544"/>
    </row>
    <row r="237" spans="1:42" s="1818" customFormat="1" ht="23.25" customHeight="1">
      <c r="A237" s="1284"/>
      <c r="B237" s="1284"/>
      <c r="C237" s="1284"/>
      <c r="D237" s="1284"/>
      <c r="E237" s="8884" t="s">
        <v>145</v>
      </c>
      <c r="F237" s="8884"/>
      <c r="G237" s="8884"/>
      <c r="H237" s="8884"/>
      <c r="I237" s="8904"/>
      <c r="J237" s="8881" t="str">
        <f>I236&amp;".1"</f>
        <v>13.1.1.1.1</v>
      </c>
      <c r="K237" s="1284"/>
      <c r="L237" s="1290" t="s">
        <v>871</v>
      </c>
      <c r="M237" s="1696"/>
      <c r="N237" s="1696"/>
      <c r="O237" s="1696"/>
      <c r="P237" s="8882"/>
      <c r="Q237" s="8882">
        <v>1</v>
      </c>
      <c r="R237" s="278"/>
      <c r="S237" s="1810" t="str">
        <f>$J237</f>
        <v>13.1.1.1.1</v>
      </c>
      <c r="T237" s="201" t="s">
        <v>872</v>
      </c>
      <c r="U237" s="214"/>
      <c r="V237" s="8872"/>
      <c r="W237" s="8873"/>
      <c r="X237" s="8873"/>
      <c r="Y237" s="8873"/>
      <c r="Z237" s="8873"/>
      <c r="AA237" s="8873"/>
      <c r="AB237" s="8874"/>
      <c r="AC237" s="8872" t="s">
        <v>961</v>
      </c>
      <c r="AD237" s="8873"/>
      <c r="AE237" s="8873"/>
      <c r="AF237" s="8873"/>
      <c r="AG237" s="8873"/>
      <c r="AH237" s="8873"/>
      <c r="AI237" s="8873"/>
      <c r="AJ237" s="8874"/>
      <c r="AK237" s="1231" t="s">
        <v>947</v>
      </c>
      <c r="AL237" s="1562"/>
      <c r="AM237" s="1544"/>
      <c r="AN237" s="1544" t="str">
        <f t="shared" si="4"/>
        <v>Группа потребителей</v>
      </c>
      <c r="AO237" s="1544"/>
      <c r="AP237" s="1544"/>
    </row>
    <row r="238" spans="1:42" s="1818" customFormat="1" ht="23.25" customHeight="1">
      <c r="A238" s="1284"/>
      <c r="B238" s="1284"/>
      <c r="C238" s="1284"/>
      <c r="D238" s="1284"/>
      <c r="E238" s="8884" t="s">
        <v>145</v>
      </c>
      <c r="F238" s="8884"/>
      <c r="G238" s="8884"/>
      <c r="H238" s="8884"/>
      <c r="I238" s="8904"/>
      <c r="J238" s="8904"/>
      <c r="K238" s="8881" t="str">
        <f>J237&amp;".1"</f>
        <v>13.1.1.1.1.1</v>
      </c>
      <c r="L238" s="1290"/>
      <c r="M238" s="1696"/>
      <c r="N238" s="1696"/>
      <c r="O238" s="1696"/>
      <c r="P238" s="8882"/>
      <c r="Q238" s="8882"/>
      <c r="R238" s="278">
        <v>1</v>
      </c>
      <c r="S238" s="1810" t="str">
        <f>$K238</f>
        <v>13.1.1.1.1.1</v>
      </c>
      <c r="T238" s="1357" t="s">
        <v>962</v>
      </c>
      <c r="U238" s="214"/>
      <c r="V238" s="666"/>
      <c r="W238" s="666"/>
      <c r="X238" s="1181"/>
      <c r="Y238" s="8886"/>
      <c r="Z238" s="8734" t="s">
        <v>63</v>
      </c>
      <c r="AA238" s="8886"/>
      <c r="AB238" s="8734" t="s">
        <v>63</v>
      </c>
      <c r="AC238" s="666">
        <v>907.31</v>
      </c>
      <c r="AD238" s="666"/>
      <c r="AE238" s="1181"/>
      <c r="AF238" s="8886">
        <v>45292</v>
      </c>
      <c r="AG238" s="8734" t="s">
        <v>63</v>
      </c>
      <c r="AH238" s="8905">
        <v>45657</v>
      </c>
      <c r="AI238" s="8734" t="s">
        <v>63</v>
      </c>
      <c r="AJ238" s="1358"/>
      <c r="AK23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38" s="1562" t="e">
        <f ca="1">STRCHECKDATE(V239:AJ239)</f>
        <v>#NAME?</v>
      </c>
      <c r="AM238" s="1544"/>
      <c r="AN238" s="1544" t="str">
        <f t="shared" si="4"/>
        <v>Тариф для населения, руб. за 1 куб. метр с НДС</v>
      </c>
      <c r="AO238" s="1544"/>
      <c r="AP238" s="1544"/>
    </row>
    <row r="239" spans="1:42" s="1818" customFormat="1" ht="14.25" customHeight="1">
      <c r="A239" s="1284"/>
      <c r="B239" s="1284"/>
      <c r="C239" s="1284"/>
      <c r="D239" s="1284"/>
      <c r="E239" s="8884" t="s">
        <v>145</v>
      </c>
      <c r="F239" s="8884"/>
      <c r="G239" s="8884"/>
      <c r="H239" s="8884"/>
      <c r="I239" s="8904"/>
      <c r="J239" s="8904"/>
      <c r="K239" s="8881"/>
      <c r="L239" s="1290"/>
      <c r="M239" s="1696"/>
      <c r="N239" s="1696"/>
      <c r="O239" s="1696"/>
      <c r="P239" s="8882"/>
      <c r="Q239" s="8882"/>
      <c r="R239" s="278"/>
      <c r="S239" s="1815"/>
      <c r="T239" s="214"/>
      <c r="U239" s="214"/>
      <c r="V239" s="246"/>
      <c r="W239" s="246"/>
      <c r="X239" s="250" t="str">
        <f>Y238&amp;"-"&amp;AA238</f>
        <v>-</v>
      </c>
      <c r="Y239" s="8887"/>
      <c r="Z239" s="8734"/>
      <c r="AA239" s="8887"/>
      <c r="AB239" s="8734"/>
      <c r="AC239" s="246"/>
      <c r="AD239" s="246"/>
      <c r="AE239" s="250" t="str">
        <f>AF238&amp;"-"&amp;AH238</f>
        <v>45292-45657</v>
      </c>
      <c r="AF239" s="8887"/>
      <c r="AG239" s="8734"/>
      <c r="AH239" s="8906"/>
      <c r="AI239" s="8734"/>
      <c r="AJ239" s="1359"/>
      <c r="AK239" s="8941"/>
      <c r="AL239" s="1562"/>
      <c r="AM239" s="1544"/>
      <c r="AN239" s="1544" t="str">
        <f t="shared" si="4"/>
        <v/>
      </c>
      <c r="AO239" s="1544"/>
      <c r="AP239" s="1544"/>
    </row>
    <row r="240" spans="1:42" s="1818" customFormat="1" ht="21" customHeight="1">
      <c r="A240" s="1284"/>
      <c r="B240" s="1284"/>
      <c r="C240" s="1284"/>
      <c r="D240" s="1284"/>
      <c r="E240" s="8884" t="s">
        <v>145</v>
      </c>
      <c r="F240" s="8884"/>
      <c r="G240" s="8884"/>
      <c r="H240" s="8884"/>
      <c r="I240" s="8904"/>
      <c r="J240" s="8881"/>
      <c r="K240" s="1284"/>
      <c r="L240" s="1290"/>
      <c r="M240" s="1696"/>
      <c r="N240" s="1696"/>
      <c r="O240" s="1696"/>
      <c r="P240" s="8882"/>
      <c r="Q240" s="8882"/>
      <c r="R240" s="277"/>
      <c r="S240" s="2687"/>
      <c r="T240" s="2688" t="s">
        <v>948</v>
      </c>
      <c r="U240" s="2689"/>
      <c r="V240" s="2690"/>
      <c r="W240" s="2691"/>
      <c r="X240" s="2692"/>
      <c r="Y240" s="2693"/>
      <c r="Z240" s="2694"/>
      <c r="AA240" s="2695"/>
      <c r="AB240" s="2696"/>
      <c r="AC240" s="2697"/>
      <c r="AD240" s="2698"/>
      <c r="AE240" s="2699"/>
      <c r="AF240" s="2700"/>
      <c r="AG240" s="2701"/>
      <c r="AH240" s="2702"/>
      <c r="AI240" s="2703"/>
      <c r="AJ240" s="2704"/>
      <c r="AK240" s="1182" t="s">
        <v>949</v>
      </c>
      <c r="AL240" s="1562"/>
      <c r="AM240" s="1544"/>
      <c r="AN240" s="1544" t="str">
        <f t="shared" si="4"/>
        <v>Добавить значение признака дифференциации</v>
      </c>
      <c r="AO240" s="1544"/>
      <c r="AP240" s="1544"/>
    </row>
    <row r="241" spans="1:42" s="1818" customFormat="1" ht="23.25" customHeight="1">
      <c r="A241" s="1284"/>
      <c r="B241" s="1284"/>
      <c r="C241" s="1284"/>
      <c r="D241" s="1284"/>
      <c r="E241" s="8884"/>
      <c r="F241" s="8884"/>
      <c r="G241" s="8884"/>
      <c r="H241" s="8884"/>
      <c r="I241" s="8904"/>
      <c r="J241" s="8881" t="str">
        <f>I236&amp;".2"</f>
        <v>13.1.1.1.2</v>
      </c>
      <c r="K241" s="1284"/>
      <c r="L241" s="1290" t="s">
        <v>871</v>
      </c>
      <c r="M241" s="1696"/>
      <c r="N241" s="1696"/>
      <c r="O241" s="1696"/>
      <c r="P241" s="8882"/>
      <c r="Q241" s="8948" t="s">
        <v>100</v>
      </c>
      <c r="R241" s="278"/>
      <c r="S241" s="1810" t="str">
        <f>$J241</f>
        <v>13.1.1.1.2</v>
      </c>
      <c r="T241" s="201" t="s">
        <v>872</v>
      </c>
      <c r="U241" s="214"/>
      <c r="V241" s="8872"/>
      <c r="W241" s="8873"/>
      <c r="X241" s="8873"/>
      <c r="Y241" s="8873"/>
      <c r="Z241" s="8873"/>
      <c r="AA241" s="8873"/>
      <c r="AB241" s="8874"/>
      <c r="AC241" s="8872" t="s">
        <v>963</v>
      </c>
      <c r="AD241" s="8873"/>
      <c r="AE241" s="8873"/>
      <c r="AF241" s="8873"/>
      <c r="AG241" s="8873"/>
      <c r="AH241" s="8873"/>
      <c r="AI241" s="8873"/>
      <c r="AJ241" s="8874"/>
      <c r="AK241" s="1231" t="s">
        <v>947</v>
      </c>
      <c r="AL241" s="1562"/>
      <c r="AM241" s="1544"/>
      <c r="AN241" s="1544" t="str">
        <f t="shared" si="4"/>
        <v>Группа потребителей</v>
      </c>
      <c r="AO241" s="1544"/>
      <c r="AP241" s="1544"/>
    </row>
    <row r="242" spans="1:42" s="1818" customFormat="1" ht="23.25" customHeight="1">
      <c r="A242" s="1284"/>
      <c r="B242" s="1284"/>
      <c r="C242" s="1284"/>
      <c r="D242" s="1284"/>
      <c r="E242" s="8884"/>
      <c r="F242" s="8884"/>
      <c r="G242" s="8884"/>
      <c r="H242" s="8884"/>
      <c r="I242" s="8904"/>
      <c r="J242" s="8904" t="str">
        <f>I236&amp;".1"</f>
        <v>13.1.1.1.1</v>
      </c>
      <c r="K242" s="8881" t="str">
        <f>J241&amp;".1"</f>
        <v>13.1.1.1.2.1</v>
      </c>
      <c r="L242" s="1290"/>
      <c r="M242" s="1696"/>
      <c r="N242" s="1696"/>
      <c r="O242" s="1696"/>
      <c r="P242" s="8882"/>
      <c r="Q242" s="8882"/>
      <c r="R242" s="278">
        <v>1</v>
      </c>
      <c r="S242" s="1810" t="str">
        <f>$K242</f>
        <v>13.1.1.1.2.1</v>
      </c>
      <c r="T242" s="1357" t="s">
        <v>964</v>
      </c>
      <c r="U242" s="214"/>
      <c r="V242" s="666"/>
      <c r="W242" s="666"/>
      <c r="X242" s="1181"/>
      <c r="Y242" s="8886"/>
      <c r="Z242" s="8734" t="s">
        <v>63</v>
      </c>
      <c r="AA242" s="8886"/>
      <c r="AB242" s="8734" t="s">
        <v>63</v>
      </c>
      <c r="AC242" s="666">
        <v>756.09</v>
      </c>
      <c r="AD242" s="666"/>
      <c r="AE242" s="1181"/>
      <c r="AF242" s="8886">
        <v>45292</v>
      </c>
      <c r="AG242" s="8734" t="s">
        <v>63</v>
      </c>
      <c r="AH242" s="8905">
        <v>45657</v>
      </c>
      <c r="AI242" s="8734" t="s">
        <v>63</v>
      </c>
      <c r="AJ242" s="1358"/>
      <c r="AK24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42" s="1562" t="e">
        <f ca="1">STRCHECKDATE(V243:AJ243)</f>
        <v>#NAME?</v>
      </c>
      <c r="AM242" s="1544"/>
      <c r="AN242" s="1544" t="str">
        <f t="shared" si="4"/>
        <v>Тариф, руб. за 1 куб. метр без НДС</v>
      </c>
      <c r="AO242" s="1544"/>
      <c r="AP242" s="1544"/>
    </row>
    <row r="243" spans="1:42" s="1818" customFormat="1" ht="14.25" customHeight="1">
      <c r="A243" s="1284"/>
      <c r="B243" s="1284"/>
      <c r="C243" s="1284"/>
      <c r="D243" s="1284"/>
      <c r="E243" s="8884"/>
      <c r="F243" s="8884"/>
      <c r="G243" s="8884"/>
      <c r="H243" s="8884"/>
      <c r="I243" s="8904"/>
      <c r="J243" s="8904" t="str">
        <f>I236&amp;".1"</f>
        <v>13.1.1.1.1</v>
      </c>
      <c r="K243" s="8881"/>
      <c r="L243" s="1290"/>
      <c r="M243" s="1696"/>
      <c r="N243" s="1696"/>
      <c r="O243" s="1696"/>
      <c r="P243" s="8882"/>
      <c r="Q243" s="8882"/>
      <c r="R243" s="278"/>
      <c r="S243" s="1815"/>
      <c r="T243" s="214"/>
      <c r="U243" s="214"/>
      <c r="V243" s="246"/>
      <c r="W243" s="246"/>
      <c r="X243" s="250" t="str">
        <f>Y242&amp;"-"&amp;AA242</f>
        <v>-</v>
      </c>
      <c r="Y243" s="8887"/>
      <c r="Z243" s="8734"/>
      <c r="AA243" s="8887"/>
      <c r="AB243" s="8734"/>
      <c r="AC243" s="246"/>
      <c r="AD243" s="246"/>
      <c r="AE243" s="250" t="str">
        <f>AF242&amp;"-"&amp;AH242</f>
        <v>45292-45657</v>
      </c>
      <c r="AF243" s="8887"/>
      <c r="AG243" s="8734"/>
      <c r="AH243" s="8906"/>
      <c r="AI243" s="8734"/>
      <c r="AJ243" s="1359"/>
      <c r="AK243" s="8941"/>
      <c r="AL243" s="1562"/>
      <c r="AM243" s="1544"/>
      <c r="AN243" s="1544" t="str">
        <f t="shared" si="4"/>
        <v/>
      </c>
      <c r="AO243" s="1544"/>
      <c r="AP243" s="1544"/>
    </row>
    <row r="244" spans="1:42" s="1818" customFormat="1" ht="21" customHeight="1">
      <c r="A244" s="1284"/>
      <c r="B244" s="1284"/>
      <c r="C244" s="1284"/>
      <c r="D244" s="1284"/>
      <c r="E244" s="8884"/>
      <c r="F244" s="8884"/>
      <c r="G244" s="8884"/>
      <c r="H244" s="8884"/>
      <c r="I244" s="8904"/>
      <c r="J244" s="8881" t="str">
        <f>I236&amp;".1"</f>
        <v>13.1.1.1.1</v>
      </c>
      <c r="K244" s="1284"/>
      <c r="L244" s="1290"/>
      <c r="M244" s="1696"/>
      <c r="N244" s="1696"/>
      <c r="O244" s="1696"/>
      <c r="P244" s="8882"/>
      <c r="Q244" s="8882"/>
      <c r="R244" s="277"/>
      <c r="S244" s="2705"/>
      <c r="T244" s="2706" t="s">
        <v>948</v>
      </c>
      <c r="U244" s="2707"/>
      <c r="V244" s="2708"/>
      <c r="W244" s="2709"/>
      <c r="X244" s="2710"/>
      <c r="Y244" s="2711"/>
      <c r="Z244" s="2712"/>
      <c r="AA244" s="2713"/>
      <c r="AB244" s="2714"/>
      <c r="AC244" s="2715"/>
      <c r="AD244" s="2716"/>
      <c r="AE244" s="2717"/>
      <c r="AF244" s="2718"/>
      <c r="AG244" s="2719"/>
      <c r="AH244" s="2720"/>
      <c r="AI244" s="2721"/>
      <c r="AJ244" s="2722"/>
      <c r="AK244" s="1182" t="s">
        <v>949</v>
      </c>
      <c r="AL244" s="1562"/>
      <c r="AM244" s="1544"/>
      <c r="AN244" s="1544" t="str">
        <f t="shared" si="4"/>
        <v>Добавить значение признака дифференциации</v>
      </c>
      <c r="AO244" s="1544"/>
      <c r="AP244" s="1544"/>
    </row>
    <row r="245" spans="1:42" s="1818" customFormat="1" ht="21" customHeight="1">
      <c r="A245" s="1284"/>
      <c r="B245" s="1284"/>
      <c r="C245" s="1284"/>
      <c r="D245" s="1284"/>
      <c r="E245" s="8884" t="s">
        <v>145</v>
      </c>
      <c r="F245" s="8884"/>
      <c r="G245" s="8884"/>
      <c r="H245" s="8884"/>
      <c r="I245" s="8881"/>
      <c r="J245" s="1284"/>
      <c r="K245" s="1284"/>
      <c r="L245" s="1290"/>
      <c r="M245" s="1696"/>
      <c r="N245" s="1696"/>
      <c r="O245" s="1696"/>
      <c r="P245" s="8882"/>
      <c r="Q245" s="1811"/>
      <c r="R245" s="277"/>
      <c r="S245" s="2723"/>
      <c r="T245" s="2724" t="s">
        <v>877</v>
      </c>
      <c r="U245" s="2725"/>
      <c r="V245" s="2726"/>
      <c r="W245" s="2727"/>
      <c r="X245" s="2728"/>
      <c r="Y245" s="2729"/>
      <c r="Z245" s="2730"/>
      <c r="AA245" s="2731"/>
      <c r="AB245" s="2732"/>
      <c r="AC245" s="2733"/>
      <c r="AD245" s="2734"/>
      <c r="AE245" s="2735"/>
      <c r="AF245" s="2736"/>
      <c r="AG245" s="2737"/>
      <c r="AH245" s="2738"/>
      <c r="AI245" s="2739"/>
      <c r="AJ245" s="2740"/>
      <c r="AK245" s="2741"/>
      <c r="AL245" s="1562"/>
      <c r="AM245" s="1544"/>
      <c r="AN245" s="1544" t="str">
        <f t="shared" si="4"/>
        <v>Добавить группу потребителей</v>
      </c>
      <c r="AO245" s="1544"/>
      <c r="AP245" s="1544"/>
    </row>
    <row r="246" spans="1:42" s="1818" customFormat="1" ht="21" customHeight="1">
      <c r="A246" s="1284"/>
      <c r="B246" s="1284"/>
      <c r="C246" s="1284"/>
      <c r="D246" s="1284"/>
      <c r="E246" s="8884" t="s">
        <v>145</v>
      </c>
      <c r="F246" s="8884"/>
      <c r="G246" s="8884"/>
      <c r="H246" s="8883"/>
      <c r="I246" s="1284"/>
      <c r="J246" s="1284"/>
      <c r="K246" s="1284"/>
      <c r="L246" s="1290"/>
      <c r="M246" s="1286"/>
      <c r="N246" s="1286"/>
      <c r="O246" s="1287"/>
      <c r="P246" s="1742"/>
      <c r="Q246" s="299"/>
      <c r="R246" s="276"/>
      <c r="S246" s="2742"/>
      <c r="T246" s="2743" t="s">
        <v>950</v>
      </c>
      <c r="U246" s="2744"/>
      <c r="V246" s="2745"/>
      <c r="W246" s="2746"/>
      <c r="X246" s="2747"/>
      <c r="Y246" s="2748"/>
      <c r="Z246" s="2749"/>
      <c r="AA246" s="2750"/>
      <c r="AB246" s="2751"/>
      <c r="AC246" s="2752"/>
      <c r="AD246" s="2753"/>
      <c r="AE246" s="2754"/>
      <c r="AF246" s="2755"/>
      <c r="AG246" s="2756"/>
      <c r="AH246" s="2757"/>
      <c r="AI246" s="2758"/>
      <c r="AJ246" s="2759"/>
      <c r="AK246" s="2760"/>
      <c r="AL246" s="1562"/>
      <c r="AM246" s="1544"/>
      <c r="AN246" s="1544" t="str">
        <f t="shared" si="4"/>
        <v>Добавить наименование признака дифференциации</v>
      </c>
      <c r="AO246" s="1544"/>
      <c r="AP246" s="1544"/>
    </row>
    <row r="247" spans="1:42" s="541" customFormat="1" ht="14.25" customHeight="1">
      <c r="A247" s="1265"/>
      <c r="B247" s="1265"/>
      <c r="C247" s="1265"/>
      <c r="D247" s="1265"/>
      <c r="E247" s="8884" t="s">
        <v>145</v>
      </c>
      <c r="F247" s="8883"/>
      <c r="G247" s="1265"/>
      <c r="H247" s="1265"/>
      <c r="I247" s="1265"/>
      <c r="J247" s="1265"/>
      <c r="K247" s="1265"/>
      <c r="L247" s="1466"/>
      <c r="M247" s="1244"/>
      <c r="N247" s="1244"/>
      <c r="O247" s="1562"/>
      <c r="P247" s="1239"/>
      <c r="Q247" s="1266"/>
      <c r="R247" s="1239"/>
      <c r="S247" s="1245"/>
      <c r="T247" s="1248" t="s">
        <v>314</v>
      </c>
      <c r="U247" s="1247"/>
      <c r="V247" s="1247"/>
      <c r="W247" s="1247"/>
      <c r="X247" s="1247"/>
      <c r="Y247" s="1247"/>
      <c r="Z247" s="1247"/>
      <c r="AA247" s="1247"/>
      <c r="AB247" s="1247"/>
      <c r="AC247" s="1247"/>
      <c r="AD247" s="1247"/>
      <c r="AE247" s="1247"/>
      <c r="AF247" s="1247"/>
      <c r="AG247" s="1247"/>
      <c r="AH247" s="1247"/>
      <c r="AI247" s="1247"/>
      <c r="AJ247" s="1247"/>
      <c r="AK247" s="1247"/>
      <c r="AL247" s="1562"/>
      <c r="AM247" s="1544"/>
      <c r="AN247" s="1544" t="str">
        <f t="shared" si="4"/>
        <v>Добавить централизованную систему для дифференциации</v>
      </c>
      <c r="AO247" s="1544"/>
      <c r="AP247" s="1544"/>
    </row>
    <row r="248" spans="1:42" s="541" customFormat="1" ht="14.25" customHeight="1">
      <c r="A248" s="1265"/>
      <c r="B248" s="1265"/>
      <c r="C248" s="1265"/>
      <c r="D248" s="1265"/>
      <c r="E248" s="8883" t="s">
        <v>145</v>
      </c>
      <c r="F248" s="1265"/>
      <c r="G248" s="1265"/>
      <c r="H248" s="1265"/>
      <c r="I248" s="1265"/>
      <c r="J248" s="1265"/>
      <c r="K248" s="1265"/>
      <c r="L248" s="1466"/>
      <c r="M248" s="1244"/>
      <c r="N248" s="1244"/>
      <c r="O248" s="1562"/>
      <c r="P248" s="1239"/>
      <c r="Q248" s="1266"/>
      <c r="R248" s="1239"/>
      <c r="S248" s="1245"/>
      <c r="T248" s="1248" t="s">
        <v>315</v>
      </c>
      <c r="U248" s="1247"/>
      <c r="V248" s="1247"/>
      <c r="W248" s="1247"/>
      <c r="X248" s="1247"/>
      <c r="Y248" s="1247"/>
      <c r="Z248" s="1247"/>
      <c r="AA248" s="1247"/>
      <c r="AB248" s="1247"/>
      <c r="AC248" s="1247"/>
      <c r="AD248" s="1247"/>
      <c r="AE248" s="1247"/>
      <c r="AF248" s="1247"/>
      <c r="AG248" s="1247"/>
      <c r="AH248" s="1247"/>
      <c r="AI248" s="1247"/>
      <c r="AJ248" s="1247"/>
      <c r="AK248" s="1247"/>
      <c r="AL248" s="1562"/>
      <c r="AM248" s="1544"/>
      <c r="AN248" s="1544" t="str">
        <f t="shared" si="4"/>
        <v>Добавить территорию для дифференциации</v>
      </c>
      <c r="AO248" s="1544"/>
      <c r="AP248" s="1544"/>
    </row>
    <row r="249" spans="1:42" s="1818" customFormat="1" ht="23.25" customHeight="1">
      <c r="A249" s="1284" t="s">
        <v>377</v>
      </c>
      <c r="B249" s="1284"/>
      <c r="C249" s="1284"/>
      <c r="D249" s="1284"/>
      <c r="E249" s="8883" t="s">
        <v>155</v>
      </c>
      <c r="F249" s="1284"/>
      <c r="G249" s="1284"/>
      <c r="H249" s="1284"/>
      <c r="I249" s="1284"/>
      <c r="J249" s="1284"/>
      <c r="K249" s="1284"/>
      <c r="L249" s="1290"/>
      <c r="M249" s="1286"/>
      <c r="N249" s="1286"/>
      <c r="O249" s="1286"/>
      <c r="P249" s="1812"/>
      <c r="Q249" s="1742"/>
      <c r="R249" s="276"/>
      <c r="S249" s="1810" t="str">
        <f>INDEX(PT_DIFFERENTIATION_NUM_NTAR,MATCH(A249,PT_DIFFERENTIATION_NTAR_ID,0))</f>
        <v>14</v>
      </c>
      <c r="T249" s="1440" t="s">
        <v>211</v>
      </c>
      <c r="U249" s="214"/>
      <c r="V249" s="8869"/>
      <c r="W249" s="8870"/>
      <c r="X249" s="8870"/>
      <c r="Y249" s="8870"/>
      <c r="Z249" s="8870"/>
      <c r="AA249" s="8870"/>
      <c r="AB249" s="8871"/>
      <c r="AC249" s="8869" t="str">
        <f>INDEX(PT_DIFFERENTIATION_NTAR,MATCH(A249,PT_DIFFERENTIATION_NTAR_ID,0))</f>
        <v xml:space="preserve">Подвоз воды потребителям поселка Новобалтийского </v>
      </c>
      <c r="AD249" s="8870"/>
      <c r="AE249" s="8870"/>
      <c r="AF249" s="8870"/>
      <c r="AG249" s="8870"/>
      <c r="AH249" s="8870"/>
      <c r="AI249" s="8870"/>
      <c r="AJ249" s="8871"/>
      <c r="AK24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249" s="1562"/>
      <c r="AM249" s="1544"/>
      <c r="AN249" s="1544" t="str">
        <f t="shared" si="4"/>
        <v>Наименование тарифа</v>
      </c>
      <c r="AO249" s="1544"/>
      <c r="AP249" s="1544"/>
    </row>
    <row r="250" spans="1:42" s="1818" customFormat="1" ht="23.25" customHeight="1">
      <c r="A250" s="1284"/>
      <c r="B250" s="1284" t="s">
        <v>378</v>
      </c>
      <c r="C250" s="1284"/>
      <c r="D250" s="1284"/>
      <c r="E250" s="8884" t="s">
        <v>150</v>
      </c>
      <c r="F250" s="8883">
        <v>1</v>
      </c>
      <c r="G250" s="1284"/>
      <c r="H250" s="1284"/>
      <c r="I250" s="1284"/>
      <c r="J250" s="1284"/>
      <c r="K250" s="1284"/>
      <c r="L250" s="1290"/>
      <c r="M250" s="1286"/>
      <c r="N250" s="1286"/>
      <c r="O250" s="1286"/>
      <c r="P250" s="1807"/>
      <c r="Q250" s="273"/>
      <c r="R250" s="274"/>
      <c r="S250" s="1810" t="str">
        <f>INDEX(PT_DIFFERENTIATION_NUM_TER,MATCH(B250,PT_DIFFERENTIATION_TER_ID,0))</f>
        <v>14.1</v>
      </c>
      <c r="T250" s="1437" t="s">
        <v>862</v>
      </c>
      <c r="U250" s="214"/>
      <c r="V250" s="8869"/>
      <c r="W250" s="8870"/>
      <c r="X250" s="8870"/>
      <c r="Y250" s="8870"/>
      <c r="Z250" s="8870"/>
      <c r="AA250" s="8870"/>
      <c r="AB250" s="8871"/>
      <c r="AC250" s="8869" t="str">
        <f>INDEX(PT_DIFFERENTIATION_TER,MATCH(B250,PT_DIFFERENTIATION_TER_ID,0))</f>
        <v>Территория 7</v>
      </c>
      <c r="AD250" s="8870"/>
      <c r="AE250" s="8870"/>
      <c r="AF250" s="8870"/>
      <c r="AG250" s="8870"/>
      <c r="AH250" s="8870"/>
      <c r="AI250" s="8870"/>
      <c r="AJ250" s="8871"/>
      <c r="AK250" s="1182" t="s">
        <v>863</v>
      </c>
      <c r="AL250" s="1562"/>
      <c r="AM250" s="1544"/>
      <c r="AN250" s="1544" t="str">
        <f t="shared" si="4"/>
        <v>Территория действия тарифа</v>
      </c>
      <c r="AO250" s="1544"/>
      <c r="AP250" s="1544"/>
    </row>
    <row r="251" spans="1:42" s="1818" customFormat="1" ht="23.25" customHeight="1">
      <c r="A251" s="1284"/>
      <c r="B251" s="1284"/>
      <c r="C251" s="1284" t="s">
        <v>379</v>
      </c>
      <c r="D251" s="1284"/>
      <c r="E251" s="8884" t="s">
        <v>150</v>
      </c>
      <c r="F251" s="8884"/>
      <c r="G251" s="8883">
        <v>1</v>
      </c>
      <c r="H251" s="1284"/>
      <c r="I251" s="1284"/>
      <c r="J251" s="1284"/>
      <c r="K251" s="1284"/>
      <c r="L251" s="1290"/>
      <c r="M251" s="1286"/>
      <c r="N251" s="1286"/>
      <c r="O251" s="1286"/>
      <c r="P251" s="275"/>
      <c r="Q251" s="273"/>
      <c r="R251" s="274"/>
      <c r="S251" s="1810" t="str">
        <f>INDEX(PT_DIFFERENTIATION_NUM_CS,MATCH(C251,PT_DIFFERENTIATION_CS_ID,0))</f>
        <v>14.1.1</v>
      </c>
      <c r="T251" s="225" t="s">
        <v>943</v>
      </c>
      <c r="U251" s="214"/>
      <c r="V251" s="8869"/>
      <c r="W251" s="8870"/>
      <c r="X251" s="8870"/>
      <c r="Y251" s="8870"/>
      <c r="Z251" s="8870"/>
      <c r="AA251" s="8870"/>
      <c r="AB251" s="8871"/>
      <c r="AC251" s="8869" t="str">
        <f>INDEX(PT_DIFFERENTIATION_CS,MATCH(C251,PT_DIFFERENTIATION_CS_ID,0))</f>
        <v>без дифференциации</v>
      </c>
      <c r="AD251" s="8870"/>
      <c r="AE251" s="8870"/>
      <c r="AF251" s="8870"/>
      <c r="AG251" s="8870"/>
      <c r="AH251" s="8870"/>
      <c r="AI251" s="8870"/>
      <c r="AJ251" s="8871"/>
      <c r="AK251" s="1182" t="s">
        <v>944</v>
      </c>
      <c r="AL251" s="1562"/>
      <c r="AM251" s="1544"/>
      <c r="AN251" s="1544" t="str">
        <f t="shared" si="4"/>
        <v>Наименование централизованной системы холодного водоснабжения</v>
      </c>
      <c r="AO251" s="1544"/>
      <c r="AP251" s="1544"/>
    </row>
    <row r="252" spans="1:42" s="1818" customFormat="1" ht="23.25" customHeight="1">
      <c r="A252" s="1284"/>
      <c r="B252" s="1284"/>
      <c r="C252" s="1284"/>
      <c r="D252" s="1284"/>
      <c r="E252" s="8884" t="s">
        <v>150</v>
      </c>
      <c r="F252" s="8884"/>
      <c r="G252" s="8884"/>
      <c r="H252" s="8884"/>
      <c r="I252" s="8881" t="str">
        <f>S251&amp;".1"</f>
        <v>14.1.1.1</v>
      </c>
      <c r="J252" s="1284"/>
      <c r="K252" s="1284"/>
      <c r="L252" s="1290"/>
      <c r="M252" s="1696"/>
      <c r="N252" s="1696"/>
      <c r="O252" s="1696"/>
      <c r="P252" s="8882">
        <v>1</v>
      </c>
      <c r="Q252" s="1811"/>
      <c r="R252" s="277"/>
      <c r="S252" s="1810" t="str">
        <f>$I252</f>
        <v>14.1.1.1</v>
      </c>
      <c r="T252" s="200" t="s">
        <v>945</v>
      </c>
      <c r="U252" s="214"/>
      <c r="V252" s="8942"/>
      <c r="W252" s="8943"/>
      <c r="X252" s="8943"/>
      <c r="Y252" s="8943"/>
      <c r="Z252" s="8943"/>
      <c r="AA252" s="8943"/>
      <c r="AB252" s="8944"/>
      <c r="AC252" s="8945"/>
      <c r="AD252" s="8946"/>
      <c r="AE252" s="8946"/>
      <c r="AF252" s="8946"/>
      <c r="AG252" s="8946"/>
      <c r="AH252" s="8946"/>
      <c r="AI252" s="8946"/>
      <c r="AJ252" s="8947"/>
      <c r="AK252" s="1182" t="s">
        <v>946</v>
      </c>
      <c r="AL252" s="1562"/>
      <c r="AM252" s="1544"/>
      <c r="AN252" s="1544" t="str">
        <f t="shared" si="4"/>
        <v>Наименование признака дифференциации</v>
      </c>
      <c r="AO252" s="1544"/>
      <c r="AP252" s="1544"/>
    </row>
    <row r="253" spans="1:42" s="1818" customFormat="1" ht="23.25" customHeight="1">
      <c r="A253" s="1284"/>
      <c r="B253" s="1284"/>
      <c r="C253" s="1284"/>
      <c r="D253" s="1284"/>
      <c r="E253" s="8884" t="s">
        <v>150</v>
      </c>
      <c r="F253" s="8884"/>
      <c r="G253" s="8884"/>
      <c r="H253" s="8884"/>
      <c r="I253" s="8904"/>
      <c r="J253" s="8881" t="str">
        <f>I252&amp;".1"</f>
        <v>14.1.1.1.1</v>
      </c>
      <c r="K253" s="1284"/>
      <c r="L253" s="1290" t="s">
        <v>871</v>
      </c>
      <c r="M253" s="1696"/>
      <c r="N253" s="1696"/>
      <c r="O253" s="1696"/>
      <c r="P253" s="8882"/>
      <c r="Q253" s="8882">
        <v>1</v>
      </c>
      <c r="R253" s="278"/>
      <c r="S253" s="1810" t="str">
        <f>$J253</f>
        <v>14.1.1.1.1</v>
      </c>
      <c r="T253" s="201" t="s">
        <v>872</v>
      </c>
      <c r="U253" s="214"/>
      <c r="V253" s="8872"/>
      <c r="W253" s="8873"/>
      <c r="X253" s="8873"/>
      <c r="Y253" s="8873"/>
      <c r="Z253" s="8873"/>
      <c r="AA253" s="8873"/>
      <c r="AB253" s="8874"/>
      <c r="AC253" s="8872" t="s">
        <v>961</v>
      </c>
      <c r="AD253" s="8873"/>
      <c r="AE253" s="8873"/>
      <c r="AF253" s="8873"/>
      <c r="AG253" s="8873"/>
      <c r="AH253" s="8873"/>
      <c r="AI253" s="8873"/>
      <c r="AJ253" s="8874"/>
      <c r="AK253" s="1231" t="s">
        <v>947</v>
      </c>
      <c r="AL253" s="1562"/>
      <c r="AM253" s="1544"/>
      <c r="AN253" s="1544" t="str">
        <f t="shared" si="4"/>
        <v>Группа потребителей</v>
      </c>
      <c r="AO253" s="1544"/>
      <c r="AP253" s="1544"/>
    </row>
    <row r="254" spans="1:42" s="1818" customFormat="1" ht="23.25" customHeight="1">
      <c r="A254" s="1284"/>
      <c r="B254" s="1284"/>
      <c r="C254" s="1284"/>
      <c r="D254" s="1284"/>
      <c r="E254" s="8884" t="s">
        <v>150</v>
      </c>
      <c r="F254" s="8884"/>
      <c r="G254" s="8884"/>
      <c r="H254" s="8884"/>
      <c r="I254" s="8904"/>
      <c r="J254" s="8904"/>
      <c r="K254" s="8881" t="str">
        <f>J253&amp;".1"</f>
        <v>14.1.1.1.1.1</v>
      </c>
      <c r="L254" s="1290"/>
      <c r="M254" s="1696"/>
      <c r="N254" s="1696"/>
      <c r="O254" s="1696"/>
      <c r="P254" s="8882"/>
      <c r="Q254" s="8882"/>
      <c r="R254" s="278">
        <v>1</v>
      </c>
      <c r="S254" s="1810" t="str">
        <f>$K254</f>
        <v>14.1.1.1.1.1</v>
      </c>
      <c r="T254" s="1357" t="s">
        <v>962</v>
      </c>
      <c r="U254" s="214"/>
      <c r="V254" s="666"/>
      <c r="W254" s="666"/>
      <c r="X254" s="1181"/>
      <c r="Y254" s="8886"/>
      <c r="Z254" s="8734" t="s">
        <v>63</v>
      </c>
      <c r="AA254" s="8886"/>
      <c r="AB254" s="8734" t="s">
        <v>63</v>
      </c>
      <c r="AC254" s="666">
        <v>663.5</v>
      </c>
      <c r="AD254" s="666"/>
      <c r="AE254" s="1181"/>
      <c r="AF254" s="8886">
        <v>45292</v>
      </c>
      <c r="AG254" s="8734" t="s">
        <v>63</v>
      </c>
      <c r="AH254" s="8905">
        <v>45657</v>
      </c>
      <c r="AI254" s="8734" t="s">
        <v>63</v>
      </c>
      <c r="AJ254" s="1358"/>
      <c r="AK25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54" s="1562" t="e">
        <f ca="1">STRCHECKDATE(V255:AJ255)</f>
        <v>#NAME?</v>
      </c>
      <c r="AM254" s="1544"/>
      <c r="AN254" s="1544" t="str">
        <f t="shared" si="4"/>
        <v>Тариф для населения, руб. за 1 куб. метр с НДС</v>
      </c>
      <c r="AO254" s="1544"/>
      <c r="AP254" s="1544"/>
    </row>
    <row r="255" spans="1:42" s="1818" customFormat="1" ht="14.25" customHeight="1">
      <c r="A255" s="1284"/>
      <c r="B255" s="1284"/>
      <c r="C255" s="1284"/>
      <c r="D255" s="1284"/>
      <c r="E255" s="8884" t="s">
        <v>150</v>
      </c>
      <c r="F255" s="8884"/>
      <c r="G255" s="8884"/>
      <c r="H255" s="8884"/>
      <c r="I255" s="8904"/>
      <c r="J255" s="8904"/>
      <c r="K255" s="8881"/>
      <c r="L255" s="1290"/>
      <c r="M255" s="1696"/>
      <c r="N255" s="1696"/>
      <c r="O255" s="1696"/>
      <c r="P255" s="8882"/>
      <c r="Q255" s="8882"/>
      <c r="R255" s="278"/>
      <c r="S255" s="1815"/>
      <c r="T255" s="214"/>
      <c r="U255" s="214"/>
      <c r="V255" s="246"/>
      <c r="W255" s="246"/>
      <c r="X255" s="250" t="str">
        <f>Y254&amp;"-"&amp;AA254</f>
        <v>-</v>
      </c>
      <c r="Y255" s="8887"/>
      <c r="Z255" s="8734"/>
      <c r="AA255" s="8887"/>
      <c r="AB255" s="8734"/>
      <c r="AC255" s="246"/>
      <c r="AD255" s="246"/>
      <c r="AE255" s="250" t="str">
        <f>AF254&amp;"-"&amp;AH254</f>
        <v>45292-45657</v>
      </c>
      <c r="AF255" s="8887"/>
      <c r="AG255" s="8734"/>
      <c r="AH255" s="8906"/>
      <c r="AI255" s="8734"/>
      <c r="AJ255" s="1359"/>
      <c r="AK255" s="8941"/>
      <c r="AL255" s="1562"/>
      <c r="AM255" s="1544"/>
      <c r="AN255" s="1544" t="str">
        <f t="shared" si="4"/>
        <v/>
      </c>
      <c r="AO255" s="1544"/>
      <c r="AP255" s="1544"/>
    </row>
    <row r="256" spans="1:42" s="1818" customFormat="1" ht="21" customHeight="1">
      <c r="A256" s="1284"/>
      <c r="B256" s="1284"/>
      <c r="C256" s="1284"/>
      <c r="D256" s="1284"/>
      <c r="E256" s="8884" t="s">
        <v>150</v>
      </c>
      <c r="F256" s="8884"/>
      <c r="G256" s="8884"/>
      <c r="H256" s="8884"/>
      <c r="I256" s="8904"/>
      <c r="J256" s="8881"/>
      <c r="K256" s="1284"/>
      <c r="L256" s="1290"/>
      <c r="M256" s="1696"/>
      <c r="N256" s="1696"/>
      <c r="O256" s="1696"/>
      <c r="P256" s="8882"/>
      <c r="Q256" s="8882"/>
      <c r="R256" s="277"/>
      <c r="S256" s="2761"/>
      <c r="T256" s="2762" t="s">
        <v>948</v>
      </c>
      <c r="U256" s="2763"/>
      <c r="V256" s="2764"/>
      <c r="W256" s="2765"/>
      <c r="X256" s="2766"/>
      <c r="Y256" s="2767"/>
      <c r="Z256" s="2768"/>
      <c r="AA256" s="2769"/>
      <c r="AB256" s="2770"/>
      <c r="AC256" s="2771"/>
      <c r="AD256" s="2772"/>
      <c r="AE256" s="2773"/>
      <c r="AF256" s="2774"/>
      <c r="AG256" s="2775"/>
      <c r="AH256" s="2776"/>
      <c r="AI256" s="2777"/>
      <c r="AJ256" s="2778"/>
      <c r="AK256" s="1182" t="s">
        <v>949</v>
      </c>
      <c r="AL256" s="1562"/>
      <c r="AM256" s="1544"/>
      <c r="AN256" s="1544" t="str">
        <f t="shared" si="4"/>
        <v>Добавить значение признака дифференциации</v>
      </c>
      <c r="AO256" s="1544"/>
      <c r="AP256" s="1544"/>
    </row>
    <row r="257" spans="1:42" s="1818" customFormat="1" ht="23.25" customHeight="1">
      <c r="A257" s="1284"/>
      <c r="B257" s="1284"/>
      <c r="C257" s="1284"/>
      <c r="D257" s="1284"/>
      <c r="E257" s="8884"/>
      <c r="F257" s="8884"/>
      <c r="G257" s="8884"/>
      <c r="H257" s="8884"/>
      <c r="I257" s="8904"/>
      <c r="J257" s="8881" t="str">
        <f>I252&amp;".2"</f>
        <v>14.1.1.1.2</v>
      </c>
      <c r="K257" s="1284"/>
      <c r="L257" s="1290" t="s">
        <v>871</v>
      </c>
      <c r="M257" s="1696"/>
      <c r="N257" s="1696"/>
      <c r="O257" s="1696"/>
      <c r="P257" s="8882"/>
      <c r="Q257" s="8948" t="s">
        <v>100</v>
      </c>
      <c r="R257" s="278"/>
      <c r="S257" s="1810" t="str">
        <f>$J257</f>
        <v>14.1.1.1.2</v>
      </c>
      <c r="T257" s="201" t="s">
        <v>872</v>
      </c>
      <c r="U257" s="214"/>
      <c r="V257" s="8872"/>
      <c r="W257" s="8873"/>
      <c r="X257" s="8873"/>
      <c r="Y257" s="8873"/>
      <c r="Z257" s="8873"/>
      <c r="AA257" s="8873"/>
      <c r="AB257" s="8874"/>
      <c r="AC257" s="8872" t="s">
        <v>963</v>
      </c>
      <c r="AD257" s="8873"/>
      <c r="AE257" s="8873"/>
      <c r="AF257" s="8873"/>
      <c r="AG257" s="8873"/>
      <c r="AH257" s="8873"/>
      <c r="AI257" s="8873"/>
      <c r="AJ257" s="8874"/>
      <c r="AK257" s="1231" t="s">
        <v>947</v>
      </c>
      <c r="AL257" s="1562"/>
      <c r="AM257" s="1544"/>
      <c r="AN257" s="1544" t="str">
        <f t="shared" si="4"/>
        <v>Группа потребителей</v>
      </c>
      <c r="AO257" s="1544"/>
      <c r="AP257" s="1544"/>
    </row>
    <row r="258" spans="1:42" s="1818" customFormat="1" ht="23.25" customHeight="1">
      <c r="A258" s="1284"/>
      <c r="B258" s="1284"/>
      <c r="C258" s="1284"/>
      <c r="D258" s="1284"/>
      <c r="E258" s="8884"/>
      <c r="F258" s="8884"/>
      <c r="G258" s="8884"/>
      <c r="H258" s="8884"/>
      <c r="I258" s="8904"/>
      <c r="J258" s="8904" t="str">
        <f>I252&amp;".1"</f>
        <v>14.1.1.1.1</v>
      </c>
      <c r="K258" s="8881" t="str">
        <f>J257&amp;".1"</f>
        <v>14.1.1.1.2.1</v>
      </c>
      <c r="L258" s="1290"/>
      <c r="M258" s="1696"/>
      <c r="N258" s="1696"/>
      <c r="O258" s="1696"/>
      <c r="P258" s="8882"/>
      <c r="Q258" s="8882"/>
      <c r="R258" s="278">
        <v>1</v>
      </c>
      <c r="S258" s="1810" t="str">
        <f>$K258</f>
        <v>14.1.1.1.2.1</v>
      </c>
      <c r="T258" s="1357" t="s">
        <v>964</v>
      </c>
      <c r="U258" s="214"/>
      <c r="V258" s="666"/>
      <c r="W258" s="666"/>
      <c r="X258" s="1181"/>
      <c r="Y258" s="8886"/>
      <c r="Z258" s="8734" t="s">
        <v>63</v>
      </c>
      <c r="AA258" s="8886"/>
      <c r="AB258" s="8734" t="s">
        <v>63</v>
      </c>
      <c r="AC258" s="666">
        <v>552.91999999999996</v>
      </c>
      <c r="AD258" s="666"/>
      <c r="AE258" s="1181"/>
      <c r="AF258" s="8886">
        <v>45292</v>
      </c>
      <c r="AG258" s="8734" t="s">
        <v>63</v>
      </c>
      <c r="AH258" s="8905">
        <v>45657</v>
      </c>
      <c r="AI258" s="8734" t="s">
        <v>63</v>
      </c>
      <c r="AJ258" s="1358"/>
      <c r="AK25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58" s="1562" t="e">
        <f ca="1">STRCHECKDATE(V259:AJ259)</f>
        <v>#NAME?</v>
      </c>
      <c r="AM258" s="1544"/>
      <c r="AN258" s="1544" t="str">
        <f t="shared" si="4"/>
        <v>Тариф, руб. за 1 куб. метр без НДС</v>
      </c>
      <c r="AO258" s="1544"/>
      <c r="AP258" s="1544"/>
    </row>
    <row r="259" spans="1:42" s="1818" customFormat="1" ht="14.25" customHeight="1">
      <c r="A259" s="1284"/>
      <c r="B259" s="1284"/>
      <c r="C259" s="1284"/>
      <c r="D259" s="1284"/>
      <c r="E259" s="8884"/>
      <c r="F259" s="8884"/>
      <c r="G259" s="8884"/>
      <c r="H259" s="8884"/>
      <c r="I259" s="8904"/>
      <c r="J259" s="8904" t="str">
        <f>I252&amp;".1"</f>
        <v>14.1.1.1.1</v>
      </c>
      <c r="K259" s="8881"/>
      <c r="L259" s="1290"/>
      <c r="M259" s="1696"/>
      <c r="N259" s="1696"/>
      <c r="O259" s="1696"/>
      <c r="P259" s="8882"/>
      <c r="Q259" s="8882"/>
      <c r="R259" s="278"/>
      <c r="S259" s="1815"/>
      <c r="T259" s="214"/>
      <c r="U259" s="214"/>
      <c r="V259" s="246"/>
      <c r="W259" s="246"/>
      <c r="X259" s="250" t="str">
        <f>Y258&amp;"-"&amp;AA258</f>
        <v>-</v>
      </c>
      <c r="Y259" s="8887"/>
      <c r="Z259" s="8734"/>
      <c r="AA259" s="8887"/>
      <c r="AB259" s="8734"/>
      <c r="AC259" s="246"/>
      <c r="AD259" s="246"/>
      <c r="AE259" s="250" t="str">
        <f>AF258&amp;"-"&amp;AH258</f>
        <v>45292-45657</v>
      </c>
      <c r="AF259" s="8887"/>
      <c r="AG259" s="8734"/>
      <c r="AH259" s="8906"/>
      <c r="AI259" s="8734"/>
      <c r="AJ259" s="1359"/>
      <c r="AK259" s="8941"/>
      <c r="AL259" s="1562"/>
      <c r="AM259" s="1544"/>
      <c r="AN259" s="1544" t="str">
        <f t="shared" si="4"/>
        <v/>
      </c>
      <c r="AO259" s="1544"/>
      <c r="AP259" s="1544"/>
    </row>
    <row r="260" spans="1:42" s="1818" customFormat="1" ht="21" customHeight="1">
      <c r="A260" s="1284"/>
      <c r="B260" s="1284"/>
      <c r="C260" s="1284"/>
      <c r="D260" s="1284"/>
      <c r="E260" s="8884"/>
      <c r="F260" s="8884"/>
      <c r="G260" s="8884"/>
      <c r="H260" s="8884"/>
      <c r="I260" s="8904"/>
      <c r="J260" s="8881" t="str">
        <f>I252&amp;".1"</f>
        <v>14.1.1.1.1</v>
      </c>
      <c r="K260" s="1284"/>
      <c r="L260" s="1290"/>
      <c r="M260" s="1696"/>
      <c r="N260" s="1696"/>
      <c r="O260" s="1696"/>
      <c r="P260" s="8882"/>
      <c r="Q260" s="8882"/>
      <c r="R260" s="277"/>
      <c r="S260" s="2779"/>
      <c r="T260" s="2780" t="s">
        <v>948</v>
      </c>
      <c r="U260" s="2781"/>
      <c r="V260" s="2782"/>
      <c r="W260" s="2783"/>
      <c r="X260" s="2784"/>
      <c r="Y260" s="2785"/>
      <c r="Z260" s="2786"/>
      <c r="AA260" s="2787"/>
      <c r="AB260" s="2788"/>
      <c r="AC260" s="2789"/>
      <c r="AD260" s="2790"/>
      <c r="AE260" s="2791"/>
      <c r="AF260" s="2792"/>
      <c r="AG260" s="2793"/>
      <c r="AH260" s="2794"/>
      <c r="AI260" s="2795"/>
      <c r="AJ260" s="2796"/>
      <c r="AK260" s="1182" t="s">
        <v>949</v>
      </c>
      <c r="AL260" s="1562"/>
      <c r="AM260" s="1544"/>
      <c r="AN260" s="1544" t="str">
        <f t="shared" si="4"/>
        <v>Добавить значение признака дифференциации</v>
      </c>
      <c r="AO260" s="1544"/>
      <c r="AP260" s="1544"/>
    </row>
    <row r="261" spans="1:42" s="1818" customFormat="1" ht="21" customHeight="1">
      <c r="A261" s="1284"/>
      <c r="B261" s="1284"/>
      <c r="C261" s="1284"/>
      <c r="D261" s="1284"/>
      <c r="E261" s="8884" t="s">
        <v>150</v>
      </c>
      <c r="F261" s="8884"/>
      <c r="G261" s="8884"/>
      <c r="H261" s="8884"/>
      <c r="I261" s="8881"/>
      <c r="J261" s="1284"/>
      <c r="K261" s="1284"/>
      <c r="L261" s="1290"/>
      <c r="M261" s="1696"/>
      <c r="N261" s="1696"/>
      <c r="O261" s="1696"/>
      <c r="P261" s="8882"/>
      <c r="Q261" s="1811"/>
      <c r="R261" s="277"/>
      <c r="S261" s="2797"/>
      <c r="T261" s="2798" t="s">
        <v>877</v>
      </c>
      <c r="U261" s="2799"/>
      <c r="V261" s="2800"/>
      <c r="W261" s="2801"/>
      <c r="X261" s="2802"/>
      <c r="Y261" s="2803"/>
      <c r="Z261" s="2804"/>
      <c r="AA261" s="2805"/>
      <c r="AB261" s="2806"/>
      <c r="AC261" s="2807"/>
      <c r="AD261" s="2808"/>
      <c r="AE261" s="2809"/>
      <c r="AF261" s="2810"/>
      <c r="AG261" s="2811"/>
      <c r="AH261" s="2812"/>
      <c r="AI261" s="2813"/>
      <c r="AJ261" s="2814"/>
      <c r="AK261" s="2815"/>
      <c r="AL261" s="1562"/>
      <c r="AM261" s="1544"/>
      <c r="AN261" s="1544" t="str">
        <f t="shared" si="4"/>
        <v>Добавить группу потребителей</v>
      </c>
      <c r="AO261" s="1544"/>
      <c r="AP261" s="1544"/>
    </row>
    <row r="262" spans="1:42" s="1818" customFormat="1" ht="21" customHeight="1">
      <c r="A262" s="1284"/>
      <c r="B262" s="1284"/>
      <c r="C262" s="1284"/>
      <c r="D262" s="1284"/>
      <c r="E262" s="8884" t="s">
        <v>150</v>
      </c>
      <c r="F262" s="8884"/>
      <c r="G262" s="8884"/>
      <c r="H262" s="8883"/>
      <c r="I262" s="1284"/>
      <c r="J262" s="1284"/>
      <c r="K262" s="1284"/>
      <c r="L262" s="1290"/>
      <c r="M262" s="1286"/>
      <c r="N262" s="1286"/>
      <c r="O262" s="1287"/>
      <c r="P262" s="1742"/>
      <c r="Q262" s="299"/>
      <c r="R262" s="276"/>
      <c r="S262" s="2816"/>
      <c r="T262" s="2817" t="s">
        <v>950</v>
      </c>
      <c r="U262" s="2818"/>
      <c r="V262" s="2819"/>
      <c r="W262" s="2820"/>
      <c r="X262" s="2821"/>
      <c r="Y262" s="2822"/>
      <c r="Z262" s="2823"/>
      <c r="AA262" s="2824"/>
      <c r="AB262" s="2825"/>
      <c r="AC262" s="2826"/>
      <c r="AD262" s="2827"/>
      <c r="AE262" s="2828"/>
      <c r="AF262" s="2829"/>
      <c r="AG262" s="2830"/>
      <c r="AH262" s="2831"/>
      <c r="AI262" s="2832"/>
      <c r="AJ262" s="2833"/>
      <c r="AK262" s="2834"/>
      <c r="AL262" s="1562"/>
      <c r="AM262" s="1544"/>
      <c r="AN262" s="1544" t="str">
        <f t="shared" si="4"/>
        <v>Добавить наименование признака дифференциации</v>
      </c>
      <c r="AO262" s="1544"/>
      <c r="AP262" s="1544"/>
    </row>
    <row r="263" spans="1:42" s="541" customFormat="1" ht="14.25" customHeight="1">
      <c r="A263" s="1265"/>
      <c r="B263" s="1265"/>
      <c r="C263" s="1265"/>
      <c r="D263" s="1265"/>
      <c r="E263" s="8884" t="s">
        <v>150</v>
      </c>
      <c r="F263" s="8883"/>
      <c r="G263" s="1265"/>
      <c r="H263" s="1265"/>
      <c r="I263" s="1265"/>
      <c r="J263" s="1265"/>
      <c r="K263" s="1265"/>
      <c r="L263" s="1466"/>
      <c r="M263" s="1244"/>
      <c r="N263" s="1244"/>
      <c r="O263" s="1562"/>
      <c r="P263" s="1239"/>
      <c r="Q263" s="1266"/>
      <c r="R263" s="1239"/>
      <c r="S263" s="1245"/>
      <c r="T263" s="1248" t="s">
        <v>314</v>
      </c>
      <c r="U263" s="1247"/>
      <c r="V263" s="1247"/>
      <c r="W263" s="1247"/>
      <c r="X263" s="1247"/>
      <c r="Y263" s="1247"/>
      <c r="Z263" s="1247"/>
      <c r="AA263" s="1247"/>
      <c r="AB263" s="1247"/>
      <c r="AC263" s="1247"/>
      <c r="AD263" s="1247"/>
      <c r="AE263" s="1247"/>
      <c r="AF263" s="1247"/>
      <c r="AG263" s="1247"/>
      <c r="AH263" s="1247"/>
      <c r="AI263" s="1247"/>
      <c r="AJ263" s="1247"/>
      <c r="AK263" s="1247"/>
      <c r="AL263" s="1562"/>
      <c r="AM263" s="1544"/>
      <c r="AN263" s="1544" t="str">
        <f t="shared" si="4"/>
        <v>Добавить централизованную систему для дифференциации</v>
      </c>
      <c r="AO263" s="1544"/>
      <c r="AP263" s="1544"/>
    </row>
    <row r="264" spans="1:42" s="541" customFormat="1" ht="14.25" customHeight="1">
      <c r="A264" s="1265"/>
      <c r="B264" s="1265"/>
      <c r="C264" s="1265"/>
      <c r="D264" s="1265"/>
      <c r="E264" s="8883" t="s">
        <v>150</v>
      </c>
      <c r="F264" s="1265"/>
      <c r="G264" s="1265"/>
      <c r="H264" s="1265"/>
      <c r="I264" s="1265"/>
      <c r="J264" s="1265"/>
      <c r="K264" s="1265"/>
      <c r="L264" s="1466"/>
      <c r="M264" s="1244"/>
      <c r="N264" s="1244"/>
      <c r="O264" s="1562"/>
      <c r="P264" s="1239"/>
      <c r="Q264" s="1266"/>
      <c r="R264" s="1239"/>
      <c r="S264" s="1245"/>
      <c r="T264" s="1248" t="s">
        <v>315</v>
      </c>
      <c r="U264" s="1247"/>
      <c r="V264" s="1247"/>
      <c r="W264" s="1247"/>
      <c r="X264" s="1247"/>
      <c r="Y264" s="1247"/>
      <c r="Z264" s="1247"/>
      <c r="AA264" s="1247"/>
      <c r="AB264" s="1247"/>
      <c r="AC264" s="1247"/>
      <c r="AD264" s="1247"/>
      <c r="AE264" s="1247"/>
      <c r="AF264" s="1247"/>
      <c r="AG264" s="1247"/>
      <c r="AH264" s="1247"/>
      <c r="AI264" s="1247"/>
      <c r="AJ264" s="1247"/>
      <c r="AK264" s="1247"/>
      <c r="AL264" s="1562"/>
      <c r="AM264" s="1544"/>
      <c r="AN264" s="1544" t="str">
        <f t="shared" si="4"/>
        <v>Добавить территорию для дифференциации</v>
      </c>
      <c r="AO264" s="1544"/>
      <c r="AP264" s="1544"/>
    </row>
    <row r="265" spans="1:42" s="1818" customFormat="1" ht="23.25" customHeight="1">
      <c r="A265" s="1284" t="s">
        <v>382</v>
      </c>
      <c r="B265" s="1284"/>
      <c r="C265" s="1284"/>
      <c r="D265" s="1284"/>
      <c r="E265" s="8883" t="s">
        <v>160</v>
      </c>
      <c r="F265" s="1284"/>
      <c r="G265" s="1284"/>
      <c r="H265" s="1284"/>
      <c r="I265" s="1284"/>
      <c r="J265" s="1284"/>
      <c r="K265" s="1284"/>
      <c r="L265" s="1290"/>
      <c r="M265" s="1286"/>
      <c r="N265" s="1286"/>
      <c r="O265" s="1286"/>
      <c r="P265" s="1812"/>
      <c r="Q265" s="1742"/>
      <c r="R265" s="276"/>
      <c r="S265" s="1810" t="str">
        <f>INDEX(PT_DIFFERENTIATION_NUM_NTAR,MATCH(A265,PT_DIFFERENTIATION_NTAR_ID,0))</f>
        <v>15</v>
      </c>
      <c r="T265" s="1440" t="s">
        <v>211</v>
      </c>
      <c r="U265" s="214"/>
      <c r="V265" s="8869"/>
      <c r="W265" s="8870"/>
      <c r="X265" s="8870"/>
      <c r="Y265" s="8870"/>
      <c r="Z265" s="8870"/>
      <c r="AA265" s="8870"/>
      <c r="AB265" s="8871"/>
      <c r="AC265" s="8869" t="str">
        <f>INDEX(PT_DIFFERENTIATION_NTAR,MATCH(A265,PT_DIFFERENTIATION_NTAR_ID,0))</f>
        <v>Подвоз воды потребителям хутора Берёзкина</v>
      </c>
      <c r="AD265" s="8870"/>
      <c r="AE265" s="8870"/>
      <c r="AF265" s="8870"/>
      <c r="AG265" s="8870"/>
      <c r="AH265" s="8870"/>
      <c r="AI265" s="8870"/>
      <c r="AJ265" s="8871"/>
      <c r="AK26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265" s="1562"/>
      <c r="AM265" s="1544"/>
      <c r="AN265" s="1544" t="str">
        <f t="shared" si="4"/>
        <v>Наименование тарифа</v>
      </c>
      <c r="AO265" s="1544"/>
      <c r="AP265" s="1544"/>
    </row>
    <row r="266" spans="1:42" s="1818" customFormat="1" ht="23.25" customHeight="1">
      <c r="A266" s="1284"/>
      <c r="B266" s="1284" t="s">
        <v>383</v>
      </c>
      <c r="C266" s="1284"/>
      <c r="D266" s="1284"/>
      <c r="E266" s="8884" t="s">
        <v>155</v>
      </c>
      <c r="F266" s="8883">
        <v>1</v>
      </c>
      <c r="G266" s="1284"/>
      <c r="H266" s="1284"/>
      <c r="I266" s="1284"/>
      <c r="J266" s="1284"/>
      <c r="K266" s="1284"/>
      <c r="L266" s="1290"/>
      <c r="M266" s="1286"/>
      <c r="N266" s="1286"/>
      <c r="O266" s="1286"/>
      <c r="P266" s="1807"/>
      <c r="Q266" s="273"/>
      <c r="R266" s="274"/>
      <c r="S266" s="1810" t="str">
        <f>INDEX(PT_DIFFERENTIATION_NUM_TER,MATCH(B266,PT_DIFFERENTIATION_TER_ID,0))</f>
        <v>15.1</v>
      </c>
      <c r="T266" s="1437" t="s">
        <v>862</v>
      </c>
      <c r="U266" s="214"/>
      <c r="V266" s="8869"/>
      <c r="W266" s="8870"/>
      <c r="X266" s="8870"/>
      <c r="Y266" s="8870"/>
      <c r="Z266" s="8870"/>
      <c r="AA266" s="8870"/>
      <c r="AB266" s="8871"/>
      <c r="AC266" s="8869" t="str">
        <f>INDEX(PT_DIFFERENTIATION_TER,MATCH(B266,PT_DIFFERENTIATION_TER_ID,0))</f>
        <v>Территория 7</v>
      </c>
      <c r="AD266" s="8870"/>
      <c r="AE266" s="8870"/>
      <c r="AF266" s="8870"/>
      <c r="AG266" s="8870"/>
      <c r="AH266" s="8870"/>
      <c r="AI266" s="8870"/>
      <c r="AJ266" s="8871"/>
      <c r="AK266" s="1182" t="s">
        <v>863</v>
      </c>
      <c r="AL266" s="1562"/>
      <c r="AM266" s="1544"/>
      <c r="AN266" s="1544" t="str">
        <f t="shared" si="4"/>
        <v>Территория действия тарифа</v>
      </c>
      <c r="AO266" s="1544"/>
      <c r="AP266" s="1544"/>
    </row>
    <row r="267" spans="1:42" s="1818" customFormat="1" ht="23.25" customHeight="1">
      <c r="A267" s="1284"/>
      <c r="B267" s="1284"/>
      <c r="C267" s="1284" t="s">
        <v>384</v>
      </c>
      <c r="D267" s="1284"/>
      <c r="E267" s="8884" t="s">
        <v>155</v>
      </c>
      <c r="F267" s="8884"/>
      <c r="G267" s="8883">
        <v>1</v>
      </c>
      <c r="H267" s="1284"/>
      <c r="I267" s="1284"/>
      <c r="J267" s="1284"/>
      <c r="K267" s="1284"/>
      <c r="L267" s="1290"/>
      <c r="M267" s="1286"/>
      <c r="N267" s="1286"/>
      <c r="O267" s="1286"/>
      <c r="P267" s="275"/>
      <c r="Q267" s="273"/>
      <c r="R267" s="274"/>
      <c r="S267" s="1810" t="str">
        <f>INDEX(PT_DIFFERENTIATION_NUM_CS,MATCH(C267,PT_DIFFERENTIATION_CS_ID,0))</f>
        <v>15.1.1</v>
      </c>
      <c r="T267" s="225" t="s">
        <v>943</v>
      </c>
      <c r="U267" s="214"/>
      <c r="V267" s="8869"/>
      <c r="W267" s="8870"/>
      <c r="X267" s="8870"/>
      <c r="Y267" s="8870"/>
      <c r="Z267" s="8870"/>
      <c r="AA267" s="8870"/>
      <c r="AB267" s="8871"/>
      <c r="AC267" s="8869" t="str">
        <f>INDEX(PT_DIFFERENTIATION_CS,MATCH(C267,PT_DIFFERENTIATION_CS_ID,0))</f>
        <v>без дифференциации</v>
      </c>
      <c r="AD267" s="8870"/>
      <c r="AE267" s="8870"/>
      <c r="AF267" s="8870"/>
      <c r="AG267" s="8870"/>
      <c r="AH267" s="8870"/>
      <c r="AI267" s="8870"/>
      <c r="AJ267" s="8871"/>
      <c r="AK267" s="1182" t="s">
        <v>944</v>
      </c>
      <c r="AL267" s="1562"/>
      <c r="AM267" s="1544"/>
      <c r="AN267" s="1544" t="str">
        <f t="shared" si="4"/>
        <v>Наименование централизованной системы холодного водоснабжения</v>
      </c>
      <c r="AO267" s="1544"/>
      <c r="AP267" s="1544"/>
    </row>
    <row r="268" spans="1:42" s="1818" customFormat="1" ht="23.25" customHeight="1">
      <c r="A268" s="1284"/>
      <c r="B268" s="1284"/>
      <c r="C268" s="1284"/>
      <c r="D268" s="1284"/>
      <c r="E268" s="8884" t="s">
        <v>155</v>
      </c>
      <c r="F268" s="8884"/>
      <c r="G268" s="8884"/>
      <c r="H268" s="8884"/>
      <c r="I268" s="8881" t="str">
        <f>S267&amp;".1"</f>
        <v>15.1.1.1</v>
      </c>
      <c r="J268" s="1284"/>
      <c r="K268" s="1284"/>
      <c r="L268" s="1290"/>
      <c r="M268" s="1696"/>
      <c r="N268" s="1696"/>
      <c r="O268" s="1696"/>
      <c r="P268" s="8882">
        <v>1</v>
      </c>
      <c r="Q268" s="1811"/>
      <c r="R268" s="277"/>
      <c r="S268" s="1810" t="str">
        <f>$I268</f>
        <v>15.1.1.1</v>
      </c>
      <c r="T268" s="200" t="s">
        <v>945</v>
      </c>
      <c r="U268" s="214"/>
      <c r="V268" s="8942"/>
      <c r="W268" s="8943"/>
      <c r="X268" s="8943"/>
      <c r="Y268" s="8943"/>
      <c r="Z268" s="8943"/>
      <c r="AA268" s="8943"/>
      <c r="AB268" s="8944"/>
      <c r="AC268" s="8945"/>
      <c r="AD268" s="8946"/>
      <c r="AE268" s="8946"/>
      <c r="AF268" s="8946"/>
      <c r="AG268" s="8946"/>
      <c r="AH268" s="8946"/>
      <c r="AI268" s="8946"/>
      <c r="AJ268" s="8947"/>
      <c r="AK268" s="1182" t="s">
        <v>946</v>
      </c>
      <c r="AL268" s="1562"/>
      <c r="AM268" s="1544"/>
      <c r="AN268" s="1544" t="str">
        <f t="shared" si="4"/>
        <v>Наименование признака дифференциации</v>
      </c>
      <c r="AO268" s="1544"/>
      <c r="AP268" s="1544"/>
    </row>
    <row r="269" spans="1:42" s="1818" customFormat="1" ht="23.25" customHeight="1">
      <c r="A269" s="1284"/>
      <c r="B269" s="1284"/>
      <c r="C269" s="1284"/>
      <c r="D269" s="1284"/>
      <c r="E269" s="8884" t="s">
        <v>155</v>
      </c>
      <c r="F269" s="8884"/>
      <c r="G269" s="8884"/>
      <c r="H269" s="8884"/>
      <c r="I269" s="8904"/>
      <c r="J269" s="8881" t="str">
        <f>I268&amp;".1"</f>
        <v>15.1.1.1.1</v>
      </c>
      <c r="K269" s="1284"/>
      <c r="L269" s="1290" t="s">
        <v>871</v>
      </c>
      <c r="M269" s="1696"/>
      <c r="N269" s="1696"/>
      <c r="O269" s="1696"/>
      <c r="P269" s="8882"/>
      <c r="Q269" s="8882">
        <v>1</v>
      </c>
      <c r="R269" s="278"/>
      <c r="S269" s="1810" t="str">
        <f>$J269</f>
        <v>15.1.1.1.1</v>
      </c>
      <c r="T269" s="201" t="s">
        <v>872</v>
      </c>
      <c r="U269" s="214"/>
      <c r="V269" s="8872"/>
      <c r="W269" s="8873"/>
      <c r="X269" s="8873"/>
      <c r="Y269" s="8873"/>
      <c r="Z269" s="8873"/>
      <c r="AA269" s="8873"/>
      <c r="AB269" s="8874"/>
      <c r="AC269" s="8872" t="s">
        <v>961</v>
      </c>
      <c r="AD269" s="8873"/>
      <c r="AE269" s="8873"/>
      <c r="AF269" s="8873"/>
      <c r="AG269" s="8873"/>
      <c r="AH269" s="8873"/>
      <c r="AI269" s="8873"/>
      <c r="AJ269" s="8874"/>
      <c r="AK269" s="1231" t="s">
        <v>947</v>
      </c>
      <c r="AL269" s="1562"/>
      <c r="AM269" s="1544"/>
      <c r="AN269" s="1544" t="str">
        <f t="shared" si="4"/>
        <v>Группа потребителей</v>
      </c>
      <c r="AO269" s="1544"/>
      <c r="AP269" s="1544"/>
    </row>
    <row r="270" spans="1:42" s="1818" customFormat="1" ht="23.25" customHeight="1">
      <c r="A270" s="1284"/>
      <c r="B270" s="1284"/>
      <c r="C270" s="1284"/>
      <c r="D270" s="1284"/>
      <c r="E270" s="8884" t="s">
        <v>155</v>
      </c>
      <c r="F270" s="8884"/>
      <c r="G270" s="8884"/>
      <c r="H270" s="8884"/>
      <c r="I270" s="8904"/>
      <c r="J270" s="8904"/>
      <c r="K270" s="8881" t="str">
        <f>J269&amp;".1"</f>
        <v>15.1.1.1.1.1</v>
      </c>
      <c r="L270" s="1290"/>
      <c r="M270" s="1696"/>
      <c r="N270" s="1696"/>
      <c r="O270" s="1696"/>
      <c r="P270" s="8882"/>
      <c r="Q270" s="8882"/>
      <c r="R270" s="278">
        <v>1</v>
      </c>
      <c r="S270" s="1810" t="str">
        <f>$K270</f>
        <v>15.1.1.1.1.1</v>
      </c>
      <c r="T270" s="1357" t="s">
        <v>962</v>
      </c>
      <c r="U270" s="214"/>
      <c r="V270" s="666"/>
      <c r="W270" s="666"/>
      <c r="X270" s="1181"/>
      <c r="Y270" s="8886"/>
      <c r="Z270" s="8734" t="s">
        <v>63</v>
      </c>
      <c r="AA270" s="8886"/>
      <c r="AB270" s="8734" t="s">
        <v>63</v>
      </c>
      <c r="AC270" s="666">
        <v>964.09</v>
      </c>
      <c r="AD270" s="666"/>
      <c r="AE270" s="1181"/>
      <c r="AF270" s="8886">
        <v>45292</v>
      </c>
      <c r="AG270" s="8734" t="s">
        <v>63</v>
      </c>
      <c r="AH270" s="8905">
        <v>45657</v>
      </c>
      <c r="AI270" s="8734" t="s">
        <v>63</v>
      </c>
      <c r="AJ270" s="1358"/>
      <c r="AK27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70" s="1562" t="e">
        <f ca="1">STRCHECKDATE(V271:AJ271)</f>
        <v>#NAME?</v>
      </c>
      <c r="AM270" s="1544"/>
      <c r="AN270" s="1544" t="str">
        <f t="shared" si="4"/>
        <v>Тариф для населения, руб. за 1 куб. метр с НДС</v>
      </c>
      <c r="AO270" s="1544"/>
      <c r="AP270" s="1544"/>
    </row>
    <row r="271" spans="1:42" s="1818" customFormat="1" ht="14.25" customHeight="1">
      <c r="A271" s="1284"/>
      <c r="B271" s="1284"/>
      <c r="C271" s="1284"/>
      <c r="D271" s="1284"/>
      <c r="E271" s="8884" t="s">
        <v>155</v>
      </c>
      <c r="F271" s="8884"/>
      <c r="G271" s="8884"/>
      <c r="H271" s="8884"/>
      <c r="I271" s="8904"/>
      <c r="J271" s="8904"/>
      <c r="K271" s="8881"/>
      <c r="L271" s="1290"/>
      <c r="M271" s="1696"/>
      <c r="N271" s="1696"/>
      <c r="O271" s="1696"/>
      <c r="P271" s="8882"/>
      <c r="Q271" s="8882"/>
      <c r="R271" s="278"/>
      <c r="S271" s="1815"/>
      <c r="T271" s="214"/>
      <c r="U271" s="214"/>
      <c r="V271" s="246"/>
      <c r="W271" s="246"/>
      <c r="X271" s="250" t="str">
        <f>Y270&amp;"-"&amp;AA270</f>
        <v>-</v>
      </c>
      <c r="Y271" s="8887"/>
      <c r="Z271" s="8734"/>
      <c r="AA271" s="8887"/>
      <c r="AB271" s="8734"/>
      <c r="AC271" s="246"/>
      <c r="AD271" s="246"/>
      <c r="AE271" s="250" t="str">
        <f>AF270&amp;"-"&amp;AH270</f>
        <v>45292-45657</v>
      </c>
      <c r="AF271" s="8887"/>
      <c r="AG271" s="8734"/>
      <c r="AH271" s="8906"/>
      <c r="AI271" s="8734"/>
      <c r="AJ271" s="1359"/>
      <c r="AK271" s="8941"/>
      <c r="AL271" s="1562"/>
      <c r="AM271" s="1544"/>
      <c r="AN271" s="1544" t="str">
        <f t="shared" si="4"/>
        <v/>
      </c>
      <c r="AO271" s="1544"/>
      <c r="AP271" s="1544"/>
    </row>
    <row r="272" spans="1:42" s="1818" customFormat="1" ht="21" customHeight="1">
      <c r="A272" s="1284"/>
      <c r="B272" s="1284"/>
      <c r="C272" s="1284"/>
      <c r="D272" s="1284"/>
      <c r="E272" s="8884" t="s">
        <v>155</v>
      </c>
      <c r="F272" s="8884"/>
      <c r="G272" s="8884"/>
      <c r="H272" s="8884"/>
      <c r="I272" s="8904"/>
      <c r="J272" s="8881"/>
      <c r="K272" s="1284"/>
      <c r="L272" s="1290"/>
      <c r="M272" s="1696"/>
      <c r="N272" s="1696"/>
      <c r="O272" s="1696"/>
      <c r="P272" s="8882"/>
      <c r="Q272" s="8882"/>
      <c r="R272" s="277"/>
      <c r="S272" s="2835"/>
      <c r="T272" s="2836" t="s">
        <v>948</v>
      </c>
      <c r="U272" s="2837"/>
      <c r="V272" s="2838"/>
      <c r="W272" s="2839"/>
      <c r="X272" s="2840"/>
      <c r="Y272" s="2841"/>
      <c r="Z272" s="2842"/>
      <c r="AA272" s="2843"/>
      <c r="AB272" s="2844"/>
      <c r="AC272" s="2845"/>
      <c r="AD272" s="2846"/>
      <c r="AE272" s="2847"/>
      <c r="AF272" s="2848"/>
      <c r="AG272" s="2849"/>
      <c r="AH272" s="2850"/>
      <c r="AI272" s="2851"/>
      <c r="AJ272" s="2852"/>
      <c r="AK272" s="1182" t="s">
        <v>949</v>
      </c>
      <c r="AL272" s="1562"/>
      <c r="AM272" s="1544"/>
      <c r="AN272" s="1544" t="str">
        <f t="shared" si="4"/>
        <v>Добавить значение признака дифференциации</v>
      </c>
      <c r="AO272" s="1544"/>
      <c r="AP272" s="1544"/>
    </row>
    <row r="273" spans="1:42" s="1818" customFormat="1" ht="23.25" customHeight="1">
      <c r="A273" s="1284"/>
      <c r="B273" s="1284"/>
      <c r="C273" s="1284"/>
      <c r="D273" s="1284"/>
      <c r="E273" s="8884"/>
      <c r="F273" s="8884"/>
      <c r="G273" s="8884"/>
      <c r="H273" s="8884"/>
      <c r="I273" s="8904"/>
      <c r="J273" s="8881" t="str">
        <f>I268&amp;".2"</f>
        <v>15.1.1.1.2</v>
      </c>
      <c r="K273" s="1284"/>
      <c r="L273" s="1290" t="s">
        <v>871</v>
      </c>
      <c r="M273" s="1696"/>
      <c r="N273" s="1696"/>
      <c r="O273" s="1696"/>
      <c r="P273" s="8882"/>
      <c r="Q273" s="8948" t="s">
        <v>100</v>
      </c>
      <c r="R273" s="278"/>
      <c r="S273" s="1810" t="str">
        <f>$J273</f>
        <v>15.1.1.1.2</v>
      </c>
      <c r="T273" s="201" t="s">
        <v>872</v>
      </c>
      <c r="U273" s="214"/>
      <c r="V273" s="8872"/>
      <c r="W273" s="8873"/>
      <c r="X273" s="8873"/>
      <c r="Y273" s="8873"/>
      <c r="Z273" s="8873"/>
      <c r="AA273" s="8873"/>
      <c r="AB273" s="8874"/>
      <c r="AC273" s="8872" t="s">
        <v>963</v>
      </c>
      <c r="AD273" s="8873"/>
      <c r="AE273" s="8873"/>
      <c r="AF273" s="8873"/>
      <c r="AG273" s="8873"/>
      <c r="AH273" s="8873"/>
      <c r="AI273" s="8873"/>
      <c r="AJ273" s="8874"/>
      <c r="AK273" s="1231" t="s">
        <v>947</v>
      </c>
      <c r="AL273" s="1562"/>
      <c r="AM273" s="1544"/>
      <c r="AN273" s="1544" t="str">
        <f t="shared" si="4"/>
        <v>Группа потребителей</v>
      </c>
      <c r="AO273" s="1544"/>
      <c r="AP273" s="1544"/>
    </row>
    <row r="274" spans="1:42" s="1818" customFormat="1" ht="23.25" customHeight="1">
      <c r="A274" s="1284"/>
      <c r="B274" s="1284"/>
      <c r="C274" s="1284"/>
      <c r="D274" s="1284"/>
      <c r="E274" s="8884"/>
      <c r="F274" s="8884"/>
      <c r="G274" s="8884"/>
      <c r="H274" s="8884"/>
      <c r="I274" s="8904"/>
      <c r="J274" s="8904" t="str">
        <f>I268&amp;".1"</f>
        <v>15.1.1.1.1</v>
      </c>
      <c r="K274" s="8881" t="str">
        <f>J273&amp;".1"</f>
        <v>15.1.1.1.2.1</v>
      </c>
      <c r="L274" s="1290"/>
      <c r="M274" s="1696"/>
      <c r="N274" s="1696"/>
      <c r="O274" s="1696"/>
      <c r="P274" s="8882"/>
      <c r="Q274" s="8882"/>
      <c r="R274" s="278">
        <v>1</v>
      </c>
      <c r="S274" s="1810" t="str">
        <f>$K274</f>
        <v>15.1.1.1.2.1</v>
      </c>
      <c r="T274" s="1357" t="s">
        <v>964</v>
      </c>
      <c r="U274" s="214"/>
      <c r="V274" s="666"/>
      <c r="W274" s="666"/>
      <c r="X274" s="1181"/>
      <c r="Y274" s="8886"/>
      <c r="Z274" s="8734" t="s">
        <v>63</v>
      </c>
      <c r="AA274" s="8886"/>
      <c r="AB274" s="8734" t="s">
        <v>63</v>
      </c>
      <c r="AC274" s="666">
        <v>803.41</v>
      </c>
      <c r="AD274" s="666"/>
      <c r="AE274" s="1181"/>
      <c r="AF274" s="8886">
        <v>45292</v>
      </c>
      <c r="AG274" s="8734" t="s">
        <v>63</v>
      </c>
      <c r="AH274" s="8905">
        <v>45657</v>
      </c>
      <c r="AI274" s="8734" t="s">
        <v>63</v>
      </c>
      <c r="AJ274" s="1358"/>
      <c r="AK27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74" s="1562" t="e">
        <f ca="1">STRCHECKDATE(V275:AJ275)</f>
        <v>#NAME?</v>
      </c>
      <c r="AM274" s="1544"/>
      <c r="AN274" s="1544" t="str">
        <f t="shared" si="4"/>
        <v>Тариф, руб. за 1 куб. метр без НДС</v>
      </c>
      <c r="AO274" s="1544"/>
      <c r="AP274" s="1544"/>
    </row>
    <row r="275" spans="1:42" s="1818" customFormat="1" ht="14.25" customHeight="1">
      <c r="A275" s="1284"/>
      <c r="B275" s="1284"/>
      <c r="C275" s="1284"/>
      <c r="D275" s="1284"/>
      <c r="E275" s="8884"/>
      <c r="F275" s="8884"/>
      <c r="G275" s="8884"/>
      <c r="H275" s="8884"/>
      <c r="I275" s="8904"/>
      <c r="J275" s="8904" t="str">
        <f>I268&amp;".1"</f>
        <v>15.1.1.1.1</v>
      </c>
      <c r="K275" s="8881"/>
      <c r="L275" s="1290"/>
      <c r="M275" s="1696"/>
      <c r="N275" s="1696"/>
      <c r="O275" s="1696"/>
      <c r="P275" s="8882"/>
      <c r="Q275" s="8882"/>
      <c r="R275" s="278"/>
      <c r="S275" s="1815"/>
      <c r="T275" s="214"/>
      <c r="U275" s="214"/>
      <c r="V275" s="246"/>
      <c r="W275" s="246"/>
      <c r="X275" s="250" t="str">
        <f>Y274&amp;"-"&amp;AA274</f>
        <v>-</v>
      </c>
      <c r="Y275" s="8887"/>
      <c r="Z275" s="8734"/>
      <c r="AA275" s="8887"/>
      <c r="AB275" s="8734"/>
      <c r="AC275" s="246"/>
      <c r="AD275" s="246"/>
      <c r="AE275" s="250" t="str">
        <f>AF274&amp;"-"&amp;AH274</f>
        <v>45292-45657</v>
      </c>
      <c r="AF275" s="8887"/>
      <c r="AG275" s="8734"/>
      <c r="AH275" s="8906"/>
      <c r="AI275" s="8734"/>
      <c r="AJ275" s="1359"/>
      <c r="AK275" s="8941"/>
      <c r="AL275" s="1562"/>
      <c r="AM275" s="1544"/>
      <c r="AN275" s="1544" t="str">
        <f t="shared" si="4"/>
        <v/>
      </c>
      <c r="AO275" s="1544"/>
      <c r="AP275" s="1544"/>
    </row>
    <row r="276" spans="1:42" s="1818" customFormat="1" ht="21" customHeight="1">
      <c r="A276" s="1284"/>
      <c r="B276" s="1284"/>
      <c r="C276" s="1284"/>
      <c r="D276" s="1284"/>
      <c r="E276" s="8884"/>
      <c r="F276" s="8884"/>
      <c r="G276" s="8884"/>
      <c r="H276" s="8884"/>
      <c r="I276" s="8904"/>
      <c r="J276" s="8881" t="str">
        <f>I268&amp;".1"</f>
        <v>15.1.1.1.1</v>
      </c>
      <c r="K276" s="1284"/>
      <c r="L276" s="1290"/>
      <c r="M276" s="1696"/>
      <c r="N276" s="1696"/>
      <c r="O276" s="1696"/>
      <c r="P276" s="8882"/>
      <c r="Q276" s="8882"/>
      <c r="R276" s="277"/>
      <c r="S276" s="2853"/>
      <c r="T276" s="2854" t="s">
        <v>948</v>
      </c>
      <c r="U276" s="2855"/>
      <c r="V276" s="2856"/>
      <c r="W276" s="2857"/>
      <c r="X276" s="2858"/>
      <c r="Y276" s="2859"/>
      <c r="Z276" s="2860"/>
      <c r="AA276" s="2861"/>
      <c r="AB276" s="2862"/>
      <c r="AC276" s="2863"/>
      <c r="AD276" s="2864"/>
      <c r="AE276" s="2865"/>
      <c r="AF276" s="2866"/>
      <c r="AG276" s="2867"/>
      <c r="AH276" s="2868"/>
      <c r="AI276" s="2869"/>
      <c r="AJ276" s="2870"/>
      <c r="AK276" s="1182" t="s">
        <v>949</v>
      </c>
      <c r="AL276" s="1562"/>
      <c r="AM276" s="1544"/>
      <c r="AN276" s="1544" t="str">
        <f t="shared" si="4"/>
        <v>Добавить значение признака дифференциации</v>
      </c>
      <c r="AO276" s="1544"/>
      <c r="AP276" s="1544"/>
    </row>
    <row r="277" spans="1:42" s="1818" customFormat="1" ht="21" customHeight="1">
      <c r="A277" s="1284"/>
      <c r="B277" s="1284"/>
      <c r="C277" s="1284"/>
      <c r="D277" s="1284"/>
      <c r="E277" s="8884" t="s">
        <v>155</v>
      </c>
      <c r="F277" s="8884"/>
      <c r="G277" s="8884"/>
      <c r="H277" s="8884"/>
      <c r="I277" s="8881"/>
      <c r="J277" s="1284"/>
      <c r="K277" s="1284"/>
      <c r="L277" s="1290"/>
      <c r="M277" s="1696"/>
      <c r="N277" s="1696"/>
      <c r="O277" s="1696"/>
      <c r="P277" s="8882"/>
      <c r="Q277" s="1811"/>
      <c r="R277" s="277"/>
      <c r="S277" s="2871"/>
      <c r="T277" s="2872" t="s">
        <v>877</v>
      </c>
      <c r="U277" s="2873"/>
      <c r="V277" s="2874"/>
      <c r="W277" s="2875"/>
      <c r="X277" s="2876"/>
      <c r="Y277" s="2877"/>
      <c r="Z277" s="2878"/>
      <c r="AA277" s="2879"/>
      <c r="AB277" s="2880"/>
      <c r="AC277" s="2881"/>
      <c r="AD277" s="2882"/>
      <c r="AE277" s="2883"/>
      <c r="AF277" s="2884"/>
      <c r="AG277" s="2885"/>
      <c r="AH277" s="2886"/>
      <c r="AI277" s="2887"/>
      <c r="AJ277" s="2888"/>
      <c r="AK277" s="2889"/>
      <c r="AL277" s="1562"/>
      <c r="AM277" s="1544"/>
      <c r="AN277" s="1544" t="str">
        <f t="shared" si="4"/>
        <v>Добавить группу потребителей</v>
      </c>
      <c r="AO277" s="1544"/>
      <c r="AP277" s="1544"/>
    </row>
    <row r="278" spans="1:42" s="1818" customFormat="1" ht="21" customHeight="1">
      <c r="A278" s="1284"/>
      <c r="B278" s="1284"/>
      <c r="C278" s="1284"/>
      <c r="D278" s="1284"/>
      <c r="E278" s="8884" t="s">
        <v>155</v>
      </c>
      <c r="F278" s="8884"/>
      <c r="G278" s="8884"/>
      <c r="H278" s="8883"/>
      <c r="I278" s="1284"/>
      <c r="J278" s="1284"/>
      <c r="K278" s="1284"/>
      <c r="L278" s="1290"/>
      <c r="M278" s="1286"/>
      <c r="N278" s="1286"/>
      <c r="O278" s="1287"/>
      <c r="P278" s="1742"/>
      <c r="Q278" s="299"/>
      <c r="R278" s="276"/>
      <c r="S278" s="2890"/>
      <c r="T278" s="2891" t="s">
        <v>950</v>
      </c>
      <c r="U278" s="2892"/>
      <c r="V278" s="2893"/>
      <c r="W278" s="2894"/>
      <c r="X278" s="2895"/>
      <c r="Y278" s="2896"/>
      <c r="Z278" s="2897"/>
      <c r="AA278" s="2898"/>
      <c r="AB278" s="2899"/>
      <c r="AC278" s="2900"/>
      <c r="AD278" s="2901"/>
      <c r="AE278" s="2902"/>
      <c r="AF278" s="2903"/>
      <c r="AG278" s="2904"/>
      <c r="AH278" s="2905"/>
      <c r="AI278" s="2906"/>
      <c r="AJ278" s="2907"/>
      <c r="AK278" s="2908"/>
      <c r="AL278" s="1562"/>
      <c r="AM278" s="1544"/>
      <c r="AN278" s="1544" t="str">
        <f t="shared" si="4"/>
        <v>Добавить наименование признака дифференциации</v>
      </c>
      <c r="AO278" s="1544"/>
      <c r="AP278" s="1544"/>
    </row>
    <row r="279" spans="1:42" s="541" customFormat="1" ht="14.25" customHeight="1">
      <c r="A279" s="1265"/>
      <c r="B279" s="1265"/>
      <c r="C279" s="1265"/>
      <c r="D279" s="1265"/>
      <c r="E279" s="8884" t="s">
        <v>155</v>
      </c>
      <c r="F279" s="8883"/>
      <c r="G279" s="1265"/>
      <c r="H279" s="1265"/>
      <c r="I279" s="1265"/>
      <c r="J279" s="1265"/>
      <c r="K279" s="1265"/>
      <c r="L279" s="1466"/>
      <c r="M279" s="1244"/>
      <c r="N279" s="1244"/>
      <c r="O279" s="1562"/>
      <c r="P279" s="1239"/>
      <c r="Q279" s="1266"/>
      <c r="R279" s="1239"/>
      <c r="S279" s="1245"/>
      <c r="T279" s="1248" t="s">
        <v>314</v>
      </c>
      <c r="U279" s="1247"/>
      <c r="V279" s="1247"/>
      <c r="W279" s="1247"/>
      <c r="X279" s="1247"/>
      <c r="Y279" s="1247"/>
      <c r="Z279" s="1247"/>
      <c r="AA279" s="1247"/>
      <c r="AB279" s="1247"/>
      <c r="AC279" s="1247"/>
      <c r="AD279" s="1247"/>
      <c r="AE279" s="1247"/>
      <c r="AF279" s="1247"/>
      <c r="AG279" s="1247"/>
      <c r="AH279" s="1247"/>
      <c r="AI279" s="1247"/>
      <c r="AJ279" s="1247"/>
      <c r="AK279" s="1247"/>
      <c r="AL279" s="1562"/>
      <c r="AM279" s="1544"/>
      <c r="AN279" s="1544" t="str">
        <f t="shared" si="4"/>
        <v>Добавить централизованную систему для дифференциации</v>
      </c>
      <c r="AO279" s="1544"/>
      <c r="AP279" s="1544"/>
    </row>
    <row r="280" spans="1:42" s="541" customFormat="1" ht="14.25" customHeight="1">
      <c r="A280" s="1265"/>
      <c r="B280" s="1265"/>
      <c r="C280" s="1265"/>
      <c r="D280" s="1265"/>
      <c r="E280" s="8883" t="s">
        <v>155</v>
      </c>
      <c r="F280" s="1265"/>
      <c r="G280" s="1265"/>
      <c r="H280" s="1265"/>
      <c r="I280" s="1265"/>
      <c r="J280" s="1265"/>
      <c r="K280" s="1265"/>
      <c r="L280" s="1466"/>
      <c r="M280" s="1244"/>
      <c r="N280" s="1244"/>
      <c r="O280" s="1562"/>
      <c r="P280" s="1239"/>
      <c r="Q280" s="1266"/>
      <c r="R280" s="1239"/>
      <c r="S280" s="1245"/>
      <c r="T280" s="1248" t="s">
        <v>315</v>
      </c>
      <c r="U280" s="1247"/>
      <c r="V280" s="1247"/>
      <c r="W280" s="1247"/>
      <c r="X280" s="1247"/>
      <c r="Y280" s="1247"/>
      <c r="Z280" s="1247"/>
      <c r="AA280" s="1247"/>
      <c r="AB280" s="1247"/>
      <c r="AC280" s="1247"/>
      <c r="AD280" s="1247"/>
      <c r="AE280" s="1247"/>
      <c r="AF280" s="1247"/>
      <c r="AG280" s="1247"/>
      <c r="AH280" s="1247"/>
      <c r="AI280" s="1247"/>
      <c r="AJ280" s="1247"/>
      <c r="AK280" s="1247"/>
      <c r="AL280" s="1562"/>
      <c r="AM280" s="1544"/>
      <c r="AN280" s="1544" t="str">
        <f t="shared" si="4"/>
        <v>Добавить территорию для дифференциации</v>
      </c>
      <c r="AO280" s="1544"/>
      <c r="AP280" s="1544"/>
    </row>
    <row r="281" spans="1:42" s="1818" customFormat="1" ht="23.25" customHeight="1">
      <c r="A281" s="1284" t="s">
        <v>387</v>
      </c>
      <c r="B281" s="1284"/>
      <c r="C281" s="1284"/>
      <c r="D281" s="1284"/>
      <c r="E281" s="8883" t="s">
        <v>165</v>
      </c>
      <c r="F281" s="1284"/>
      <c r="G281" s="1284"/>
      <c r="H281" s="1284"/>
      <c r="I281" s="1284"/>
      <c r="J281" s="1284"/>
      <c r="K281" s="1284"/>
      <c r="L281" s="1290"/>
      <c r="M281" s="1286"/>
      <c r="N281" s="1286"/>
      <c r="O281" s="1286"/>
      <c r="P281" s="1812"/>
      <c r="Q281" s="1742"/>
      <c r="R281" s="276"/>
      <c r="S281" s="1810" t="str">
        <f>INDEX(PT_DIFFERENTIATION_NUM_NTAR,MATCH(A281,PT_DIFFERENTIATION_NTAR_ID,0))</f>
        <v>16</v>
      </c>
      <c r="T281" s="1440" t="s">
        <v>211</v>
      </c>
      <c r="U281" s="214"/>
      <c r="V281" s="8869"/>
      <c r="W281" s="8870"/>
      <c r="X281" s="8870"/>
      <c r="Y281" s="8870"/>
      <c r="Z281" s="8870"/>
      <c r="AA281" s="8870"/>
      <c r="AB281" s="8871"/>
      <c r="AC281" s="8869" t="str">
        <f>INDEX(PT_DIFFERENTIATION_NTAR,MATCH(A281,PT_DIFFERENTIATION_NTAR_ID,0))</f>
        <v>Подвоз воды потребителям поселка Бурунного</v>
      </c>
      <c r="AD281" s="8870"/>
      <c r="AE281" s="8870"/>
      <c r="AF281" s="8870"/>
      <c r="AG281" s="8870"/>
      <c r="AH281" s="8870"/>
      <c r="AI281" s="8870"/>
      <c r="AJ281" s="8871"/>
      <c r="AK28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281" s="1562"/>
      <c r="AM281" s="1544"/>
      <c r="AN281" s="1544" t="str">
        <f t="shared" si="4"/>
        <v>Наименование тарифа</v>
      </c>
      <c r="AO281" s="1544"/>
      <c r="AP281" s="1544"/>
    </row>
    <row r="282" spans="1:42" s="1818" customFormat="1" ht="23.25" customHeight="1">
      <c r="A282" s="1284"/>
      <c r="B282" s="1284" t="s">
        <v>388</v>
      </c>
      <c r="C282" s="1284"/>
      <c r="D282" s="1284"/>
      <c r="E282" s="8884" t="s">
        <v>160</v>
      </c>
      <c r="F282" s="8883">
        <v>1</v>
      </c>
      <c r="G282" s="1284"/>
      <c r="H282" s="1284"/>
      <c r="I282" s="1284"/>
      <c r="J282" s="1284"/>
      <c r="K282" s="1284"/>
      <c r="L282" s="1290"/>
      <c r="M282" s="1286"/>
      <c r="N282" s="1286"/>
      <c r="O282" s="1286"/>
      <c r="P282" s="1807"/>
      <c r="Q282" s="273"/>
      <c r="R282" s="274"/>
      <c r="S282" s="1810" t="str">
        <f>INDEX(PT_DIFFERENTIATION_NUM_TER,MATCH(B282,PT_DIFFERENTIATION_TER_ID,0))</f>
        <v>16.1</v>
      </c>
      <c r="T282" s="1437" t="s">
        <v>862</v>
      </c>
      <c r="U282" s="214"/>
      <c r="V282" s="8869"/>
      <c r="W282" s="8870"/>
      <c r="X282" s="8870"/>
      <c r="Y282" s="8870"/>
      <c r="Z282" s="8870"/>
      <c r="AA282" s="8870"/>
      <c r="AB282" s="8871"/>
      <c r="AC282" s="8869" t="str">
        <f>INDEX(PT_DIFFERENTIATION_TER,MATCH(B282,PT_DIFFERENTIATION_TER_ID,0))</f>
        <v>Территория 7</v>
      </c>
      <c r="AD282" s="8870"/>
      <c r="AE282" s="8870"/>
      <c r="AF282" s="8870"/>
      <c r="AG282" s="8870"/>
      <c r="AH282" s="8870"/>
      <c r="AI282" s="8870"/>
      <c r="AJ282" s="8871"/>
      <c r="AK282" s="1182" t="s">
        <v>863</v>
      </c>
      <c r="AL282" s="1562"/>
      <c r="AM282" s="1544"/>
      <c r="AN282" s="1544" t="str">
        <f t="shared" si="4"/>
        <v>Территория действия тарифа</v>
      </c>
      <c r="AO282" s="1544"/>
      <c r="AP282" s="1544"/>
    </row>
    <row r="283" spans="1:42" s="1818" customFormat="1" ht="23.25" customHeight="1">
      <c r="A283" s="1284"/>
      <c r="B283" s="1284"/>
      <c r="C283" s="1284" t="s">
        <v>389</v>
      </c>
      <c r="D283" s="1284"/>
      <c r="E283" s="8884" t="s">
        <v>160</v>
      </c>
      <c r="F283" s="8884"/>
      <c r="G283" s="8883">
        <v>1</v>
      </c>
      <c r="H283" s="1284"/>
      <c r="I283" s="1284"/>
      <c r="J283" s="1284"/>
      <c r="K283" s="1284"/>
      <c r="L283" s="1290"/>
      <c r="M283" s="1286"/>
      <c r="N283" s="1286"/>
      <c r="O283" s="1286"/>
      <c r="P283" s="275"/>
      <c r="Q283" s="273"/>
      <c r="R283" s="274"/>
      <c r="S283" s="1810" t="str">
        <f>INDEX(PT_DIFFERENTIATION_NUM_CS,MATCH(C283,PT_DIFFERENTIATION_CS_ID,0))</f>
        <v>16.1.1</v>
      </c>
      <c r="T283" s="225" t="s">
        <v>943</v>
      </c>
      <c r="U283" s="214"/>
      <c r="V283" s="8869"/>
      <c r="W283" s="8870"/>
      <c r="X283" s="8870"/>
      <c r="Y283" s="8870"/>
      <c r="Z283" s="8870"/>
      <c r="AA283" s="8870"/>
      <c r="AB283" s="8871"/>
      <c r="AC283" s="8869" t="str">
        <f>INDEX(PT_DIFFERENTIATION_CS,MATCH(C283,PT_DIFFERENTIATION_CS_ID,0))</f>
        <v>без дифференциации</v>
      </c>
      <c r="AD283" s="8870"/>
      <c r="AE283" s="8870"/>
      <c r="AF283" s="8870"/>
      <c r="AG283" s="8870"/>
      <c r="AH283" s="8870"/>
      <c r="AI283" s="8870"/>
      <c r="AJ283" s="8871"/>
      <c r="AK283" s="1182" t="s">
        <v>944</v>
      </c>
      <c r="AL283" s="1562"/>
      <c r="AM283" s="1544"/>
      <c r="AN283" s="1544" t="str">
        <f t="shared" si="4"/>
        <v>Наименование централизованной системы холодного водоснабжения</v>
      </c>
      <c r="AO283" s="1544"/>
      <c r="AP283" s="1544"/>
    </row>
    <row r="284" spans="1:42" s="1818" customFormat="1" ht="23.25" customHeight="1">
      <c r="A284" s="1284"/>
      <c r="B284" s="1284"/>
      <c r="C284" s="1284"/>
      <c r="D284" s="1284"/>
      <c r="E284" s="8884" t="s">
        <v>160</v>
      </c>
      <c r="F284" s="8884"/>
      <c r="G284" s="8884"/>
      <c r="H284" s="8884"/>
      <c r="I284" s="8881" t="str">
        <f>S283&amp;".1"</f>
        <v>16.1.1.1</v>
      </c>
      <c r="J284" s="1284"/>
      <c r="K284" s="1284"/>
      <c r="L284" s="1290"/>
      <c r="M284" s="1696"/>
      <c r="N284" s="1696"/>
      <c r="O284" s="1696"/>
      <c r="P284" s="8882">
        <v>1</v>
      </c>
      <c r="Q284" s="1811"/>
      <c r="R284" s="277"/>
      <c r="S284" s="1810" t="str">
        <f>$I284</f>
        <v>16.1.1.1</v>
      </c>
      <c r="T284" s="200" t="s">
        <v>945</v>
      </c>
      <c r="U284" s="214"/>
      <c r="V284" s="8942"/>
      <c r="W284" s="8943"/>
      <c r="X284" s="8943"/>
      <c r="Y284" s="8943"/>
      <c r="Z284" s="8943"/>
      <c r="AA284" s="8943"/>
      <c r="AB284" s="8944"/>
      <c r="AC284" s="8945"/>
      <c r="AD284" s="8946"/>
      <c r="AE284" s="8946"/>
      <c r="AF284" s="8946"/>
      <c r="AG284" s="8946"/>
      <c r="AH284" s="8946"/>
      <c r="AI284" s="8946"/>
      <c r="AJ284" s="8947"/>
      <c r="AK284" s="1182" t="s">
        <v>946</v>
      </c>
      <c r="AL284" s="1562"/>
      <c r="AM284" s="1544"/>
      <c r="AN284" s="1544" t="str">
        <f t="shared" si="4"/>
        <v>Наименование признака дифференциации</v>
      </c>
      <c r="AO284" s="1544"/>
      <c r="AP284" s="1544"/>
    </row>
    <row r="285" spans="1:42" s="1818" customFormat="1" ht="23.25" customHeight="1">
      <c r="A285" s="1284"/>
      <c r="B285" s="1284"/>
      <c r="C285" s="1284"/>
      <c r="D285" s="1284"/>
      <c r="E285" s="8884" t="s">
        <v>160</v>
      </c>
      <c r="F285" s="8884"/>
      <c r="G285" s="8884"/>
      <c r="H285" s="8884"/>
      <c r="I285" s="8904"/>
      <c r="J285" s="8881" t="str">
        <f>I284&amp;".1"</f>
        <v>16.1.1.1.1</v>
      </c>
      <c r="K285" s="1284"/>
      <c r="L285" s="1290" t="s">
        <v>871</v>
      </c>
      <c r="M285" s="1696"/>
      <c r="N285" s="1696"/>
      <c r="O285" s="1696"/>
      <c r="P285" s="8882"/>
      <c r="Q285" s="8882">
        <v>1</v>
      </c>
      <c r="R285" s="278"/>
      <c r="S285" s="1810" t="str">
        <f>$J285</f>
        <v>16.1.1.1.1</v>
      </c>
      <c r="T285" s="201" t="s">
        <v>872</v>
      </c>
      <c r="U285" s="214"/>
      <c r="V285" s="8872"/>
      <c r="W285" s="8873"/>
      <c r="X285" s="8873"/>
      <c r="Y285" s="8873"/>
      <c r="Z285" s="8873"/>
      <c r="AA285" s="8873"/>
      <c r="AB285" s="8874"/>
      <c r="AC285" s="8872" t="s">
        <v>961</v>
      </c>
      <c r="AD285" s="8873"/>
      <c r="AE285" s="8873"/>
      <c r="AF285" s="8873"/>
      <c r="AG285" s="8873"/>
      <c r="AH285" s="8873"/>
      <c r="AI285" s="8873"/>
      <c r="AJ285" s="8874"/>
      <c r="AK285" s="1231" t="s">
        <v>947</v>
      </c>
      <c r="AL285" s="1562"/>
      <c r="AM285" s="1544"/>
      <c r="AN285" s="1544" t="str">
        <f t="shared" si="4"/>
        <v>Группа потребителей</v>
      </c>
      <c r="AO285" s="1544"/>
      <c r="AP285" s="1544"/>
    </row>
    <row r="286" spans="1:42" s="1818" customFormat="1" ht="23.25" customHeight="1">
      <c r="A286" s="1284"/>
      <c r="B286" s="1284"/>
      <c r="C286" s="1284"/>
      <c r="D286" s="1284"/>
      <c r="E286" s="8884" t="s">
        <v>160</v>
      </c>
      <c r="F286" s="8884"/>
      <c r="G286" s="8884"/>
      <c r="H286" s="8884"/>
      <c r="I286" s="8904"/>
      <c r="J286" s="8904"/>
      <c r="K286" s="8881" t="str">
        <f>J285&amp;".1"</f>
        <v>16.1.1.1.1.1</v>
      </c>
      <c r="L286" s="1290"/>
      <c r="M286" s="1696"/>
      <c r="N286" s="1696"/>
      <c r="O286" s="1696"/>
      <c r="P286" s="8882"/>
      <c r="Q286" s="8882"/>
      <c r="R286" s="278">
        <v>1</v>
      </c>
      <c r="S286" s="1810" t="str">
        <f>$K286</f>
        <v>16.1.1.1.1.1</v>
      </c>
      <c r="T286" s="1357" t="s">
        <v>962</v>
      </c>
      <c r="U286" s="214"/>
      <c r="V286" s="666"/>
      <c r="W286" s="666"/>
      <c r="X286" s="1181"/>
      <c r="Y286" s="8886"/>
      <c r="Z286" s="8734" t="s">
        <v>63</v>
      </c>
      <c r="AA286" s="8886"/>
      <c r="AB286" s="8734" t="s">
        <v>63</v>
      </c>
      <c r="AC286" s="666">
        <v>558.23</v>
      </c>
      <c r="AD286" s="666"/>
      <c r="AE286" s="1181"/>
      <c r="AF286" s="8886">
        <v>45292</v>
      </c>
      <c r="AG286" s="8734" t="s">
        <v>63</v>
      </c>
      <c r="AH286" s="8905">
        <v>45657</v>
      </c>
      <c r="AI286" s="8734" t="s">
        <v>63</v>
      </c>
      <c r="AJ286" s="1358"/>
      <c r="AK28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6" s="1562" t="e">
        <f ca="1">STRCHECKDATE(V287:AJ287)</f>
        <v>#NAME?</v>
      </c>
      <c r="AM286" s="1544"/>
      <c r="AN286" s="1544" t="str">
        <f t="shared" si="4"/>
        <v>Тариф для населения, руб. за 1 куб. метр с НДС</v>
      </c>
      <c r="AO286" s="1544"/>
      <c r="AP286" s="1544"/>
    </row>
    <row r="287" spans="1:42" s="1818" customFormat="1" ht="14.25" customHeight="1">
      <c r="A287" s="1284"/>
      <c r="B287" s="1284"/>
      <c r="C287" s="1284"/>
      <c r="D287" s="1284"/>
      <c r="E287" s="8884" t="s">
        <v>160</v>
      </c>
      <c r="F287" s="8884"/>
      <c r="G287" s="8884"/>
      <c r="H287" s="8884"/>
      <c r="I287" s="8904"/>
      <c r="J287" s="8904"/>
      <c r="K287" s="8881"/>
      <c r="L287" s="1290"/>
      <c r="M287" s="1696"/>
      <c r="N287" s="1696"/>
      <c r="O287" s="1696"/>
      <c r="P287" s="8882"/>
      <c r="Q287" s="8882"/>
      <c r="R287" s="278"/>
      <c r="S287" s="1815"/>
      <c r="T287" s="214"/>
      <c r="U287" s="214"/>
      <c r="V287" s="246"/>
      <c r="W287" s="246"/>
      <c r="X287" s="250" t="str">
        <f>Y286&amp;"-"&amp;AA286</f>
        <v>-</v>
      </c>
      <c r="Y287" s="8887"/>
      <c r="Z287" s="8734"/>
      <c r="AA287" s="8887"/>
      <c r="AB287" s="8734"/>
      <c r="AC287" s="246"/>
      <c r="AD287" s="246"/>
      <c r="AE287" s="250" t="str">
        <f>AF286&amp;"-"&amp;AH286</f>
        <v>45292-45657</v>
      </c>
      <c r="AF287" s="8887"/>
      <c r="AG287" s="8734"/>
      <c r="AH287" s="8906"/>
      <c r="AI287" s="8734"/>
      <c r="AJ287" s="1359"/>
      <c r="AK287" s="8941"/>
      <c r="AL287" s="1562"/>
      <c r="AM287" s="1544"/>
      <c r="AN287" s="1544" t="str">
        <f t="shared" si="4"/>
        <v/>
      </c>
      <c r="AO287" s="1544"/>
      <c r="AP287" s="1544"/>
    </row>
    <row r="288" spans="1:42" s="1818" customFormat="1" ht="21" customHeight="1">
      <c r="A288" s="1284"/>
      <c r="B288" s="1284"/>
      <c r="C288" s="1284"/>
      <c r="D288" s="1284"/>
      <c r="E288" s="8884" t="s">
        <v>160</v>
      </c>
      <c r="F288" s="8884"/>
      <c r="G288" s="8884"/>
      <c r="H288" s="8884"/>
      <c r="I288" s="8904"/>
      <c r="J288" s="8881"/>
      <c r="K288" s="1284"/>
      <c r="L288" s="1290"/>
      <c r="M288" s="1696"/>
      <c r="N288" s="1696"/>
      <c r="O288" s="1696"/>
      <c r="P288" s="8882"/>
      <c r="Q288" s="8882"/>
      <c r="R288" s="277"/>
      <c r="S288" s="2909"/>
      <c r="T288" s="2910" t="s">
        <v>948</v>
      </c>
      <c r="U288" s="2911"/>
      <c r="V288" s="2912"/>
      <c r="W288" s="2913"/>
      <c r="X288" s="2914"/>
      <c r="Y288" s="2915"/>
      <c r="Z288" s="2916"/>
      <c r="AA288" s="2917"/>
      <c r="AB288" s="2918"/>
      <c r="AC288" s="2919"/>
      <c r="AD288" s="2920"/>
      <c r="AE288" s="2921"/>
      <c r="AF288" s="2922"/>
      <c r="AG288" s="2923"/>
      <c r="AH288" s="2924"/>
      <c r="AI288" s="2925"/>
      <c r="AJ288" s="2926"/>
      <c r="AK288" s="1182" t="s">
        <v>949</v>
      </c>
      <c r="AL288" s="1562"/>
      <c r="AM288" s="1544"/>
      <c r="AN288" s="1544" t="str">
        <f t="shared" si="4"/>
        <v>Добавить значение признака дифференциации</v>
      </c>
      <c r="AO288" s="1544"/>
      <c r="AP288" s="1544"/>
    </row>
    <row r="289" spans="1:42" s="1818" customFormat="1" ht="23.25" customHeight="1">
      <c r="A289" s="1284"/>
      <c r="B289" s="1284"/>
      <c r="C289" s="1284"/>
      <c r="D289" s="1284"/>
      <c r="E289" s="8884"/>
      <c r="F289" s="8884"/>
      <c r="G289" s="8884"/>
      <c r="H289" s="8884"/>
      <c r="I289" s="8904"/>
      <c r="J289" s="8881" t="str">
        <f>I284&amp;".2"</f>
        <v>16.1.1.1.2</v>
      </c>
      <c r="K289" s="1284"/>
      <c r="L289" s="1290" t="s">
        <v>871</v>
      </c>
      <c r="M289" s="1696"/>
      <c r="N289" s="1696"/>
      <c r="O289" s="1696"/>
      <c r="P289" s="8882"/>
      <c r="Q289" s="8948" t="s">
        <v>100</v>
      </c>
      <c r="R289" s="278"/>
      <c r="S289" s="1810" t="str">
        <f>$J289</f>
        <v>16.1.1.1.2</v>
      </c>
      <c r="T289" s="201" t="s">
        <v>872</v>
      </c>
      <c r="U289" s="214"/>
      <c r="V289" s="8872"/>
      <c r="W289" s="8873"/>
      <c r="X289" s="8873"/>
      <c r="Y289" s="8873"/>
      <c r="Z289" s="8873"/>
      <c r="AA289" s="8873"/>
      <c r="AB289" s="8874"/>
      <c r="AC289" s="8872" t="s">
        <v>963</v>
      </c>
      <c r="AD289" s="8873"/>
      <c r="AE289" s="8873"/>
      <c r="AF289" s="8873"/>
      <c r="AG289" s="8873"/>
      <c r="AH289" s="8873"/>
      <c r="AI289" s="8873"/>
      <c r="AJ289" s="8874"/>
      <c r="AK289" s="1231" t="s">
        <v>947</v>
      </c>
      <c r="AL289" s="1562"/>
      <c r="AM289" s="1544"/>
      <c r="AN289" s="1544" t="str">
        <f t="shared" si="4"/>
        <v>Группа потребителей</v>
      </c>
      <c r="AO289" s="1544"/>
      <c r="AP289" s="1544"/>
    </row>
    <row r="290" spans="1:42" s="1818" customFormat="1" ht="23.25" customHeight="1">
      <c r="A290" s="1284"/>
      <c r="B290" s="1284"/>
      <c r="C290" s="1284"/>
      <c r="D290" s="1284"/>
      <c r="E290" s="8884"/>
      <c r="F290" s="8884"/>
      <c r="G290" s="8884"/>
      <c r="H290" s="8884"/>
      <c r="I290" s="8904"/>
      <c r="J290" s="8904" t="str">
        <f>I284&amp;".1"</f>
        <v>16.1.1.1.1</v>
      </c>
      <c r="K290" s="8881" t="str">
        <f>J289&amp;".1"</f>
        <v>16.1.1.1.2.1</v>
      </c>
      <c r="L290" s="1290"/>
      <c r="M290" s="1696"/>
      <c r="N290" s="1696"/>
      <c r="O290" s="1696"/>
      <c r="P290" s="8882"/>
      <c r="Q290" s="8882"/>
      <c r="R290" s="278">
        <v>1</v>
      </c>
      <c r="S290" s="1810" t="str">
        <f>$K290</f>
        <v>16.1.1.1.2.1</v>
      </c>
      <c r="T290" s="1357" t="s">
        <v>964</v>
      </c>
      <c r="U290" s="214"/>
      <c r="V290" s="666"/>
      <c r="W290" s="666"/>
      <c r="X290" s="1181"/>
      <c r="Y290" s="8886"/>
      <c r="Z290" s="8734" t="s">
        <v>63</v>
      </c>
      <c r="AA290" s="8886"/>
      <c r="AB290" s="8734" t="s">
        <v>63</v>
      </c>
      <c r="AC290" s="666">
        <v>465.19</v>
      </c>
      <c r="AD290" s="666"/>
      <c r="AE290" s="1181"/>
      <c r="AF290" s="8886">
        <v>45292</v>
      </c>
      <c r="AG290" s="8734" t="s">
        <v>63</v>
      </c>
      <c r="AH290" s="8905">
        <v>45657</v>
      </c>
      <c r="AI290" s="8734" t="s">
        <v>63</v>
      </c>
      <c r="AJ290" s="1358"/>
      <c r="AK29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90" s="1562" t="e">
        <f ca="1">STRCHECKDATE(V291:AJ291)</f>
        <v>#NAME?</v>
      </c>
      <c r="AM290" s="1544"/>
      <c r="AN290" s="1544" t="str">
        <f t="shared" si="4"/>
        <v>Тариф, руб. за 1 куб. метр без НДС</v>
      </c>
      <c r="AO290" s="1544"/>
      <c r="AP290" s="1544"/>
    </row>
    <row r="291" spans="1:42" s="1818" customFormat="1" ht="14.25" customHeight="1">
      <c r="A291" s="1284"/>
      <c r="B291" s="1284"/>
      <c r="C291" s="1284"/>
      <c r="D291" s="1284"/>
      <c r="E291" s="8884"/>
      <c r="F291" s="8884"/>
      <c r="G291" s="8884"/>
      <c r="H291" s="8884"/>
      <c r="I291" s="8904"/>
      <c r="J291" s="8904" t="str">
        <f>I284&amp;".1"</f>
        <v>16.1.1.1.1</v>
      </c>
      <c r="K291" s="8881"/>
      <c r="L291" s="1290"/>
      <c r="M291" s="1696"/>
      <c r="N291" s="1696"/>
      <c r="O291" s="1696"/>
      <c r="P291" s="8882"/>
      <c r="Q291" s="8882"/>
      <c r="R291" s="278"/>
      <c r="S291" s="1815"/>
      <c r="T291" s="214"/>
      <c r="U291" s="214"/>
      <c r="V291" s="246"/>
      <c r="W291" s="246"/>
      <c r="X291" s="250" t="str">
        <f>Y290&amp;"-"&amp;AA290</f>
        <v>-</v>
      </c>
      <c r="Y291" s="8887"/>
      <c r="Z291" s="8734"/>
      <c r="AA291" s="8887"/>
      <c r="AB291" s="8734"/>
      <c r="AC291" s="246"/>
      <c r="AD291" s="246"/>
      <c r="AE291" s="250" t="str">
        <f>AF290&amp;"-"&amp;AH290</f>
        <v>45292-45657</v>
      </c>
      <c r="AF291" s="8887"/>
      <c r="AG291" s="8734"/>
      <c r="AH291" s="8906"/>
      <c r="AI291" s="8734"/>
      <c r="AJ291" s="1359"/>
      <c r="AK291" s="8941"/>
      <c r="AL291" s="1562"/>
      <c r="AM291" s="1544"/>
      <c r="AN291" s="1544" t="str">
        <f t="shared" si="4"/>
        <v/>
      </c>
      <c r="AO291" s="1544"/>
      <c r="AP291" s="1544"/>
    </row>
    <row r="292" spans="1:42" s="1818" customFormat="1" ht="21" customHeight="1">
      <c r="A292" s="1284"/>
      <c r="B292" s="1284"/>
      <c r="C292" s="1284"/>
      <c r="D292" s="1284"/>
      <c r="E292" s="8884"/>
      <c r="F292" s="8884"/>
      <c r="G292" s="8884"/>
      <c r="H292" s="8884"/>
      <c r="I292" s="8904"/>
      <c r="J292" s="8881" t="str">
        <f>I284&amp;".1"</f>
        <v>16.1.1.1.1</v>
      </c>
      <c r="K292" s="1284"/>
      <c r="L292" s="1290"/>
      <c r="M292" s="1696"/>
      <c r="N292" s="1696"/>
      <c r="O292" s="1696"/>
      <c r="P292" s="8882"/>
      <c r="Q292" s="8882"/>
      <c r="R292" s="277"/>
      <c r="S292" s="2927"/>
      <c r="T292" s="2928" t="s">
        <v>948</v>
      </c>
      <c r="U292" s="2929"/>
      <c r="V292" s="2930"/>
      <c r="W292" s="2931"/>
      <c r="X292" s="2932"/>
      <c r="Y292" s="2933"/>
      <c r="Z292" s="2934"/>
      <c r="AA292" s="2935"/>
      <c r="AB292" s="2936"/>
      <c r="AC292" s="2937"/>
      <c r="AD292" s="2938"/>
      <c r="AE292" s="2939"/>
      <c r="AF292" s="2940"/>
      <c r="AG292" s="2941"/>
      <c r="AH292" s="2942"/>
      <c r="AI292" s="2943"/>
      <c r="AJ292" s="2944"/>
      <c r="AK292" s="1182" t="s">
        <v>949</v>
      </c>
      <c r="AL292" s="1562"/>
      <c r="AM292" s="1544"/>
      <c r="AN292" s="1544" t="str">
        <f t="shared" si="4"/>
        <v>Добавить значение признака дифференциации</v>
      </c>
      <c r="AO292" s="1544"/>
      <c r="AP292" s="1544"/>
    </row>
    <row r="293" spans="1:42" s="1818" customFormat="1" ht="21" customHeight="1">
      <c r="A293" s="1284"/>
      <c r="B293" s="1284"/>
      <c r="C293" s="1284"/>
      <c r="D293" s="1284"/>
      <c r="E293" s="8884" t="s">
        <v>160</v>
      </c>
      <c r="F293" s="8884"/>
      <c r="G293" s="8884"/>
      <c r="H293" s="8884"/>
      <c r="I293" s="8881"/>
      <c r="J293" s="1284"/>
      <c r="K293" s="1284"/>
      <c r="L293" s="1290"/>
      <c r="M293" s="1696"/>
      <c r="N293" s="1696"/>
      <c r="O293" s="1696"/>
      <c r="P293" s="8882"/>
      <c r="Q293" s="1811"/>
      <c r="R293" s="277"/>
      <c r="S293" s="2945"/>
      <c r="T293" s="2946" t="s">
        <v>877</v>
      </c>
      <c r="U293" s="2947"/>
      <c r="V293" s="2948"/>
      <c r="W293" s="2949"/>
      <c r="X293" s="2950"/>
      <c r="Y293" s="2951"/>
      <c r="Z293" s="2952"/>
      <c r="AA293" s="2953"/>
      <c r="AB293" s="2954"/>
      <c r="AC293" s="2955"/>
      <c r="AD293" s="2956"/>
      <c r="AE293" s="2957"/>
      <c r="AF293" s="2958"/>
      <c r="AG293" s="2959"/>
      <c r="AH293" s="2960"/>
      <c r="AI293" s="2961"/>
      <c r="AJ293" s="2962"/>
      <c r="AK293" s="2963"/>
      <c r="AL293" s="1562"/>
      <c r="AM293" s="1544"/>
      <c r="AN293" s="1544" t="str">
        <f t="shared" si="4"/>
        <v>Добавить группу потребителей</v>
      </c>
      <c r="AO293" s="1544"/>
      <c r="AP293" s="1544"/>
    </row>
    <row r="294" spans="1:42" s="1818" customFormat="1" ht="21" customHeight="1">
      <c r="A294" s="1284"/>
      <c r="B294" s="1284"/>
      <c r="C294" s="1284"/>
      <c r="D294" s="1284"/>
      <c r="E294" s="8884" t="s">
        <v>160</v>
      </c>
      <c r="F294" s="8884"/>
      <c r="G294" s="8884"/>
      <c r="H294" s="8883"/>
      <c r="I294" s="1284"/>
      <c r="J294" s="1284"/>
      <c r="K294" s="1284"/>
      <c r="L294" s="1290"/>
      <c r="M294" s="1286"/>
      <c r="N294" s="1286"/>
      <c r="O294" s="1287"/>
      <c r="P294" s="1742"/>
      <c r="Q294" s="299"/>
      <c r="R294" s="276"/>
      <c r="S294" s="2964"/>
      <c r="T294" s="2965" t="s">
        <v>950</v>
      </c>
      <c r="U294" s="2966"/>
      <c r="V294" s="2967"/>
      <c r="W294" s="2968"/>
      <c r="X294" s="2969"/>
      <c r="Y294" s="2970"/>
      <c r="Z294" s="2971"/>
      <c r="AA294" s="2972"/>
      <c r="AB294" s="2973"/>
      <c r="AC294" s="2974"/>
      <c r="AD294" s="2975"/>
      <c r="AE294" s="2976"/>
      <c r="AF294" s="2977"/>
      <c r="AG294" s="2978"/>
      <c r="AH294" s="2979"/>
      <c r="AI294" s="2980"/>
      <c r="AJ294" s="2981"/>
      <c r="AK294" s="2982"/>
      <c r="AL294" s="1562"/>
      <c r="AM294" s="1544"/>
      <c r="AN294" s="1544" t="str">
        <f t="shared" si="4"/>
        <v>Добавить наименование признака дифференциации</v>
      </c>
      <c r="AO294" s="1544"/>
      <c r="AP294" s="1544"/>
    </row>
    <row r="295" spans="1:42" s="541" customFormat="1" ht="14.25" customHeight="1">
      <c r="A295" s="1265"/>
      <c r="B295" s="1265"/>
      <c r="C295" s="1265"/>
      <c r="D295" s="1265"/>
      <c r="E295" s="8884" t="s">
        <v>160</v>
      </c>
      <c r="F295" s="8883"/>
      <c r="G295" s="1265"/>
      <c r="H295" s="1265"/>
      <c r="I295" s="1265"/>
      <c r="J295" s="1265"/>
      <c r="K295" s="1265"/>
      <c r="L295" s="1466"/>
      <c r="M295" s="1244"/>
      <c r="N295" s="1244"/>
      <c r="O295" s="1562"/>
      <c r="P295" s="1239"/>
      <c r="Q295" s="1266"/>
      <c r="R295" s="1239"/>
      <c r="S295" s="1245"/>
      <c r="T295" s="1248" t="s">
        <v>314</v>
      </c>
      <c r="U295" s="1247"/>
      <c r="V295" s="1247"/>
      <c r="W295" s="1247"/>
      <c r="X295" s="1247"/>
      <c r="Y295" s="1247"/>
      <c r="Z295" s="1247"/>
      <c r="AA295" s="1247"/>
      <c r="AB295" s="1247"/>
      <c r="AC295" s="1247"/>
      <c r="AD295" s="1247"/>
      <c r="AE295" s="1247"/>
      <c r="AF295" s="1247"/>
      <c r="AG295" s="1247"/>
      <c r="AH295" s="1247"/>
      <c r="AI295" s="1247"/>
      <c r="AJ295" s="1247"/>
      <c r="AK295" s="1247"/>
      <c r="AL295" s="1562"/>
      <c r="AM295" s="1544"/>
      <c r="AN295" s="1544" t="str">
        <f t="shared" si="4"/>
        <v>Добавить централизованную систему для дифференциации</v>
      </c>
      <c r="AO295" s="1544"/>
      <c r="AP295" s="1544"/>
    </row>
    <row r="296" spans="1:42" s="541" customFormat="1" ht="14.25" customHeight="1">
      <c r="A296" s="1265"/>
      <c r="B296" s="1265"/>
      <c r="C296" s="1265"/>
      <c r="D296" s="1265"/>
      <c r="E296" s="8883" t="s">
        <v>160</v>
      </c>
      <c r="F296" s="1265"/>
      <c r="G296" s="1265"/>
      <c r="H296" s="1265"/>
      <c r="I296" s="1265"/>
      <c r="J296" s="1265"/>
      <c r="K296" s="1265"/>
      <c r="L296" s="1466"/>
      <c r="M296" s="1244"/>
      <c r="N296" s="1244"/>
      <c r="O296" s="1562"/>
      <c r="P296" s="1239"/>
      <c r="Q296" s="1266"/>
      <c r="R296" s="1239"/>
      <c r="S296" s="1245"/>
      <c r="T296" s="1248" t="s">
        <v>315</v>
      </c>
      <c r="U296" s="1247"/>
      <c r="V296" s="1247"/>
      <c r="W296" s="1247"/>
      <c r="X296" s="1247"/>
      <c r="Y296" s="1247"/>
      <c r="Z296" s="1247"/>
      <c r="AA296" s="1247"/>
      <c r="AB296" s="1247"/>
      <c r="AC296" s="1247"/>
      <c r="AD296" s="1247"/>
      <c r="AE296" s="1247"/>
      <c r="AF296" s="1247"/>
      <c r="AG296" s="1247"/>
      <c r="AH296" s="1247"/>
      <c r="AI296" s="1247"/>
      <c r="AJ296" s="1247"/>
      <c r="AK296" s="1247"/>
      <c r="AL296" s="1562"/>
      <c r="AM296" s="1544"/>
      <c r="AN296" s="1544" t="str">
        <f t="shared" si="4"/>
        <v>Добавить территорию для дифференциации</v>
      </c>
      <c r="AO296" s="1544"/>
      <c r="AP296" s="1544"/>
    </row>
    <row r="297" spans="1:42" s="1818" customFormat="1" ht="23.25" customHeight="1">
      <c r="A297" s="1284" t="s">
        <v>392</v>
      </c>
      <c r="B297" s="1284"/>
      <c r="C297" s="1284"/>
      <c r="D297" s="1284"/>
      <c r="E297" s="8883" t="s">
        <v>170</v>
      </c>
      <c r="F297" s="1284"/>
      <c r="G297" s="1284"/>
      <c r="H297" s="1284"/>
      <c r="I297" s="1284"/>
      <c r="J297" s="1284"/>
      <c r="K297" s="1284"/>
      <c r="L297" s="1290"/>
      <c r="M297" s="1286"/>
      <c r="N297" s="1286"/>
      <c r="O297" s="1286"/>
      <c r="P297" s="1812"/>
      <c r="Q297" s="1742"/>
      <c r="R297" s="276"/>
      <c r="S297" s="1810" t="str">
        <f>INDEX(PT_DIFFERENTIATION_NUM_NTAR,MATCH(A297,PT_DIFFERENTIATION_NTAR_ID,0))</f>
        <v>17</v>
      </c>
      <c r="T297" s="1440" t="s">
        <v>211</v>
      </c>
      <c r="U297" s="214"/>
      <c r="V297" s="8869"/>
      <c r="W297" s="8870"/>
      <c r="X297" s="8870"/>
      <c r="Y297" s="8870"/>
      <c r="Z297" s="8870"/>
      <c r="AA297" s="8870"/>
      <c r="AB297" s="8871"/>
      <c r="AC297" s="8869" t="str">
        <f>INDEX(PT_DIFFERENTIATION_NTAR,MATCH(A297,PT_DIFFERENTIATION_NTAR_ID,0))</f>
        <v>Подвоз воды потребителям поселка Мирного</v>
      </c>
      <c r="AD297" s="8870"/>
      <c r="AE297" s="8870"/>
      <c r="AF297" s="8870"/>
      <c r="AG297" s="8870"/>
      <c r="AH297" s="8870"/>
      <c r="AI297" s="8870"/>
      <c r="AJ297" s="8871"/>
      <c r="AK29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297" s="1562"/>
      <c r="AM297" s="1544"/>
      <c r="AN297" s="1544" t="str">
        <f t="shared" ref="AN297:AN360" si="5">IF(T297="","",T297)</f>
        <v>Наименование тарифа</v>
      </c>
      <c r="AO297" s="1544"/>
      <c r="AP297" s="1544"/>
    </row>
    <row r="298" spans="1:42" s="1818" customFormat="1" ht="23.25" customHeight="1">
      <c r="A298" s="1284"/>
      <c r="B298" s="1284" t="s">
        <v>393</v>
      </c>
      <c r="C298" s="1284"/>
      <c r="D298" s="1284"/>
      <c r="E298" s="8884" t="s">
        <v>165</v>
      </c>
      <c r="F298" s="8883">
        <v>1</v>
      </c>
      <c r="G298" s="1284"/>
      <c r="H298" s="1284"/>
      <c r="I298" s="1284"/>
      <c r="J298" s="1284"/>
      <c r="K298" s="1284"/>
      <c r="L298" s="1290"/>
      <c r="M298" s="1286"/>
      <c r="N298" s="1286"/>
      <c r="O298" s="1286"/>
      <c r="P298" s="1807"/>
      <c r="Q298" s="273"/>
      <c r="R298" s="274"/>
      <c r="S298" s="1810" t="str">
        <f>INDEX(PT_DIFFERENTIATION_NUM_TER,MATCH(B298,PT_DIFFERENTIATION_TER_ID,0))</f>
        <v>17.1</v>
      </c>
      <c r="T298" s="1437" t="s">
        <v>862</v>
      </c>
      <c r="U298" s="214"/>
      <c r="V298" s="8869"/>
      <c r="W298" s="8870"/>
      <c r="X298" s="8870"/>
      <c r="Y298" s="8870"/>
      <c r="Z298" s="8870"/>
      <c r="AA298" s="8870"/>
      <c r="AB298" s="8871"/>
      <c r="AC298" s="8869" t="str">
        <f>INDEX(PT_DIFFERENTIATION_TER,MATCH(B298,PT_DIFFERENTIATION_TER_ID,0))</f>
        <v>Территория 7</v>
      </c>
      <c r="AD298" s="8870"/>
      <c r="AE298" s="8870"/>
      <c r="AF298" s="8870"/>
      <c r="AG298" s="8870"/>
      <c r="AH298" s="8870"/>
      <c r="AI298" s="8870"/>
      <c r="AJ298" s="8871"/>
      <c r="AK298" s="1182" t="s">
        <v>863</v>
      </c>
      <c r="AL298" s="1562"/>
      <c r="AM298" s="1544"/>
      <c r="AN298" s="1544" t="str">
        <f t="shared" si="5"/>
        <v>Территория действия тарифа</v>
      </c>
      <c r="AO298" s="1544"/>
      <c r="AP298" s="1544"/>
    </row>
    <row r="299" spans="1:42" s="1818" customFormat="1" ht="23.25" customHeight="1">
      <c r="A299" s="1284"/>
      <c r="B299" s="1284"/>
      <c r="C299" s="1284" t="s">
        <v>394</v>
      </c>
      <c r="D299" s="1284"/>
      <c r="E299" s="8884" t="s">
        <v>165</v>
      </c>
      <c r="F299" s="8884"/>
      <c r="G299" s="8883">
        <v>1</v>
      </c>
      <c r="H299" s="1284"/>
      <c r="I299" s="1284"/>
      <c r="J299" s="1284"/>
      <c r="K299" s="1284"/>
      <c r="L299" s="1290"/>
      <c r="M299" s="1286"/>
      <c r="N299" s="1286"/>
      <c r="O299" s="1286"/>
      <c r="P299" s="275"/>
      <c r="Q299" s="273"/>
      <c r="R299" s="274"/>
      <c r="S299" s="1810" t="str">
        <f>INDEX(PT_DIFFERENTIATION_NUM_CS,MATCH(C299,PT_DIFFERENTIATION_CS_ID,0))</f>
        <v>17.1.1</v>
      </c>
      <c r="T299" s="225" t="s">
        <v>943</v>
      </c>
      <c r="U299" s="214"/>
      <c r="V299" s="8869"/>
      <c r="W299" s="8870"/>
      <c r="X299" s="8870"/>
      <c r="Y299" s="8870"/>
      <c r="Z299" s="8870"/>
      <c r="AA299" s="8870"/>
      <c r="AB299" s="8871"/>
      <c r="AC299" s="8869" t="str">
        <f>INDEX(PT_DIFFERENTIATION_CS,MATCH(C299,PT_DIFFERENTIATION_CS_ID,0))</f>
        <v>без дифференциации</v>
      </c>
      <c r="AD299" s="8870"/>
      <c r="AE299" s="8870"/>
      <c r="AF299" s="8870"/>
      <c r="AG299" s="8870"/>
      <c r="AH299" s="8870"/>
      <c r="AI299" s="8870"/>
      <c r="AJ299" s="8871"/>
      <c r="AK299" s="1182" t="s">
        <v>944</v>
      </c>
      <c r="AL299" s="1562"/>
      <c r="AM299" s="1544"/>
      <c r="AN299" s="1544" t="str">
        <f t="shared" si="5"/>
        <v>Наименование централизованной системы холодного водоснабжения</v>
      </c>
      <c r="AO299" s="1544"/>
      <c r="AP299" s="1544"/>
    </row>
    <row r="300" spans="1:42" s="1818" customFormat="1" ht="23.25" customHeight="1">
      <c r="A300" s="1284"/>
      <c r="B300" s="1284"/>
      <c r="C300" s="1284"/>
      <c r="D300" s="1284"/>
      <c r="E300" s="8884" t="s">
        <v>165</v>
      </c>
      <c r="F300" s="8884"/>
      <c r="G300" s="8884"/>
      <c r="H300" s="8884"/>
      <c r="I300" s="8881" t="str">
        <f>S299&amp;".1"</f>
        <v>17.1.1.1</v>
      </c>
      <c r="J300" s="1284"/>
      <c r="K300" s="1284"/>
      <c r="L300" s="1290"/>
      <c r="M300" s="1696"/>
      <c r="N300" s="1696"/>
      <c r="O300" s="1696"/>
      <c r="P300" s="8882">
        <v>1</v>
      </c>
      <c r="Q300" s="1811"/>
      <c r="R300" s="277"/>
      <c r="S300" s="1810" t="str">
        <f>$I300</f>
        <v>17.1.1.1</v>
      </c>
      <c r="T300" s="200" t="s">
        <v>945</v>
      </c>
      <c r="U300" s="214"/>
      <c r="V300" s="8942"/>
      <c r="W300" s="8943"/>
      <c r="X300" s="8943"/>
      <c r="Y300" s="8943"/>
      <c r="Z300" s="8943"/>
      <c r="AA300" s="8943"/>
      <c r="AB300" s="8944"/>
      <c r="AC300" s="8945"/>
      <c r="AD300" s="8946"/>
      <c r="AE300" s="8946"/>
      <c r="AF300" s="8946"/>
      <c r="AG300" s="8946"/>
      <c r="AH300" s="8946"/>
      <c r="AI300" s="8946"/>
      <c r="AJ300" s="8947"/>
      <c r="AK300" s="1182" t="s">
        <v>946</v>
      </c>
      <c r="AL300" s="1562"/>
      <c r="AM300" s="1544"/>
      <c r="AN300" s="1544" t="str">
        <f t="shared" si="5"/>
        <v>Наименование признака дифференциации</v>
      </c>
      <c r="AO300" s="1544"/>
      <c r="AP300" s="1544"/>
    </row>
    <row r="301" spans="1:42" s="1818" customFormat="1" ht="23.25" customHeight="1">
      <c r="A301" s="1284"/>
      <c r="B301" s="1284"/>
      <c r="C301" s="1284"/>
      <c r="D301" s="1284"/>
      <c r="E301" s="8884" t="s">
        <v>165</v>
      </c>
      <c r="F301" s="8884"/>
      <c r="G301" s="8884"/>
      <c r="H301" s="8884"/>
      <c r="I301" s="8904"/>
      <c r="J301" s="8881" t="str">
        <f>I300&amp;".1"</f>
        <v>17.1.1.1.1</v>
      </c>
      <c r="K301" s="1284"/>
      <c r="L301" s="1290" t="s">
        <v>871</v>
      </c>
      <c r="M301" s="1696"/>
      <c r="N301" s="1696"/>
      <c r="O301" s="1696"/>
      <c r="P301" s="8882"/>
      <c r="Q301" s="8882">
        <v>1</v>
      </c>
      <c r="R301" s="278"/>
      <c r="S301" s="1810" t="str">
        <f>$J301</f>
        <v>17.1.1.1.1</v>
      </c>
      <c r="T301" s="201" t="s">
        <v>872</v>
      </c>
      <c r="U301" s="214"/>
      <c r="V301" s="8872"/>
      <c r="W301" s="8873"/>
      <c r="X301" s="8873"/>
      <c r="Y301" s="8873"/>
      <c r="Z301" s="8873"/>
      <c r="AA301" s="8873"/>
      <c r="AB301" s="8874"/>
      <c r="AC301" s="8872" t="s">
        <v>961</v>
      </c>
      <c r="AD301" s="8873"/>
      <c r="AE301" s="8873"/>
      <c r="AF301" s="8873"/>
      <c r="AG301" s="8873"/>
      <c r="AH301" s="8873"/>
      <c r="AI301" s="8873"/>
      <c r="AJ301" s="8874"/>
      <c r="AK301" s="1231" t="s">
        <v>947</v>
      </c>
      <c r="AL301" s="1562"/>
      <c r="AM301" s="1544"/>
      <c r="AN301" s="1544" t="str">
        <f t="shared" si="5"/>
        <v>Группа потребителей</v>
      </c>
      <c r="AO301" s="1544"/>
      <c r="AP301" s="1544"/>
    </row>
    <row r="302" spans="1:42" s="1818" customFormat="1" ht="23.25" customHeight="1">
      <c r="A302" s="1284"/>
      <c r="B302" s="1284"/>
      <c r="C302" s="1284"/>
      <c r="D302" s="1284"/>
      <c r="E302" s="8884" t="s">
        <v>165</v>
      </c>
      <c r="F302" s="8884"/>
      <c r="G302" s="8884"/>
      <c r="H302" s="8884"/>
      <c r="I302" s="8904"/>
      <c r="J302" s="8904"/>
      <c r="K302" s="8881" t="str">
        <f>J301&amp;".1"</f>
        <v>17.1.1.1.1.1</v>
      </c>
      <c r="L302" s="1290"/>
      <c r="M302" s="1696"/>
      <c r="N302" s="1696"/>
      <c r="O302" s="1696"/>
      <c r="P302" s="8882"/>
      <c r="Q302" s="8882"/>
      <c r="R302" s="278">
        <v>1</v>
      </c>
      <c r="S302" s="1810" t="str">
        <f>$K302</f>
        <v>17.1.1.1.1.1</v>
      </c>
      <c r="T302" s="1357" t="s">
        <v>962</v>
      </c>
      <c r="U302" s="214"/>
      <c r="V302" s="666"/>
      <c r="W302" s="666"/>
      <c r="X302" s="1181"/>
      <c r="Y302" s="8886"/>
      <c r="Z302" s="8734" t="s">
        <v>63</v>
      </c>
      <c r="AA302" s="8886"/>
      <c r="AB302" s="8734" t="s">
        <v>63</v>
      </c>
      <c r="AC302" s="666">
        <v>437.26</v>
      </c>
      <c r="AD302" s="666"/>
      <c r="AE302" s="1181"/>
      <c r="AF302" s="8886">
        <v>45292</v>
      </c>
      <c r="AG302" s="8734" t="s">
        <v>63</v>
      </c>
      <c r="AH302" s="8905">
        <v>45657</v>
      </c>
      <c r="AI302" s="8734" t="s">
        <v>63</v>
      </c>
      <c r="AJ302" s="1358"/>
      <c r="AK30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02" s="1562" t="e">
        <f ca="1">STRCHECKDATE(V303:AJ303)</f>
        <v>#NAME?</v>
      </c>
      <c r="AM302" s="1544"/>
      <c r="AN302" s="1544" t="str">
        <f t="shared" si="5"/>
        <v>Тариф для населения, руб. за 1 куб. метр с НДС</v>
      </c>
      <c r="AO302" s="1544"/>
      <c r="AP302" s="1544"/>
    </row>
    <row r="303" spans="1:42" s="1818" customFormat="1" ht="14.25" customHeight="1">
      <c r="A303" s="1284"/>
      <c r="B303" s="1284"/>
      <c r="C303" s="1284"/>
      <c r="D303" s="1284"/>
      <c r="E303" s="8884" t="s">
        <v>165</v>
      </c>
      <c r="F303" s="8884"/>
      <c r="G303" s="8884"/>
      <c r="H303" s="8884"/>
      <c r="I303" s="8904"/>
      <c r="J303" s="8904"/>
      <c r="K303" s="8881"/>
      <c r="L303" s="1290"/>
      <c r="M303" s="1696"/>
      <c r="N303" s="1696"/>
      <c r="O303" s="1696"/>
      <c r="P303" s="8882"/>
      <c r="Q303" s="8882"/>
      <c r="R303" s="278"/>
      <c r="S303" s="1815"/>
      <c r="T303" s="214"/>
      <c r="U303" s="214"/>
      <c r="V303" s="246"/>
      <c r="W303" s="246"/>
      <c r="X303" s="250" t="str">
        <f>Y302&amp;"-"&amp;AA302</f>
        <v>-</v>
      </c>
      <c r="Y303" s="8887"/>
      <c r="Z303" s="8734"/>
      <c r="AA303" s="8887"/>
      <c r="AB303" s="8734"/>
      <c r="AC303" s="246"/>
      <c r="AD303" s="246"/>
      <c r="AE303" s="250" t="str">
        <f>AF302&amp;"-"&amp;AH302</f>
        <v>45292-45657</v>
      </c>
      <c r="AF303" s="8887"/>
      <c r="AG303" s="8734"/>
      <c r="AH303" s="8906"/>
      <c r="AI303" s="8734"/>
      <c r="AJ303" s="1359"/>
      <c r="AK303" s="8941"/>
      <c r="AL303" s="1562"/>
      <c r="AM303" s="1544"/>
      <c r="AN303" s="1544" t="str">
        <f t="shared" si="5"/>
        <v/>
      </c>
      <c r="AO303" s="1544"/>
      <c r="AP303" s="1544"/>
    </row>
    <row r="304" spans="1:42" s="1818" customFormat="1" ht="21" customHeight="1">
      <c r="A304" s="1284"/>
      <c r="B304" s="1284"/>
      <c r="C304" s="1284"/>
      <c r="D304" s="1284"/>
      <c r="E304" s="8884" t="s">
        <v>165</v>
      </c>
      <c r="F304" s="8884"/>
      <c r="G304" s="8884"/>
      <c r="H304" s="8884"/>
      <c r="I304" s="8904"/>
      <c r="J304" s="8881"/>
      <c r="K304" s="1284"/>
      <c r="L304" s="1290"/>
      <c r="M304" s="1696"/>
      <c r="N304" s="1696"/>
      <c r="O304" s="1696"/>
      <c r="P304" s="8882"/>
      <c r="Q304" s="8882"/>
      <c r="R304" s="277"/>
      <c r="S304" s="2983"/>
      <c r="T304" s="2984" t="s">
        <v>948</v>
      </c>
      <c r="U304" s="2985"/>
      <c r="V304" s="2986"/>
      <c r="W304" s="2987"/>
      <c r="X304" s="2988"/>
      <c r="Y304" s="2989"/>
      <c r="Z304" s="2990"/>
      <c r="AA304" s="2991"/>
      <c r="AB304" s="2992"/>
      <c r="AC304" s="2993"/>
      <c r="AD304" s="2994"/>
      <c r="AE304" s="2995"/>
      <c r="AF304" s="2996"/>
      <c r="AG304" s="2997"/>
      <c r="AH304" s="2998"/>
      <c r="AI304" s="2999"/>
      <c r="AJ304" s="3000"/>
      <c r="AK304" s="1182" t="s">
        <v>949</v>
      </c>
      <c r="AL304" s="1562"/>
      <c r="AM304" s="1544"/>
      <c r="AN304" s="1544" t="str">
        <f t="shared" si="5"/>
        <v>Добавить значение признака дифференциации</v>
      </c>
      <c r="AO304" s="1544"/>
      <c r="AP304" s="1544"/>
    </row>
    <row r="305" spans="1:42" s="1818" customFormat="1" ht="23.25" customHeight="1">
      <c r="A305" s="1284"/>
      <c r="B305" s="1284"/>
      <c r="C305" s="1284"/>
      <c r="D305" s="1284"/>
      <c r="E305" s="8884"/>
      <c r="F305" s="8884"/>
      <c r="G305" s="8884"/>
      <c r="H305" s="8884"/>
      <c r="I305" s="8904"/>
      <c r="J305" s="8881" t="str">
        <f>I300&amp;".2"</f>
        <v>17.1.1.1.2</v>
      </c>
      <c r="K305" s="1284"/>
      <c r="L305" s="1290" t="s">
        <v>871</v>
      </c>
      <c r="M305" s="1696"/>
      <c r="N305" s="1696"/>
      <c r="O305" s="1696"/>
      <c r="P305" s="8882"/>
      <c r="Q305" s="8948" t="s">
        <v>100</v>
      </c>
      <c r="R305" s="278"/>
      <c r="S305" s="1810" t="str">
        <f>$J305</f>
        <v>17.1.1.1.2</v>
      </c>
      <c r="T305" s="201" t="s">
        <v>872</v>
      </c>
      <c r="U305" s="214"/>
      <c r="V305" s="8872"/>
      <c r="W305" s="8873"/>
      <c r="X305" s="8873"/>
      <c r="Y305" s="8873"/>
      <c r="Z305" s="8873"/>
      <c r="AA305" s="8873"/>
      <c r="AB305" s="8874"/>
      <c r="AC305" s="8872" t="s">
        <v>963</v>
      </c>
      <c r="AD305" s="8873"/>
      <c r="AE305" s="8873"/>
      <c r="AF305" s="8873"/>
      <c r="AG305" s="8873"/>
      <c r="AH305" s="8873"/>
      <c r="AI305" s="8873"/>
      <c r="AJ305" s="8874"/>
      <c r="AK305" s="1231" t="s">
        <v>947</v>
      </c>
      <c r="AL305" s="1562"/>
      <c r="AM305" s="1544"/>
      <c r="AN305" s="1544" t="str">
        <f t="shared" si="5"/>
        <v>Группа потребителей</v>
      </c>
      <c r="AO305" s="1544"/>
      <c r="AP305" s="1544"/>
    </row>
    <row r="306" spans="1:42" s="1818" customFormat="1" ht="23.25" customHeight="1">
      <c r="A306" s="1284"/>
      <c r="B306" s="1284"/>
      <c r="C306" s="1284"/>
      <c r="D306" s="1284"/>
      <c r="E306" s="8884"/>
      <c r="F306" s="8884"/>
      <c r="G306" s="8884"/>
      <c r="H306" s="8884"/>
      <c r="I306" s="8904"/>
      <c r="J306" s="8904" t="str">
        <f>I300&amp;".1"</f>
        <v>17.1.1.1.1</v>
      </c>
      <c r="K306" s="8881" t="str">
        <f>J305&amp;".1"</f>
        <v>17.1.1.1.2.1</v>
      </c>
      <c r="L306" s="1290"/>
      <c r="M306" s="1696"/>
      <c r="N306" s="1696"/>
      <c r="O306" s="1696"/>
      <c r="P306" s="8882"/>
      <c r="Q306" s="8882"/>
      <c r="R306" s="278">
        <v>1</v>
      </c>
      <c r="S306" s="1810" t="str">
        <f>$K306</f>
        <v>17.1.1.1.2.1</v>
      </c>
      <c r="T306" s="1357" t="s">
        <v>964</v>
      </c>
      <c r="U306" s="214"/>
      <c r="V306" s="666"/>
      <c r="W306" s="666"/>
      <c r="X306" s="1181"/>
      <c r="Y306" s="8886"/>
      <c r="Z306" s="8734" t="s">
        <v>63</v>
      </c>
      <c r="AA306" s="8886"/>
      <c r="AB306" s="8734" t="s">
        <v>63</v>
      </c>
      <c r="AC306" s="666">
        <v>364.38</v>
      </c>
      <c r="AD306" s="666"/>
      <c r="AE306" s="1181"/>
      <c r="AF306" s="8886">
        <v>45292</v>
      </c>
      <c r="AG306" s="8734" t="s">
        <v>63</v>
      </c>
      <c r="AH306" s="8905">
        <v>45657</v>
      </c>
      <c r="AI306" s="8734" t="s">
        <v>63</v>
      </c>
      <c r="AJ306" s="1358"/>
      <c r="AK30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06" s="1562" t="e">
        <f ca="1">STRCHECKDATE(V307:AJ307)</f>
        <v>#NAME?</v>
      </c>
      <c r="AM306" s="1544"/>
      <c r="AN306" s="1544" t="str">
        <f t="shared" si="5"/>
        <v>Тариф, руб. за 1 куб. метр без НДС</v>
      </c>
      <c r="AO306" s="1544"/>
      <c r="AP306" s="1544"/>
    </row>
    <row r="307" spans="1:42" s="1818" customFormat="1" ht="14.25" customHeight="1">
      <c r="A307" s="1284"/>
      <c r="B307" s="1284"/>
      <c r="C307" s="1284"/>
      <c r="D307" s="1284"/>
      <c r="E307" s="8884"/>
      <c r="F307" s="8884"/>
      <c r="G307" s="8884"/>
      <c r="H307" s="8884"/>
      <c r="I307" s="8904"/>
      <c r="J307" s="8904" t="str">
        <f>I300&amp;".1"</f>
        <v>17.1.1.1.1</v>
      </c>
      <c r="K307" s="8881"/>
      <c r="L307" s="1290"/>
      <c r="M307" s="1696"/>
      <c r="N307" s="1696"/>
      <c r="O307" s="1696"/>
      <c r="P307" s="8882"/>
      <c r="Q307" s="8882"/>
      <c r="R307" s="278"/>
      <c r="S307" s="1815"/>
      <c r="T307" s="214"/>
      <c r="U307" s="214"/>
      <c r="V307" s="246"/>
      <c r="W307" s="246"/>
      <c r="X307" s="250" t="str">
        <f>Y306&amp;"-"&amp;AA306</f>
        <v>-</v>
      </c>
      <c r="Y307" s="8887"/>
      <c r="Z307" s="8734"/>
      <c r="AA307" s="8887"/>
      <c r="AB307" s="8734"/>
      <c r="AC307" s="246"/>
      <c r="AD307" s="246"/>
      <c r="AE307" s="250" t="str">
        <f>AF306&amp;"-"&amp;AH306</f>
        <v>45292-45657</v>
      </c>
      <c r="AF307" s="8887"/>
      <c r="AG307" s="8734"/>
      <c r="AH307" s="8906"/>
      <c r="AI307" s="8734"/>
      <c r="AJ307" s="1359"/>
      <c r="AK307" s="8941"/>
      <c r="AL307" s="1562"/>
      <c r="AM307" s="1544"/>
      <c r="AN307" s="1544" t="str">
        <f t="shared" si="5"/>
        <v/>
      </c>
      <c r="AO307" s="1544"/>
      <c r="AP307" s="1544"/>
    </row>
    <row r="308" spans="1:42" s="1818" customFormat="1" ht="21" customHeight="1">
      <c r="A308" s="1284"/>
      <c r="B308" s="1284"/>
      <c r="C308" s="1284"/>
      <c r="D308" s="1284"/>
      <c r="E308" s="8884"/>
      <c r="F308" s="8884"/>
      <c r="G308" s="8884"/>
      <c r="H308" s="8884"/>
      <c r="I308" s="8904"/>
      <c r="J308" s="8881" t="str">
        <f>I300&amp;".1"</f>
        <v>17.1.1.1.1</v>
      </c>
      <c r="K308" s="1284"/>
      <c r="L308" s="1290"/>
      <c r="M308" s="1696"/>
      <c r="N308" s="1696"/>
      <c r="O308" s="1696"/>
      <c r="P308" s="8882"/>
      <c r="Q308" s="8882"/>
      <c r="R308" s="277"/>
      <c r="S308" s="3001"/>
      <c r="T308" s="3002" t="s">
        <v>948</v>
      </c>
      <c r="U308" s="3003"/>
      <c r="V308" s="3004"/>
      <c r="W308" s="3005"/>
      <c r="X308" s="3006"/>
      <c r="Y308" s="3007"/>
      <c r="Z308" s="3008"/>
      <c r="AA308" s="3009"/>
      <c r="AB308" s="3010"/>
      <c r="AC308" s="3011"/>
      <c r="AD308" s="3012"/>
      <c r="AE308" s="3013"/>
      <c r="AF308" s="3014"/>
      <c r="AG308" s="3015"/>
      <c r="AH308" s="3016"/>
      <c r="AI308" s="3017"/>
      <c r="AJ308" s="3018"/>
      <c r="AK308" s="1182" t="s">
        <v>949</v>
      </c>
      <c r="AL308" s="1562"/>
      <c r="AM308" s="1544"/>
      <c r="AN308" s="1544" t="str">
        <f t="shared" si="5"/>
        <v>Добавить значение признака дифференциации</v>
      </c>
      <c r="AO308" s="1544"/>
      <c r="AP308" s="1544"/>
    </row>
    <row r="309" spans="1:42" s="1818" customFormat="1" ht="21" customHeight="1">
      <c r="A309" s="1284"/>
      <c r="B309" s="1284"/>
      <c r="C309" s="1284"/>
      <c r="D309" s="1284"/>
      <c r="E309" s="8884" t="s">
        <v>165</v>
      </c>
      <c r="F309" s="8884"/>
      <c r="G309" s="8884"/>
      <c r="H309" s="8884"/>
      <c r="I309" s="8881"/>
      <c r="J309" s="1284"/>
      <c r="K309" s="1284"/>
      <c r="L309" s="1290"/>
      <c r="M309" s="1696"/>
      <c r="N309" s="1696"/>
      <c r="O309" s="1696"/>
      <c r="P309" s="8882"/>
      <c r="Q309" s="1811"/>
      <c r="R309" s="277"/>
      <c r="S309" s="3019"/>
      <c r="T309" s="3020" t="s">
        <v>877</v>
      </c>
      <c r="U309" s="3021"/>
      <c r="V309" s="3022"/>
      <c r="W309" s="3023"/>
      <c r="X309" s="3024"/>
      <c r="Y309" s="3025"/>
      <c r="Z309" s="3026"/>
      <c r="AA309" s="3027"/>
      <c r="AB309" s="3028"/>
      <c r="AC309" s="3029"/>
      <c r="AD309" s="3030"/>
      <c r="AE309" s="3031"/>
      <c r="AF309" s="3032"/>
      <c r="AG309" s="3033"/>
      <c r="AH309" s="3034"/>
      <c r="AI309" s="3035"/>
      <c r="AJ309" s="3036"/>
      <c r="AK309" s="3037"/>
      <c r="AL309" s="1562"/>
      <c r="AM309" s="1544"/>
      <c r="AN309" s="1544" t="str">
        <f t="shared" si="5"/>
        <v>Добавить группу потребителей</v>
      </c>
      <c r="AO309" s="1544"/>
      <c r="AP309" s="1544"/>
    </row>
    <row r="310" spans="1:42" s="1818" customFormat="1" ht="21" customHeight="1">
      <c r="A310" s="1284"/>
      <c r="B310" s="1284"/>
      <c r="C310" s="1284"/>
      <c r="D310" s="1284"/>
      <c r="E310" s="8884" t="s">
        <v>165</v>
      </c>
      <c r="F310" s="8884"/>
      <c r="G310" s="8884"/>
      <c r="H310" s="8883"/>
      <c r="I310" s="1284"/>
      <c r="J310" s="1284"/>
      <c r="K310" s="1284"/>
      <c r="L310" s="1290"/>
      <c r="M310" s="1286"/>
      <c r="N310" s="1286"/>
      <c r="O310" s="1287"/>
      <c r="P310" s="1742"/>
      <c r="Q310" s="299"/>
      <c r="R310" s="276"/>
      <c r="S310" s="3038"/>
      <c r="T310" s="3039" t="s">
        <v>950</v>
      </c>
      <c r="U310" s="3040"/>
      <c r="V310" s="3041"/>
      <c r="W310" s="3042"/>
      <c r="X310" s="3043"/>
      <c r="Y310" s="3044"/>
      <c r="Z310" s="3045"/>
      <c r="AA310" s="3046"/>
      <c r="AB310" s="3047"/>
      <c r="AC310" s="3048"/>
      <c r="AD310" s="3049"/>
      <c r="AE310" s="3050"/>
      <c r="AF310" s="3051"/>
      <c r="AG310" s="3052"/>
      <c r="AH310" s="3053"/>
      <c r="AI310" s="3054"/>
      <c r="AJ310" s="3055"/>
      <c r="AK310" s="3056"/>
      <c r="AL310" s="1562"/>
      <c r="AM310" s="1544"/>
      <c r="AN310" s="1544" t="str">
        <f t="shared" si="5"/>
        <v>Добавить наименование признака дифференциации</v>
      </c>
      <c r="AO310" s="1544"/>
      <c r="AP310" s="1544"/>
    </row>
    <row r="311" spans="1:42" s="541" customFormat="1" ht="14.25" customHeight="1">
      <c r="A311" s="1265"/>
      <c r="B311" s="1265"/>
      <c r="C311" s="1265"/>
      <c r="D311" s="1265"/>
      <c r="E311" s="8884" t="s">
        <v>165</v>
      </c>
      <c r="F311" s="8883"/>
      <c r="G311" s="1265"/>
      <c r="H311" s="1265"/>
      <c r="I311" s="1265"/>
      <c r="J311" s="1265"/>
      <c r="K311" s="1265"/>
      <c r="L311" s="1466"/>
      <c r="M311" s="1244"/>
      <c r="N311" s="1244"/>
      <c r="O311" s="1562"/>
      <c r="P311" s="1239"/>
      <c r="Q311" s="1266"/>
      <c r="R311" s="1239"/>
      <c r="S311" s="1245"/>
      <c r="T311" s="1248" t="s">
        <v>314</v>
      </c>
      <c r="U311" s="1247"/>
      <c r="V311" s="1247"/>
      <c r="W311" s="1247"/>
      <c r="X311" s="1247"/>
      <c r="Y311" s="1247"/>
      <c r="Z311" s="1247"/>
      <c r="AA311" s="1247"/>
      <c r="AB311" s="1247"/>
      <c r="AC311" s="1247"/>
      <c r="AD311" s="1247"/>
      <c r="AE311" s="1247"/>
      <c r="AF311" s="1247"/>
      <c r="AG311" s="1247"/>
      <c r="AH311" s="1247"/>
      <c r="AI311" s="1247"/>
      <c r="AJ311" s="1247"/>
      <c r="AK311" s="1247"/>
      <c r="AL311" s="1562"/>
      <c r="AM311" s="1544"/>
      <c r="AN311" s="1544" t="str">
        <f t="shared" si="5"/>
        <v>Добавить централизованную систему для дифференциации</v>
      </c>
      <c r="AO311" s="1544"/>
      <c r="AP311" s="1544"/>
    </row>
    <row r="312" spans="1:42" s="541" customFormat="1" ht="14.25" customHeight="1">
      <c r="A312" s="1265"/>
      <c r="B312" s="1265"/>
      <c r="C312" s="1265"/>
      <c r="D312" s="1265"/>
      <c r="E312" s="8883" t="s">
        <v>165</v>
      </c>
      <c r="F312" s="1265"/>
      <c r="G312" s="1265"/>
      <c r="H312" s="1265"/>
      <c r="I312" s="1265"/>
      <c r="J312" s="1265"/>
      <c r="K312" s="1265"/>
      <c r="L312" s="1466"/>
      <c r="M312" s="1244"/>
      <c r="N312" s="1244"/>
      <c r="O312" s="1562"/>
      <c r="P312" s="1239"/>
      <c r="Q312" s="1266"/>
      <c r="R312" s="1239"/>
      <c r="S312" s="1245"/>
      <c r="T312" s="1248" t="s">
        <v>315</v>
      </c>
      <c r="U312" s="1247"/>
      <c r="V312" s="1247"/>
      <c r="W312" s="1247"/>
      <c r="X312" s="1247"/>
      <c r="Y312" s="1247"/>
      <c r="Z312" s="1247"/>
      <c r="AA312" s="1247"/>
      <c r="AB312" s="1247"/>
      <c r="AC312" s="1247"/>
      <c r="AD312" s="1247"/>
      <c r="AE312" s="1247"/>
      <c r="AF312" s="1247"/>
      <c r="AG312" s="1247"/>
      <c r="AH312" s="1247"/>
      <c r="AI312" s="1247"/>
      <c r="AJ312" s="1247"/>
      <c r="AK312" s="1247"/>
      <c r="AL312" s="1562"/>
      <c r="AM312" s="1544"/>
      <c r="AN312" s="1544" t="str">
        <f t="shared" si="5"/>
        <v>Добавить территорию для дифференциации</v>
      </c>
      <c r="AO312" s="1544"/>
      <c r="AP312" s="1544"/>
    </row>
    <row r="313" spans="1:42" s="1818" customFormat="1" ht="23.25" customHeight="1">
      <c r="A313" s="1284" t="s">
        <v>397</v>
      </c>
      <c r="B313" s="1284"/>
      <c r="C313" s="1284"/>
      <c r="D313" s="1284"/>
      <c r="E313" s="8883" t="s">
        <v>175</v>
      </c>
      <c r="F313" s="1284"/>
      <c r="G313" s="1284"/>
      <c r="H313" s="1284"/>
      <c r="I313" s="1284"/>
      <c r="J313" s="1284"/>
      <c r="K313" s="1284"/>
      <c r="L313" s="1290"/>
      <c r="M313" s="1286"/>
      <c r="N313" s="1286"/>
      <c r="O313" s="1286"/>
      <c r="P313" s="1812"/>
      <c r="Q313" s="1742"/>
      <c r="R313" s="276"/>
      <c r="S313" s="1810" t="str">
        <f>INDEX(PT_DIFFERENTIATION_NUM_NTAR,MATCH(A313,PT_DIFFERENTIATION_NTAR_ID,0))</f>
        <v>18</v>
      </c>
      <c r="T313" s="1440" t="s">
        <v>211</v>
      </c>
      <c r="U313" s="214"/>
      <c r="V313" s="8869"/>
      <c r="W313" s="8870"/>
      <c r="X313" s="8870"/>
      <c r="Y313" s="8870"/>
      <c r="Z313" s="8870"/>
      <c r="AA313" s="8870"/>
      <c r="AB313" s="8871"/>
      <c r="AC313" s="8869" t="str">
        <f>INDEX(PT_DIFFERENTIATION_NTAR,MATCH(A313,PT_DIFFERENTIATION_NTAR_ID,0))</f>
        <v>Подвоз воды потребителям поселка Ага-Батыр</v>
      </c>
      <c r="AD313" s="8870"/>
      <c r="AE313" s="8870"/>
      <c r="AF313" s="8870"/>
      <c r="AG313" s="8870"/>
      <c r="AH313" s="8870"/>
      <c r="AI313" s="8870"/>
      <c r="AJ313" s="8871"/>
      <c r="AK31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313" s="1562"/>
      <c r="AM313" s="1544"/>
      <c r="AN313" s="1544" t="str">
        <f t="shared" si="5"/>
        <v>Наименование тарифа</v>
      </c>
      <c r="AO313" s="1544"/>
      <c r="AP313" s="1544"/>
    </row>
    <row r="314" spans="1:42" s="1818" customFormat="1" ht="23.25" customHeight="1">
      <c r="A314" s="1284"/>
      <c r="B314" s="1284" t="s">
        <v>398</v>
      </c>
      <c r="C314" s="1284"/>
      <c r="D314" s="1284"/>
      <c r="E314" s="8884" t="s">
        <v>170</v>
      </c>
      <c r="F314" s="8883">
        <v>1</v>
      </c>
      <c r="G314" s="1284"/>
      <c r="H314" s="1284"/>
      <c r="I314" s="1284"/>
      <c r="J314" s="1284"/>
      <c r="K314" s="1284"/>
      <c r="L314" s="1290"/>
      <c r="M314" s="1286"/>
      <c r="N314" s="1286"/>
      <c r="O314" s="1286"/>
      <c r="P314" s="1807"/>
      <c r="Q314" s="273"/>
      <c r="R314" s="274"/>
      <c r="S314" s="1810" t="str">
        <f>INDEX(PT_DIFFERENTIATION_NUM_TER,MATCH(B314,PT_DIFFERENTIATION_TER_ID,0))</f>
        <v>18.1</v>
      </c>
      <c r="T314" s="1437" t="s">
        <v>862</v>
      </c>
      <c r="U314" s="214"/>
      <c r="V314" s="8869"/>
      <c r="W314" s="8870"/>
      <c r="X314" s="8870"/>
      <c r="Y314" s="8870"/>
      <c r="Z314" s="8870"/>
      <c r="AA314" s="8870"/>
      <c r="AB314" s="8871"/>
      <c r="AC314" s="8869" t="str">
        <f>INDEX(PT_DIFFERENTIATION_TER,MATCH(B314,PT_DIFFERENTIATION_TER_ID,0))</f>
        <v>Территория 7</v>
      </c>
      <c r="AD314" s="8870"/>
      <c r="AE314" s="8870"/>
      <c r="AF314" s="8870"/>
      <c r="AG314" s="8870"/>
      <c r="AH314" s="8870"/>
      <c r="AI314" s="8870"/>
      <c r="AJ314" s="8871"/>
      <c r="AK314" s="1182" t="s">
        <v>863</v>
      </c>
      <c r="AL314" s="1562"/>
      <c r="AM314" s="1544"/>
      <c r="AN314" s="1544" t="str">
        <f t="shared" si="5"/>
        <v>Территория действия тарифа</v>
      </c>
      <c r="AO314" s="1544"/>
      <c r="AP314" s="1544"/>
    </row>
    <row r="315" spans="1:42" s="1818" customFormat="1" ht="23.25" customHeight="1">
      <c r="A315" s="1284"/>
      <c r="B315" s="1284"/>
      <c r="C315" s="1284" t="s">
        <v>399</v>
      </c>
      <c r="D315" s="1284"/>
      <c r="E315" s="8884" t="s">
        <v>170</v>
      </c>
      <c r="F315" s="8884"/>
      <c r="G315" s="8883">
        <v>1</v>
      </c>
      <c r="H315" s="1284"/>
      <c r="I315" s="1284"/>
      <c r="J315" s="1284"/>
      <c r="K315" s="1284"/>
      <c r="L315" s="1290"/>
      <c r="M315" s="1286"/>
      <c r="N315" s="1286"/>
      <c r="O315" s="1286"/>
      <c r="P315" s="275"/>
      <c r="Q315" s="273"/>
      <c r="R315" s="274"/>
      <c r="S315" s="1810" t="str">
        <f>INDEX(PT_DIFFERENTIATION_NUM_CS,MATCH(C315,PT_DIFFERENTIATION_CS_ID,0))</f>
        <v>18.1.1</v>
      </c>
      <c r="T315" s="225" t="s">
        <v>943</v>
      </c>
      <c r="U315" s="214"/>
      <c r="V315" s="8869"/>
      <c r="W315" s="8870"/>
      <c r="X315" s="8870"/>
      <c r="Y315" s="8870"/>
      <c r="Z315" s="8870"/>
      <c r="AA315" s="8870"/>
      <c r="AB315" s="8871"/>
      <c r="AC315" s="8869" t="str">
        <f>INDEX(PT_DIFFERENTIATION_CS,MATCH(C315,PT_DIFFERENTIATION_CS_ID,0))</f>
        <v>без дифференциации</v>
      </c>
      <c r="AD315" s="8870"/>
      <c r="AE315" s="8870"/>
      <c r="AF315" s="8870"/>
      <c r="AG315" s="8870"/>
      <c r="AH315" s="8870"/>
      <c r="AI315" s="8870"/>
      <c r="AJ315" s="8871"/>
      <c r="AK315" s="1182" t="s">
        <v>944</v>
      </c>
      <c r="AL315" s="1562"/>
      <c r="AM315" s="1544"/>
      <c r="AN315" s="1544" t="str">
        <f t="shared" si="5"/>
        <v>Наименование централизованной системы холодного водоснабжения</v>
      </c>
      <c r="AO315" s="1544"/>
      <c r="AP315" s="1544"/>
    </row>
    <row r="316" spans="1:42" s="1818" customFormat="1" ht="23.25" customHeight="1">
      <c r="A316" s="1284"/>
      <c r="B316" s="1284"/>
      <c r="C316" s="1284"/>
      <c r="D316" s="1284"/>
      <c r="E316" s="8884" t="s">
        <v>170</v>
      </c>
      <c r="F316" s="8884"/>
      <c r="G316" s="8884"/>
      <c r="H316" s="8884"/>
      <c r="I316" s="8881" t="str">
        <f>S315&amp;".1"</f>
        <v>18.1.1.1</v>
      </c>
      <c r="J316" s="1284"/>
      <c r="K316" s="1284"/>
      <c r="L316" s="1290"/>
      <c r="M316" s="1696"/>
      <c r="N316" s="1696"/>
      <c r="O316" s="1696"/>
      <c r="P316" s="8882">
        <v>1</v>
      </c>
      <c r="Q316" s="1811"/>
      <c r="R316" s="277"/>
      <c r="S316" s="1810" t="str">
        <f>$I316</f>
        <v>18.1.1.1</v>
      </c>
      <c r="T316" s="200" t="s">
        <v>945</v>
      </c>
      <c r="U316" s="214"/>
      <c r="V316" s="8942"/>
      <c r="W316" s="8943"/>
      <c r="X316" s="8943"/>
      <c r="Y316" s="8943"/>
      <c r="Z316" s="8943"/>
      <c r="AA316" s="8943"/>
      <c r="AB316" s="8944"/>
      <c r="AC316" s="8945"/>
      <c r="AD316" s="8946"/>
      <c r="AE316" s="8946"/>
      <c r="AF316" s="8946"/>
      <c r="AG316" s="8946"/>
      <c r="AH316" s="8946"/>
      <c r="AI316" s="8946"/>
      <c r="AJ316" s="8947"/>
      <c r="AK316" s="1182" t="s">
        <v>946</v>
      </c>
      <c r="AL316" s="1562"/>
      <c r="AM316" s="1544"/>
      <c r="AN316" s="1544" t="str">
        <f t="shared" si="5"/>
        <v>Наименование признака дифференциации</v>
      </c>
      <c r="AO316" s="1544"/>
      <c r="AP316" s="1544"/>
    </row>
    <row r="317" spans="1:42" s="1818" customFormat="1" ht="23.25" customHeight="1">
      <c r="A317" s="1284"/>
      <c r="B317" s="1284"/>
      <c r="C317" s="1284"/>
      <c r="D317" s="1284"/>
      <c r="E317" s="8884" t="s">
        <v>170</v>
      </c>
      <c r="F317" s="8884"/>
      <c r="G317" s="8884"/>
      <c r="H317" s="8884"/>
      <c r="I317" s="8904"/>
      <c r="J317" s="8881" t="str">
        <f>I316&amp;".1"</f>
        <v>18.1.1.1.1</v>
      </c>
      <c r="K317" s="1284"/>
      <c r="L317" s="1290" t="s">
        <v>871</v>
      </c>
      <c r="M317" s="1696"/>
      <c r="N317" s="1696"/>
      <c r="O317" s="1696"/>
      <c r="P317" s="8882"/>
      <c r="Q317" s="8882">
        <v>1</v>
      </c>
      <c r="R317" s="278"/>
      <c r="S317" s="1810" t="str">
        <f>$J317</f>
        <v>18.1.1.1.1</v>
      </c>
      <c r="T317" s="201" t="s">
        <v>872</v>
      </c>
      <c r="U317" s="214"/>
      <c r="V317" s="8872"/>
      <c r="W317" s="8873"/>
      <c r="X317" s="8873"/>
      <c r="Y317" s="8873"/>
      <c r="Z317" s="8873"/>
      <c r="AA317" s="8873"/>
      <c r="AB317" s="8874"/>
      <c r="AC317" s="8872" t="s">
        <v>961</v>
      </c>
      <c r="AD317" s="8873"/>
      <c r="AE317" s="8873"/>
      <c r="AF317" s="8873"/>
      <c r="AG317" s="8873"/>
      <c r="AH317" s="8873"/>
      <c r="AI317" s="8873"/>
      <c r="AJ317" s="8874"/>
      <c r="AK317" s="1231" t="s">
        <v>947</v>
      </c>
      <c r="AL317" s="1562"/>
      <c r="AM317" s="1544"/>
      <c r="AN317" s="1544" t="str">
        <f t="shared" si="5"/>
        <v>Группа потребителей</v>
      </c>
      <c r="AO317" s="1544"/>
      <c r="AP317" s="1544"/>
    </row>
    <row r="318" spans="1:42" s="1818" customFormat="1" ht="23.25" customHeight="1">
      <c r="A318" s="1284"/>
      <c r="B318" s="1284"/>
      <c r="C318" s="1284"/>
      <c r="D318" s="1284"/>
      <c r="E318" s="8884" t="s">
        <v>170</v>
      </c>
      <c r="F318" s="8884"/>
      <c r="G318" s="8884"/>
      <c r="H318" s="8884"/>
      <c r="I318" s="8904"/>
      <c r="J318" s="8904"/>
      <c r="K318" s="8881" t="str">
        <f>J317&amp;".1"</f>
        <v>18.1.1.1.1.1</v>
      </c>
      <c r="L318" s="1290"/>
      <c r="M318" s="1696"/>
      <c r="N318" s="1696"/>
      <c r="O318" s="1696"/>
      <c r="P318" s="8882"/>
      <c r="Q318" s="8882"/>
      <c r="R318" s="278">
        <v>1</v>
      </c>
      <c r="S318" s="1810" t="str">
        <f>$K318</f>
        <v>18.1.1.1.1.1</v>
      </c>
      <c r="T318" s="1357" t="s">
        <v>962</v>
      </c>
      <c r="U318" s="214"/>
      <c r="V318" s="666"/>
      <c r="W318" s="666"/>
      <c r="X318" s="1181"/>
      <c r="Y318" s="8886"/>
      <c r="Z318" s="8734" t="s">
        <v>63</v>
      </c>
      <c r="AA318" s="8886"/>
      <c r="AB318" s="8734" t="s">
        <v>63</v>
      </c>
      <c r="AC318" s="666">
        <v>378.22</v>
      </c>
      <c r="AD318" s="666"/>
      <c r="AE318" s="1181"/>
      <c r="AF318" s="8886">
        <v>45292</v>
      </c>
      <c r="AG318" s="8734" t="s">
        <v>63</v>
      </c>
      <c r="AH318" s="8905">
        <v>45657</v>
      </c>
      <c r="AI318" s="8734" t="s">
        <v>63</v>
      </c>
      <c r="AJ318" s="1358"/>
      <c r="AK31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18" s="1562" t="e">
        <f ca="1">STRCHECKDATE(V319:AJ319)</f>
        <v>#NAME?</v>
      </c>
      <c r="AM318" s="1544"/>
      <c r="AN318" s="1544" t="str">
        <f t="shared" si="5"/>
        <v>Тариф для населения, руб. за 1 куб. метр с НДС</v>
      </c>
      <c r="AO318" s="1544"/>
      <c r="AP318" s="1544"/>
    </row>
    <row r="319" spans="1:42" s="1818" customFormat="1" ht="14.25" customHeight="1">
      <c r="A319" s="1284"/>
      <c r="B319" s="1284"/>
      <c r="C319" s="1284"/>
      <c r="D319" s="1284"/>
      <c r="E319" s="8884" t="s">
        <v>170</v>
      </c>
      <c r="F319" s="8884"/>
      <c r="G319" s="8884"/>
      <c r="H319" s="8884"/>
      <c r="I319" s="8904"/>
      <c r="J319" s="8904"/>
      <c r="K319" s="8881"/>
      <c r="L319" s="1290"/>
      <c r="M319" s="1696"/>
      <c r="N319" s="1696"/>
      <c r="O319" s="1696"/>
      <c r="P319" s="8882"/>
      <c r="Q319" s="8882"/>
      <c r="R319" s="278"/>
      <c r="S319" s="1815"/>
      <c r="T319" s="214"/>
      <c r="U319" s="214"/>
      <c r="V319" s="246"/>
      <c r="W319" s="246"/>
      <c r="X319" s="250" t="str">
        <f>Y318&amp;"-"&amp;AA318</f>
        <v>-</v>
      </c>
      <c r="Y319" s="8887"/>
      <c r="Z319" s="8734"/>
      <c r="AA319" s="8887"/>
      <c r="AB319" s="8734"/>
      <c r="AC319" s="246"/>
      <c r="AD319" s="246"/>
      <c r="AE319" s="250" t="str">
        <f>AF318&amp;"-"&amp;AH318</f>
        <v>45292-45657</v>
      </c>
      <c r="AF319" s="8887"/>
      <c r="AG319" s="8734"/>
      <c r="AH319" s="8906"/>
      <c r="AI319" s="8734"/>
      <c r="AJ319" s="1359"/>
      <c r="AK319" s="8941"/>
      <c r="AL319" s="1562"/>
      <c r="AM319" s="1544"/>
      <c r="AN319" s="1544" t="str">
        <f t="shared" si="5"/>
        <v/>
      </c>
      <c r="AO319" s="1544"/>
      <c r="AP319" s="1544"/>
    </row>
    <row r="320" spans="1:42" s="1818" customFormat="1" ht="21" customHeight="1">
      <c r="A320" s="1284"/>
      <c r="B320" s="1284"/>
      <c r="C320" s="1284"/>
      <c r="D320" s="1284"/>
      <c r="E320" s="8884" t="s">
        <v>170</v>
      </c>
      <c r="F320" s="8884"/>
      <c r="G320" s="8884"/>
      <c r="H320" s="8884"/>
      <c r="I320" s="8904"/>
      <c r="J320" s="8881"/>
      <c r="K320" s="1284"/>
      <c r="L320" s="1290"/>
      <c r="M320" s="1696"/>
      <c r="N320" s="1696"/>
      <c r="O320" s="1696"/>
      <c r="P320" s="8882"/>
      <c r="Q320" s="8882"/>
      <c r="R320" s="277"/>
      <c r="S320" s="3057"/>
      <c r="T320" s="3058" t="s">
        <v>948</v>
      </c>
      <c r="U320" s="3059"/>
      <c r="V320" s="3060"/>
      <c r="W320" s="3061"/>
      <c r="X320" s="3062"/>
      <c r="Y320" s="3063"/>
      <c r="Z320" s="3064"/>
      <c r="AA320" s="3065"/>
      <c r="AB320" s="3066"/>
      <c r="AC320" s="3067"/>
      <c r="AD320" s="3068"/>
      <c r="AE320" s="3069"/>
      <c r="AF320" s="3070"/>
      <c r="AG320" s="3071"/>
      <c r="AH320" s="3072"/>
      <c r="AI320" s="3073"/>
      <c r="AJ320" s="3074"/>
      <c r="AK320" s="1182" t="s">
        <v>949</v>
      </c>
      <c r="AL320" s="1562"/>
      <c r="AM320" s="1544"/>
      <c r="AN320" s="1544" t="str">
        <f t="shared" si="5"/>
        <v>Добавить значение признака дифференциации</v>
      </c>
      <c r="AO320" s="1544"/>
      <c r="AP320" s="1544"/>
    </row>
    <row r="321" spans="1:42" s="1818" customFormat="1" ht="23.25" customHeight="1">
      <c r="A321" s="1284"/>
      <c r="B321" s="1284"/>
      <c r="C321" s="1284"/>
      <c r="D321" s="1284"/>
      <c r="E321" s="8884"/>
      <c r="F321" s="8884"/>
      <c r="G321" s="8884"/>
      <c r="H321" s="8884"/>
      <c r="I321" s="8904"/>
      <c r="J321" s="8881" t="str">
        <f>I316&amp;".2"</f>
        <v>18.1.1.1.2</v>
      </c>
      <c r="K321" s="1284"/>
      <c r="L321" s="1290" t="s">
        <v>871</v>
      </c>
      <c r="M321" s="1696"/>
      <c r="N321" s="1696"/>
      <c r="O321" s="1696"/>
      <c r="P321" s="8882"/>
      <c r="Q321" s="8948" t="s">
        <v>100</v>
      </c>
      <c r="R321" s="278"/>
      <c r="S321" s="1810" t="str">
        <f>$J321</f>
        <v>18.1.1.1.2</v>
      </c>
      <c r="T321" s="201" t="s">
        <v>872</v>
      </c>
      <c r="U321" s="214"/>
      <c r="V321" s="8872"/>
      <c r="W321" s="8873"/>
      <c r="X321" s="8873"/>
      <c r="Y321" s="8873"/>
      <c r="Z321" s="8873"/>
      <c r="AA321" s="8873"/>
      <c r="AB321" s="8874"/>
      <c r="AC321" s="8872" t="s">
        <v>963</v>
      </c>
      <c r="AD321" s="8873"/>
      <c r="AE321" s="8873"/>
      <c r="AF321" s="8873"/>
      <c r="AG321" s="8873"/>
      <c r="AH321" s="8873"/>
      <c r="AI321" s="8873"/>
      <c r="AJ321" s="8874"/>
      <c r="AK321" s="1231" t="s">
        <v>947</v>
      </c>
      <c r="AL321" s="1562"/>
      <c r="AM321" s="1544"/>
      <c r="AN321" s="1544" t="str">
        <f t="shared" si="5"/>
        <v>Группа потребителей</v>
      </c>
      <c r="AO321" s="1544"/>
      <c r="AP321" s="1544"/>
    </row>
    <row r="322" spans="1:42" s="1818" customFormat="1" ht="23.25" customHeight="1">
      <c r="A322" s="1284"/>
      <c r="B322" s="1284"/>
      <c r="C322" s="1284"/>
      <c r="D322" s="1284"/>
      <c r="E322" s="8884"/>
      <c r="F322" s="8884"/>
      <c r="G322" s="8884"/>
      <c r="H322" s="8884"/>
      <c r="I322" s="8904"/>
      <c r="J322" s="8904" t="str">
        <f>I316&amp;".1"</f>
        <v>18.1.1.1.1</v>
      </c>
      <c r="K322" s="8881" t="str">
        <f>J321&amp;".1"</f>
        <v>18.1.1.1.2.1</v>
      </c>
      <c r="L322" s="1290"/>
      <c r="M322" s="1696"/>
      <c r="N322" s="1696"/>
      <c r="O322" s="1696"/>
      <c r="P322" s="8882"/>
      <c r="Q322" s="8882"/>
      <c r="R322" s="278">
        <v>1</v>
      </c>
      <c r="S322" s="1810" t="str">
        <f>$K322</f>
        <v>18.1.1.1.2.1</v>
      </c>
      <c r="T322" s="1357" t="s">
        <v>964</v>
      </c>
      <c r="U322" s="214"/>
      <c r="V322" s="666"/>
      <c r="W322" s="666"/>
      <c r="X322" s="1181"/>
      <c r="Y322" s="8886"/>
      <c r="Z322" s="8734" t="s">
        <v>63</v>
      </c>
      <c r="AA322" s="8886"/>
      <c r="AB322" s="8734" t="s">
        <v>63</v>
      </c>
      <c r="AC322" s="666">
        <v>315.18</v>
      </c>
      <c r="AD322" s="666"/>
      <c r="AE322" s="1181"/>
      <c r="AF322" s="8886">
        <v>45292</v>
      </c>
      <c r="AG322" s="8734" t="s">
        <v>63</v>
      </c>
      <c r="AH322" s="8905">
        <v>45657</v>
      </c>
      <c r="AI322" s="8734" t="s">
        <v>63</v>
      </c>
      <c r="AJ322" s="1358"/>
      <c r="AK32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22" s="1562" t="e">
        <f ca="1">STRCHECKDATE(V323:AJ323)</f>
        <v>#NAME?</v>
      </c>
      <c r="AM322" s="1544"/>
      <c r="AN322" s="1544" t="str">
        <f t="shared" si="5"/>
        <v>Тариф, руб. за 1 куб. метр без НДС</v>
      </c>
      <c r="AO322" s="1544"/>
      <c r="AP322" s="1544"/>
    </row>
    <row r="323" spans="1:42" s="1818" customFormat="1" ht="14.25" customHeight="1">
      <c r="A323" s="1284"/>
      <c r="B323" s="1284"/>
      <c r="C323" s="1284"/>
      <c r="D323" s="1284"/>
      <c r="E323" s="8884"/>
      <c r="F323" s="8884"/>
      <c r="G323" s="8884"/>
      <c r="H323" s="8884"/>
      <c r="I323" s="8904"/>
      <c r="J323" s="8904" t="str">
        <f>I316&amp;".1"</f>
        <v>18.1.1.1.1</v>
      </c>
      <c r="K323" s="8881"/>
      <c r="L323" s="1290"/>
      <c r="M323" s="1696"/>
      <c r="N323" s="1696"/>
      <c r="O323" s="1696"/>
      <c r="P323" s="8882"/>
      <c r="Q323" s="8882"/>
      <c r="R323" s="278"/>
      <c r="S323" s="1815"/>
      <c r="T323" s="214"/>
      <c r="U323" s="214"/>
      <c r="V323" s="246"/>
      <c r="W323" s="246"/>
      <c r="X323" s="250" t="str">
        <f>Y322&amp;"-"&amp;AA322</f>
        <v>-</v>
      </c>
      <c r="Y323" s="8887"/>
      <c r="Z323" s="8734"/>
      <c r="AA323" s="8887"/>
      <c r="AB323" s="8734"/>
      <c r="AC323" s="246"/>
      <c r="AD323" s="246"/>
      <c r="AE323" s="250" t="str">
        <f>AF322&amp;"-"&amp;AH322</f>
        <v>45292-45657</v>
      </c>
      <c r="AF323" s="8887"/>
      <c r="AG323" s="8734"/>
      <c r="AH323" s="8906"/>
      <c r="AI323" s="8734"/>
      <c r="AJ323" s="1359"/>
      <c r="AK323" s="8941"/>
      <c r="AL323" s="1562"/>
      <c r="AM323" s="1544"/>
      <c r="AN323" s="1544" t="str">
        <f t="shared" si="5"/>
        <v/>
      </c>
      <c r="AO323" s="1544"/>
      <c r="AP323" s="1544"/>
    </row>
    <row r="324" spans="1:42" s="1818" customFormat="1" ht="21" customHeight="1">
      <c r="A324" s="1284"/>
      <c r="B324" s="1284"/>
      <c r="C324" s="1284"/>
      <c r="D324" s="1284"/>
      <c r="E324" s="8884"/>
      <c r="F324" s="8884"/>
      <c r="G324" s="8884"/>
      <c r="H324" s="8884"/>
      <c r="I324" s="8904"/>
      <c r="J324" s="8881" t="str">
        <f>I316&amp;".1"</f>
        <v>18.1.1.1.1</v>
      </c>
      <c r="K324" s="1284"/>
      <c r="L324" s="1290"/>
      <c r="M324" s="1696"/>
      <c r="N324" s="1696"/>
      <c r="O324" s="1696"/>
      <c r="P324" s="8882"/>
      <c r="Q324" s="8882"/>
      <c r="R324" s="277"/>
      <c r="S324" s="3075"/>
      <c r="T324" s="3076" t="s">
        <v>948</v>
      </c>
      <c r="U324" s="3077"/>
      <c r="V324" s="3078"/>
      <c r="W324" s="3079"/>
      <c r="X324" s="3080"/>
      <c r="Y324" s="3081"/>
      <c r="Z324" s="3082"/>
      <c r="AA324" s="3083"/>
      <c r="AB324" s="3084"/>
      <c r="AC324" s="3085"/>
      <c r="AD324" s="3086"/>
      <c r="AE324" s="3087"/>
      <c r="AF324" s="3088"/>
      <c r="AG324" s="3089"/>
      <c r="AH324" s="3090"/>
      <c r="AI324" s="3091"/>
      <c r="AJ324" s="3092"/>
      <c r="AK324" s="1182" t="s">
        <v>949</v>
      </c>
      <c r="AL324" s="1562"/>
      <c r="AM324" s="1544"/>
      <c r="AN324" s="1544" t="str">
        <f t="shared" si="5"/>
        <v>Добавить значение признака дифференциации</v>
      </c>
      <c r="AO324" s="1544"/>
      <c r="AP324" s="1544"/>
    </row>
    <row r="325" spans="1:42" s="1818" customFormat="1" ht="21" customHeight="1">
      <c r="A325" s="1284"/>
      <c r="B325" s="1284"/>
      <c r="C325" s="1284"/>
      <c r="D325" s="1284"/>
      <c r="E325" s="8884" t="s">
        <v>170</v>
      </c>
      <c r="F325" s="8884"/>
      <c r="G325" s="8884"/>
      <c r="H325" s="8884"/>
      <c r="I325" s="8881"/>
      <c r="J325" s="1284"/>
      <c r="K325" s="1284"/>
      <c r="L325" s="1290"/>
      <c r="M325" s="1696"/>
      <c r="N325" s="1696"/>
      <c r="O325" s="1696"/>
      <c r="P325" s="8882"/>
      <c r="Q325" s="1811"/>
      <c r="R325" s="277"/>
      <c r="S325" s="3093"/>
      <c r="T325" s="3094" t="s">
        <v>877</v>
      </c>
      <c r="U325" s="3095"/>
      <c r="V325" s="3096"/>
      <c r="W325" s="3097"/>
      <c r="X325" s="3098"/>
      <c r="Y325" s="3099"/>
      <c r="Z325" s="3100"/>
      <c r="AA325" s="3101"/>
      <c r="AB325" s="3102"/>
      <c r="AC325" s="3103"/>
      <c r="AD325" s="3104"/>
      <c r="AE325" s="3105"/>
      <c r="AF325" s="3106"/>
      <c r="AG325" s="3107"/>
      <c r="AH325" s="3108"/>
      <c r="AI325" s="3109"/>
      <c r="AJ325" s="3110"/>
      <c r="AK325" s="3111"/>
      <c r="AL325" s="1562"/>
      <c r="AM325" s="1544"/>
      <c r="AN325" s="1544" t="str">
        <f t="shared" si="5"/>
        <v>Добавить группу потребителей</v>
      </c>
      <c r="AO325" s="1544"/>
      <c r="AP325" s="1544"/>
    </row>
    <row r="326" spans="1:42" s="1818" customFormat="1" ht="21" customHeight="1">
      <c r="A326" s="1284"/>
      <c r="B326" s="1284"/>
      <c r="C326" s="1284"/>
      <c r="D326" s="1284"/>
      <c r="E326" s="8884" t="s">
        <v>170</v>
      </c>
      <c r="F326" s="8884"/>
      <c r="G326" s="8884"/>
      <c r="H326" s="8883"/>
      <c r="I326" s="1284"/>
      <c r="J326" s="1284"/>
      <c r="K326" s="1284"/>
      <c r="L326" s="1290"/>
      <c r="M326" s="1286"/>
      <c r="N326" s="1286"/>
      <c r="O326" s="1287"/>
      <c r="P326" s="1742"/>
      <c r="Q326" s="299"/>
      <c r="R326" s="276"/>
      <c r="S326" s="3112"/>
      <c r="T326" s="3113" t="s">
        <v>950</v>
      </c>
      <c r="U326" s="3114"/>
      <c r="V326" s="3115"/>
      <c r="W326" s="3116"/>
      <c r="X326" s="3117"/>
      <c r="Y326" s="3118"/>
      <c r="Z326" s="3119"/>
      <c r="AA326" s="3120"/>
      <c r="AB326" s="3121"/>
      <c r="AC326" s="3122"/>
      <c r="AD326" s="3123"/>
      <c r="AE326" s="3124"/>
      <c r="AF326" s="3125"/>
      <c r="AG326" s="3126"/>
      <c r="AH326" s="3127"/>
      <c r="AI326" s="3128"/>
      <c r="AJ326" s="3129"/>
      <c r="AK326" s="3130"/>
      <c r="AL326" s="1562"/>
      <c r="AM326" s="1544"/>
      <c r="AN326" s="1544" t="str">
        <f t="shared" si="5"/>
        <v>Добавить наименование признака дифференциации</v>
      </c>
      <c r="AO326" s="1544"/>
      <c r="AP326" s="1544"/>
    </row>
    <row r="327" spans="1:42" s="541" customFormat="1" ht="14.25" customHeight="1">
      <c r="A327" s="1265"/>
      <c r="B327" s="1265"/>
      <c r="C327" s="1265"/>
      <c r="D327" s="1265"/>
      <c r="E327" s="8884" t="s">
        <v>170</v>
      </c>
      <c r="F327" s="8883"/>
      <c r="G327" s="1265"/>
      <c r="H327" s="1265"/>
      <c r="I327" s="1265"/>
      <c r="J327" s="1265"/>
      <c r="K327" s="1265"/>
      <c r="L327" s="1466"/>
      <c r="M327" s="1244"/>
      <c r="N327" s="1244"/>
      <c r="O327" s="1562"/>
      <c r="P327" s="1239"/>
      <c r="Q327" s="1266"/>
      <c r="R327" s="1239"/>
      <c r="S327" s="1245"/>
      <c r="T327" s="1248" t="s">
        <v>314</v>
      </c>
      <c r="U327" s="1247"/>
      <c r="V327" s="1247"/>
      <c r="W327" s="1247"/>
      <c r="X327" s="1247"/>
      <c r="Y327" s="1247"/>
      <c r="Z327" s="1247"/>
      <c r="AA327" s="1247"/>
      <c r="AB327" s="1247"/>
      <c r="AC327" s="1247"/>
      <c r="AD327" s="1247"/>
      <c r="AE327" s="1247"/>
      <c r="AF327" s="1247"/>
      <c r="AG327" s="1247"/>
      <c r="AH327" s="1247"/>
      <c r="AI327" s="1247"/>
      <c r="AJ327" s="1247"/>
      <c r="AK327" s="1247"/>
      <c r="AL327" s="1562"/>
      <c r="AM327" s="1544"/>
      <c r="AN327" s="1544" t="str">
        <f t="shared" si="5"/>
        <v>Добавить централизованную систему для дифференциации</v>
      </c>
      <c r="AO327" s="1544"/>
      <c r="AP327" s="1544"/>
    </row>
    <row r="328" spans="1:42" s="541" customFormat="1" ht="14.25" customHeight="1">
      <c r="A328" s="1265"/>
      <c r="B328" s="1265"/>
      <c r="C328" s="1265"/>
      <c r="D328" s="1265"/>
      <c r="E328" s="8883" t="s">
        <v>170</v>
      </c>
      <c r="F328" s="1265"/>
      <c r="G328" s="1265"/>
      <c r="H328" s="1265"/>
      <c r="I328" s="1265"/>
      <c r="J328" s="1265"/>
      <c r="K328" s="1265"/>
      <c r="L328" s="1466"/>
      <c r="M328" s="1244"/>
      <c r="N328" s="1244"/>
      <c r="O328" s="1562"/>
      <c r="P328" s="1239"/>
      <c r="Q328" s="1266"/>
      <c r="R328" s="1239"/>
      <c r="S328" s="1245"/>
      <c r="T328" s="1248" t="s">
        <v>315</v>
      </c>
      <c r="U328" s="1247"/>
      <c r="V328" s="1247"/>
      <c r="W328" s="1247"/>
      <c r="X328" s="1247"/>
      <c r="Y328" s="1247"/>
      <c r="Z328" s="1247"/>
      <c r="AA328" s="1247"/>
      <c r="AB328" s="1247"/>
      <c r="AC328" s="1247"/>
      <c r="AD328" s="1247"/>
      <c r="AE328" s="1247"/>
      <c r="AF328" s="1247"/>
      <c r="AG328" s="1247"/>
      <c r="AH328" s="1247"/>
      <c r="AI328" s="1247"/>
      <c r="AJ328" s="1247"/>
      <c r="AK328" s="1247"/>
      <c r="AL328" s="1562"/>
      <c r="AM328" s="1544"/>
      <c r="AN328" s="1544" t="str">
        <f t="shared" si="5"/>
        <v>Добавить территорию для дифференциации</v>
      </c>
      <c r="AO328" s="1544"/>
      <c r="AP328" s="1544"/>
    </row>
    <row r="329" spans="1:42" s="1818" customFormat="1" ht="23.25" customHeight="1">
      <c r="A329" s="1284" t="s">
        <v>402</v>
      </c>
      <c r="B329" s="1284"/>
      <c r="C329" s="1284"/>
      <c r="D329" s="1284"/>
      <c r="E329" s="8883" t="s">
        <v>180</v>
      </c>
      <c r="F329" s="1284"/>
      <c r="G329" s="1284"/>
      <c r="H329" s="1284"/>
      <c r="I329" s="1284"/>
      <c r="J329" s="1284"/>
      <c r="K329" s="1284"/>
      <c r="L329" s="1290"/>
      <c r="M329" s="1286"/>
      <c r="N329" s="1286"/>
      <c r="O329" s="1286"/>
      <c r="P329" s="1812"/>
      <c r="Q329" s="1742"/>
      <c r="R329" s="276"/>
      <c r="S329" s="1810" t="str">
        <f>INDEX(PT_DIFFERENTIATION_NUM_NTAR,MATCH(A329,PT_DIFFERENTIATION_NTAR_ID,0))</f>
        <v>19</v>
      </c>
      <c r="T329" s="1440" t="s">
        <v>211</v>
      </c>
      <c r="U329" s="214"/>
      <c r="V329" s="8869"/>
      <c r="W329" s="8870"/>
      <c r="X329" s="8870"/>
      <c r="Y329" s="8870"/>
      <c r="Z329" s="8870"/>
      <c r="AA329" s="8870"/>
      <c r="AB329" s="8871"/>
      <c r="AC329" s="8869" t="str">
        <f>INDEX(PT_DIFFERENTIATION_NTAR,MATCH(A329,PT_DIFFERENTIATION_NTAR_ID,0))</f>
        <v>Подвоз воды потребителям хутора Кировского</v>
      </c>
      <c r="AD329" s="8870"/>
      <c r="AE329" s="8870"/>
      <c r="AF329" s="8870"/>
      <c r="AG329" s="8870"/>
      <c r="AH329" s="8870"/>
      <c r="AI329" s="8870"/>
      <c r="AJ329" s="8871"/>
      <c r="AK32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329" s="1562"/>
      <c r="AM329" s="1544"/>
      <c r="AN329" s="1544" t="str">
        <f t="shared" si="5"/>
        <v>Наименование тарифа</v>
      </c>
      <c r="AO329" s="1544"/>
      <c r="AP329" s="1544"/>
    </row>
    <row r="330" spans="1:42" s="1818" customFormat="1" ht="23.25" customHeight="1">
      <c r="A330" s="1284"/>
      <c r="B330" s="1284" t="s">
        <v>403</v>
      </c>
      <c r="C330" s="1284"/>
      <c r="D330" s="1284"/>
      <c r="E330" s="8884" t="s">
        <v>175</v>
      </c>
      <c r="F330" s="8883">
        <v>1</v>
      </c>
      <c r="G330" s="1284"/>
      <c r="H330" s="1284"/>
      <c r="I330" s="1284"/>
      <c r="J330" s="1284"/>
      <c r="K330" s="1284"/>
      <c r="L330" s="1290"/>
      <c r="M330" s="1286"/>
      <c r="N330" s="1286"/>
      <c r="O330" s="1286"/>
      <c r="P330" s="1807"/>
      <c r="Q330" s="273"/>
      <c r="R330" s="274"/>
      <c r="S330" s="1810" t="str">
        <f>INDEX(PT_DIFFERENTIATION_NUM_TER,MATCH(B330,PT_DIFFERENTIATION_TER_ID,0))</f>
        <v>19.1</v>
      </c>
      <c r="T330" s="1437" t="s">
        <v>862</v>
      </c>
      <c r="U330" s="214"/>
      <c r="V330" s="8869"/>
      <c r="W330" s="8870"/>
      <c r="X330" s="8870"/>
      <c r="Y330" s="8870"/>
      <c r="Z330" s="8870"/>
      <c r="AA330" s="8870"/>
      <c r="AB330" s="8871"/>
      <c r="AC330" s="8869" t="str">
        <f>INDEX(PT_DIFFERENTIATION_TER,MATCH(B330,PT_DIFFERENTIATION_TER_ID,0))</f>
        <v>Территория 7</v>
      </c>
      <c r="AD330" s="8870"/>
      <c r="AE330" s="8870"/>
      <c r="AF330" s="8870"/>
      <c r="AG330" s="8870"/>
      <c r="AH330" s="8870"/>
      <c r="AI330" s="8870"/>
      <c r="AJ330" s="8871"/>
      <c r="AK330" s="1182" t="s">
        <v>863</v>
      </c>
      <c r="AL330" s="1562"/>
      <c r="AM330" s="1544"/>
      <c r="AN330" s="1544" t="str">
        <f t="shared" si="5"/>
        <v>Территория действия тарифа</v>
      </c>
      <c r="AO330" s="1544"/>
      <c r="AP330" s="1544"/>
    </row>
    <row r="331" spans="1:42" s="1818" customFormat="1" ht="23.25" customHeight="1">
      <c r="A331" s="1284"/>
      <c r="B331" s="1284"/>
      <c r="C331" s="1284" t="s">
        <v>404</v>
      </c>
      <c r="D331" s="1284"/>
      <c r="E331" s="8884" t="s">
        <v>175</v>
      </c>
      <c r="F331" s="8884"/>
      <c r="G331" s="8883">
        <v>1</v>
      </c>
      <c r="H331" s="1284"/>
      <c r="I331" s="1284"/>
      <c r="J331" s="1284"/>
      <c r="K331" s="1284"/>
      <c r="L331" s="1290"/>
      <c r="M331" s="1286"/>
      <c r="N331" s="1286"/>
      <c r="O331" s="1286"/>
      <c r="P331" s="275"/>
      <c r="Q331" s="273"/>
      <c r="R331" s="274"/>
      <c r="S331" s="1810" t="str">
        <f>INDEX(PT_DIFFERENTIATION_NUM_CS,MATCH(C331,PT_DIFFERENTIATION_CS_ID,0))</f>
        <v>19.1.1</v>
      </c>
      <c r="T331" s="225" t="s">
        <v>943</v>
      </c>
      <c r="U331" s="214"/>
      <c r="V331" s="8869"/>
      <c r="W331" s="8870"/>
      <c r="X331" s="8870"/>
      <c r="Y331" s="8870"/>
      <c r="Z331" s="8870"/>
      <c r="AA331" s="8870"/>
      <c r="AB331" s="8871"/>
      <c r="AC331" s="8869" t="str">
        <f>INDEX(PT_DIFFERENTIATION_CS,MATCH(C331,PT_DIFFERENTIATION_CS_ID,0))</f>
        <v>без дифференциации</v>
      </c>
      <c r="AD331" s="8870"/>
      <c r="AE331" s="8870"/>
      <c r="AF331" s="8870"/>
      <c r="AG331" s="8870"/>
      <c r="AH331" s="8870"/>
      <c r="AI331" s="8870"/>
      <c r="AJ331" s="8871"/>
      <c r="AK331" s="1182" t="s">
        <v>944</v>
      </c>
      <c r="AL331" s="1562"/>
      <c r="AM331" s="1544"/>
      <c r="AN331" s="1544" t="str">
        <f t="shared" si="5"/>
        <v>Наименование централизованной системы холодного водоснабжения</v>
      </c>
      <c r="AO331" s="1544"/>
      <c r="AP331" s="1544"/>
    </row>
    <row r="332" spans="1:42" s="1818" customFormat="1" ht="23.25" customHeight="1">
      <c r="A332" s="1284"/>
      <c r="B332" s="1284"/>
      <c r="C332" s="1284"/>
      <c r="D332" s="1284"/>
      <c r="E332" s="8884" t="s">
        <v>175</v>
      </c>
      <c r="F332" s="8884"/>
      <c r="G332" s="8884"/>
      <c r="H332" s="8884"/>
      <c r="I332" s="8881" t="str">
        <f>S331&amp;".1"</f>
        <v>19.1.1.1</v>
      </c>
      <c r="J332" s="1284"/>
      <c r="K332" s="1284"/>
      <c r="L332" s="1290"/>
      <c r="M332" s="1696"/>
      <c r="N332" s="1696"/>
      <c r="O332" s="1696"/>
      <c r="P332" s="8882">
        <v>1</v>
      </c>
      <c r="Q332" s="1811"/>
      <c r="R332" s="277"/>
      <c r="S332" s="1810" t="str">
        <f>$I332</f>
        <v>19.1.1.1</v>
      </c>
      <c r="T332" s="200" t="s">
        <v>945</v>
      </c>
      <c r="U332" s="214"/>
      <c r="V332" s="8942"/>
      <c r="W332" s="8943"/>
      <c r="X332" s="8943"/>
      <c r="Y332" s="8943"/>
      <c r="Z332" s="8943"/>
      <c r="AA332" s="8943"/>
      <c r="AB332" s="8944"/>
      <c r="AC332" s="8945"/>
      <c r="AD332" s="8946"/>
      <c r="AE332" s="8946"/>
      <c r="AF332" s="8946"/>
      <c r="AG332" s="8946"/>
      <c r="AH332" s="8946"/>
      <c r="AI332" s="8946"/>
      <c r="AJ332" s="8947"/>
      <c r="AK332" s="1182" t="s">
        <v>946</v>
      </c>
      <c r="AL332" s="1562"/>
      <c r="AM332" s="1544"/>
      <c r="AN332" s="1544" t="str">
        <f t="shared" si="5"/>
        <v>Наименование признака дифференциации</v>
      </c>
      <c r="AO332" s="1544"/>
      <c r="AP332" s="1544"/>
    </row>
    <row r="333" spans="1:42" s="1818" customFormat="1" ht="23.25" customHeight="1">
      <c r="A333" s="1284"/>
      <c r="B333" s="1284"/>
      <c r="C333" s="1284"/>
      <c r="D333" s="1284"/>
      <c r="E333" s="8884" t="s">
        <v>175</v>
      </c>
      <c r="F333" s="8884"/>
      <c r="G333" s="8884"/>
      <c r="H333" s="8884"/>
      <c r="I333" s="8904"/>
      <c r="J333" s="8881" t="str">
        <f>I332&amp;".1"</f>
        <v>19.1.1.1.1</v>
      </c>
      <c r="K333" s="1284"/>
      <c r="L333" s="1290" t="s">
        <v>871</v>
      </c>
      <c r="M333" s="1696"/>
      <c r="N333" s="1696"/>
      <c r="O333" s="1696"/>
      <c r="P333" s="8882"/>
      <c r="Q333" s="8882">
        <v>1</v>
      </c>
      <c r="R333" s="278"/>
      <c r="S333" s="1810" t="str">
        <f>$J333</f>
        <v>19.1.1.1.1</v>
      </c>
      <c r="T333" s="201" t="s">
        <v>872</v>
      </c>
      <c r="U333" s="214"/>
      <c r="V333" s="8872"/>
      <c r="W333" s="8873"/>
      <c r="X333" s="8873"/>
      <c r="Y333" s="8873"/>
      <c r="Z333" s="8873"/>
      <c r="AA333" s="8873"/>
      <c r="AB333" s="8874"/>
      <c r="AC333" s="8872" t="s">
        <v>961</v>
      </c>
      <c r="AD333" s="8873"/>
      <c r="AE333" s="8873"/>
      <c r="AF333" s="8873"/>
      <c r="AG333" s="8873"/>
      <c r="AH333" s="8873"/>
      <c r="AI333" s="8873"/>
      <c r="AJ333" s="8874"/>
      <c r="AK333" s="1231" t="s">
        <v>947</v>
      </c>
      <c r="AL333" s="1562"/>
      <c r="AM333" s="1544"/>
      <c r="AN333" s="1544" t="str">
        <f t="shared" si="5"/>
        <v>Группа потребителей</v>
      </c>
      <c r="AO333" s="1544"/>
      <c r="AP333" s="1544"/>
    </row>
    <row r="334" spans="1:42" s="1818" customFormat="1" ht="23.25" customHeight="1">
      <c r="A334" s="1284"/>
      <c r="B334" s="1284"/>
      <c r="C334" s="1284"/>
      <c r="D334" s="1284"/>
      <c r="E334" s="8884" t="s">
        <v>175</v>
      </c>
      <c r="F334" s="8884"/>
      <c r="G334" s="8884"/>
      <c r="H334" s="8884"/>
      <c r="I334" s="8904"/>
      <c r="J334" s="8904"/>
      <c r="K334" s="8881" t="str">
        <f>J333&amp;".1"</f>
        <v>19.1.1.1.1.1</v>
      </c>
      <c r="L334" s="1290"/>
      <c r="M334" s="1696"/>
      <c r="N334" s="1696"/>
      <c r="O334" s="1696"/>
      <c r="P334" s="8882"/>
      <c r="Q334" s="8882"/>
      <c r="R334" s="278">
        <v>1</v>
      </c>
      <c r="S334" s="1810" t="str">
        <f>$K334</f>
        <v>19.1.1.1.1.1</v>
      </c>
      <c r="T334" s="1357" t="s">
        <v>962</v>
      </c>
      <c r="U334" s="214"/>
      <c r="V334" s="666"/>
      <c r="W334" s="666"/>
      <c r="X334" s="1181"/>
      <c r="Y334" s="8886"/>
      <c r="Z334" s="8734" t="s">
        <v>63</v>
      </c>
      <c r="AA334" s="8886"/>
      <c r="AB334" s="8734" t="s">
        <v>63</v>
      </c>
      <c r="AC334" s="666">
        <v>374.5</v>
      </c>
      <c r="AD334" s="666"/>
      <c r="AE334" s="1181"/>
      <c r="AF334" s="8886">
        <v>45292</v>
      </c>
      <c r="AG334" s="8734" t="s">
        <v>63</v>
      </c>
      <c r="AH334" s="8905">
        <v>45657</v>
      </c>
      <c r="AI334" s="8734" t="s">
        <v>63</v>
      </c>
      <c r="AJ334" s="1358"/>
      <c r="AK33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4" s="1562" t="e">
        <f ca="1">STRCHECKDATE(V335:AJ335)</f>
        <v>#NAME?</v>
      </c>
      <c r="AM334" s="1544"/>
      <c r="AN334" s="1544" t="str">
        <f t="shared" si="5"/>
        <v>Тариф для населения, руб. за 1 куб. метр с НДС</v>
      </c>
      <c r="AO334" s="1544"/>
      <c r="AP334" s="1544"/>
    </row>
    <row r="335" spans="1:42" s="1818" customFormat="1" ht="14.25" customHeight="1">
      <c r="A335" s="1284"/>
      <c r="B335" s="1284"/>
      <c r="C335" s="1284"/>
      <c r="D335" s="1284"/>
      <c r="E335" s="8884" t="s">
        <v>175</v>
      </c>
      <c r="F335" s="8884"/>
      <c r="G335" s="8884"/>
      <c r="H335" s="8884"/>
      <c r="I335" s="8904"/>
      <c r="J335" s="8904"/>
      <c r="K335" s="8881"/>
      <c r="L335" s="1290"/>
      <c r="M335" s="1696"/>
      <c r="N335" s="1696"/>
      <c r="O335" s="1696"/>
      <c r="P335" s="8882"/>
      <c r="Q335" s="8882"/>
      <c r="R335" s="278"/>
      <c r="S335" s="1815"/>
      <c r="T335" s="214"/>
      <c r="U335" s="214"/>
      <c r="V335" s="246"/>
      <c r="W335" s="246"/>
      <c r="X335" s="250" t="str">
        <f>Y334&amp;"-"&amp;AA334</f>
        <v>-</v>
      </c>
      <c r="Y335" s="8887"/>
      <c r="Z335" s="8734"/>
      <c r="AA335" s="8887"/>
      <c r="AB335" s="8734"/>
      <c r="AC335" s="246"/>
      <c r="AD335" s="246"/>
      <c r="AE335" s="250" t="str">
        <f>AF334&amp;"-"&amp;AH334</f>
        <v>45292-45657</v>
      </c>
      <c r="AF335" s="8887"/>
      <c r="AG335" s="8734"/>
      <c r="AH335" s="8906"/>
      <c r="AI335" s="8734"/>
      <c r="AJ335" s="1359"/>
      <c r="AK335" s="8941"/>
      <c r="AL335" s="1562"/>
      <c r="AM335" s="1544"/>
      <c r="AN335" s="1544" t="str">
        <f t="shared" si="5"/>
        <v/>
      </c>
      <c r="AO335" s="1544"/>
      <c r="AP335" s="1544"/>
    </row>
    <row r="336" spans="1:42" s="1818" customFormat="1" ht="21" customHeight="1">
      <c r="A336" s="1284"/>
      <c r="B336" s="1284"/>
      <c r="C336" s="1284"/>
      <c r="D336" s="1284"/>
      <c r="E336" s="8884" t="s">
        <v>175</v>
      </c>
      <c r="F336" s="8884"/>
      <c r="G336" s="8884"/>
      <c r="H336" s="8884"/>
      <c r="I336" s="8904"/>
      <c r="J336" s="8881"/>
      <c r="K336" s="1284"/>
      <c r="L336" s="1290"/>
      <c r="M336" s="1696"/>
      <c r="N336" s="1696"/>
      <c r="O336" s="1696"/>
      <c r="P336" s="8882"/>
      <c r="Q336" s="8882"/>
      <c r="R336" s="277"/>
      <c r="S336" s="3131"/>
      <c r="T336" s="3132" t="s">
        <v>948</v>
      </c>
      <c r="U336" s="3133"/>
      <c r="V336" s="3134"/>
      <c r="W336" s="3135"/>
      <c r="X336" s="3136"/>
      <c r="Y336" s="3137"/>
      <c r="Z336" s="3138"/>
      <c r="AA336" s="3139"/>
      <c r="AB336" s="3140"/>
      <c r="AC336" s="3141"/>
      <c r="AD336" s="3142"/>
      <c r="AE336" s="3143"/>
      <c r="AF336" s="3144"/>
      <c r="AG336" s="3145"/>
      <c r="AH336" s="3146"/>
      <c r="AI336" s="3147"/>
      <c r="AJ336" s="3148"/>
      <c r="AK336" s="1182" t="s">
        <v>949</v>
      </c>
      <c r="AL336" s="1562"/>
      <c r="AM336" s="1544"/>
      <c r="AN336" s="1544" t="str">
        <f t="shared" si="5"/>
        <v>Добавить значение признака дифференциации</v>
      </c>
      <c r="AO336" s="1544"/>
      <c r="AP336" s="1544"/>
    </row>
    <row r="337" spans="1:42" s="1818" customFormat="1" ht="23.25" customHeight="1">
      <c r="A337" s="1284"/>
      <c r="B337" s="1284"/>
      <c r="C337" s="1284"/>
      <c r="D337" s="1284"/>
      <c r="E337" s="8884"/>
      <c r="F337" s="8884"/>
      <c r="G337" s="8884"/>
      <c r="H337" s="8884"/>
      <c r="I337" s="8904"/>
      <c r="J337" s="8881" t="str">
        <f>I332&amp;".2"</f>
        <v>19.1.1.1.2</v>
      </c>
      <c r="K337" s="1284"/>
      <c r="L337" s="1290" t="s">
        <v>871</v>
      </c>
      <c r="M337" s="1696"/>
      <c r="N337" s="1696"/>
      <c r="O337" s="1696"/>
      <c r="P337" s="8882"/>
      <c r="Q337" s="8948" t="s">
        <v>100</v>
      </c>
      <c r="R337" s="278"/>
      <c r="S337" s="1810" t="str">
        <f>$J337</f>
        <v>19.1.1.1.2</v>
      </c>
      <c r="T337" s="201" t="s">
        <v>872</v>
      </c>
      <c r="U337" s="214"/>
      <c r="V337" s="8872"/>
      <c r="W337" s="8873"/>
      <c r="X337" s="8873"/>
      <c r="Y337" s="8873"/>
      <c r="Z337" s="8873"/>
      <c r="AA337" s="8873"/>
      <c r="AB337" s="8874"/>
      <c r="AC337" s="8872" t="s">
        <v>963</v>
      </c>
      <c r="AD337" s="8873"/>
      <c r="AE337" s="8873"/>
      <c r="AF337" s="8873"/>
      <c r="AG337" s="8873"/>
      <c r="AH337" s="8873"/>
      <c r="AI337" s="8873"/>
      <c r="AJ337" s="8874"/>
      <c r="AK337" s="1231" t="s">
        <v>947</v>
      </c>
      <c r="AL337" s="1562"/>
      <c r="AM337" s="1544"/>
      <c r="AN337" s="1544" t="str">
        <f t="shared" si="5"/>
        <v>Группа потребителей</v>
      </c>
      <c r="AO337" s="1544"/>
      <c r="AP337" s="1544"/>
    </row>
    <row r="338" spans="1:42" s="1818" customFormat="1" ht="23.25" customHeight="1">
      <c r="A338" s="1284"/>
      <c r="B338" s="1284"/>
      <c r="C338" s="1284"/>
      <c r="D338" s="1284"/>
      <c r="E338" s="8884"/>
      <c r="F338" s="8884"/>
      <c r="G338" s="8884"/>
      <c r="H338" s="8884"/>
      <c r="I338" s="8904"/>
      <c r="J338" s="8904" t="str">
        <f>I332&amp;".1"</f>
        <v>19.1.1.1.1</v>
      </c>
      <c r="K338" s="8881" t="str">
        <f>J337&amp;".1"</f>
        <v>19.1.1.1.2.1</v>
      </c>
      <c r="L338" s="1290"/>
      <c r="M338" s="1696"/>
      <c r="N338" s="1696"/>
      <c r="O338" s="1696"/>
      <c r="P338" s="8882"/>
      <c r="Q338" s="8882"/>
      <c r="R338" s="278">
        <v>1</v>
      </c>
      <c r="S338" s="1810" t="str">
        <f>$K338</f>
        <v>19.1.1.1.2.1</v>
      </c>
      <c r="T338" s="1357" t="s">
        <v>964</v>
      </c>
      <c r="U338" s="214"/>
      <c r="V338" s="666"/>
      <c r="W338" s="666"/>
      <c r="X338" s="1181"/>
      <c r="Y338" s="8886"/>
      <c r="Z338" s="8734" t="s">
        <v>63</v>
      </c>
      <c r="AA338" s="8886"/>
      <c r="AB338" s="8734" t="s">
        <v>63</v>
      </c>
      <c r="AC338" s="666">
        <v>312.08</v>
      </c>
      <c r="AD338" s="666"/>
      <c r="AE338" s="1181"/>
      <c r="AF338" s="8886">
        <v>45292</v>
      </c>
      <c r="AG338" s="8734" t="s">
        <v>63</v>
      </c>
      <c r="AH338" s="8905">
        <v>45657</v>
      </c>
      <c r="AI338" s="8734" t="s">
        <v>63</v>
      </c>
      <c r="AJ338" s="1358"/>
      <c r="AK33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8" s="1562" t="e">
        <f ca="1">STRCHECKDATE(V339:AJ339)</f>
        <v>#NAME?</v>
      </c>
      <c r="AM338" s="1544"/>
      <c r="AN338" s="1544" t="str">
        <f t="shared" si="5"/>
        <v>Тариф, руб. за 1 куб. метр без НДС</v>
      </c>
      <c r="AO338" s="1544"/>
      <c r="AP338" s="1544"/>
    </row>
    <row r="339" spans="1:42" s="1818" customFormat="1" ht="14.25" customHeight="1">
      <c r="A339" s="1284"/>
      <c r="B339" s="1284"/>
      <c r="C339" s="1284"/>
      <c r="D339" s="1284"/>
      <c r="E339" s="8884"/>
      <c r="F339" s="8884"/>
      <c r="G339" s="8884"/>
      <c r="H339" s="8884"/>
      <c r="I339" s="8904"/>
      <c r="J339" s="8904" t="str">
        <f>I332&amp;".1"</f>
        <v>19.1.1.1.1</v>
      </c>
      <c r="K339" s="8881"/>
      <c r="L339" s="1290"/>
      <c r="M339" s="1696"/>
      <c r="N339" s="1696"/>
      <c r="O339" s="1696"/>
      <c r="P339" s="8882"/>
      <c r="Q339" s="8882"/>
      <c r="R339" s="278"/>
      <c r="S339" s="1815"/>
      <c r="T339" s="214"/>
      <c r="U339" s="214"/>
      <c r="V339" s="246"/>
      <c r="W339" s="246"/>
      <c r="X339" s="250" t="str">
        <f>Y338&amp;"-"&amp;AA338</f>
        <v>-</v>
      </c>
      <c r="Y339" s="8887"/>
      <c r="Z339" s="8734"/>
      <c r="AA339" s="8887"/>
      <c r="AB339" s="8734"/>
      <c r="AC339" s="246"/>
      <c r="AD339" s="246"/>
      <c r="AE339" s="250" t="str">
        <f>AF338&amp;"-"&amp;AH338</f>
        <v>45292-45657</v>
      </c>
      <c r="AF339" s="8887"/>
      <c r="AG339" s="8734"/>
      <c r="AH339" s="8906"/>
      <c r="AI339" s="8734"/>
      <c r="AJ339" s="1359"/>
      <c r="AK339" s="8941"/>
      <c r="AL339" s="1562"/>
      <c r="AM339" s="1544"/>
      <c r="AN339" s="1544" t="str">
        <f t="shared" si="5"/>
        <v/>
      </c>
      <c r="AO339" s="1544"/>
      <c r="AP339" s="1544"/>
    </row>
    <row r="340" spans="1:42" s="1818" customFormat="1" ht="21" customHeight="1">
      <c r="A340" s="1284"/>
      <c r="B340" s="1284"/>
      <c r="C340" s="1284"/>
      <c r="D340" s="1284"/>
      <c r="E340" s="8884"/>
      <c r="F340" s="8884"/>
      <c r="G340" s="8884"/>
      <c r="H340" s="8884"/>
      <c r="I340" s="8904"/>
      <c r="J340" s="8881" t="str">
        <f>I332&amp;".1"</f>
        <v>19.1.1.1.1</v>
      </c>
      <c r="K340" s="1284"/>
      <c r="L340" s="1290"/>
      <c r="M340" s="1696"/>
      <c r="N340" s="1696"/>
      <c r="O340" s="1696"/>
      <c r="P340" s="8882"/>
      <c r="Q340" s="8882"/>
      <c r="R340" s="277"/>
      <c r="S340" s="3149"/>
      <c r="T340" s="3150" t="s">
        <v>948</v>
      </c>
      <c r="U340" s="3151"/>
      <c r="V340" s="3152"/>
      <c r="W340" s="3153"/>
      <c r="X340" s="3154"/>
      <c r="Y340" s="3155"/>
      <c r="Z340" s="3156"/>
      <c r="AA340" s="3157"/>
      <c r="AB340" s="3158"/>
      <c r="AC340" s="3159"/>
      <c r="AD340" s="3160"/>
      <c r="AE340" s="3161"/>
      <c r="AF340" s="3162"/>
      <c r="AG340" s="3163"/>
      <c r="AH340" s="3164"/>
      <c r="AI340" s="3165"/>
      <c r="AJ340" s="3166"/>
      <c r="AK340" s="1182" t="s">
        <v>949</v>
      </c>
      <c r="AL340" s="1562"/>
      <c r="AM340" s="1544"/>
      <c r="AN340" s="1544" t="str">
        <f t="shared" si="5"/>
        <v>Добавить значение признака дифференциации</v>
      </c>
      <c r="AO340" s="1544"/>
      <c r="AP340" s="1544"/>
    </row>
    <row r="341" spans="1:42" s="1818" customFormat="1" ht="21" customHeight="1">
      <c r="A341" s="1284"/>
      <c r="B341" s="1284"/>
      <c r="C341" s="1284"/>
      <c r="D341" s="1284"/>
      <c r="E341" s="8884" t="s">
        <v>175</v>
      </c>
      <c r="F341" s="8884"/>
      <c r="G341" s="8884"/>
      <c r="H341" s="8884"/>
      <c r="I341" s="8881"/>
      <c r="J341" s="1284"/>
      <c r="K341" s="1284"/>
      <c r="L341" s="1290"/>
      <c r="M341" s="1696"/>
      <c r="N341" s="1696"/>
      <c r="O341" s="1696"/>
      <c r="P341" s="8882"/>
      <c r="Q341" s="1811"/>
      <c r="R341" s="277"/>
      <c r="S341" s="3167"/>
      <c r="T341" s="3168" t="s">
        <v>877</v>
      </c>
      <c r="U341" s="3169"/>
      <c r="V341" s="3170"/>
      <c r="W341" s="3171"/>
      <c r="X341" s="3172"/>
      <c r="Y341" s="3173"/>
      <c r="Z341" s="3174"/>
      <c r="AA341" s="3175"/>
      <c r="AB341" s="3176"/>
      <c r="AC341" s="3177"/>
      <c r="AD341" s="3178"/>
      <c r="AE341" s="3179"/>
      <c r="AF341" s="3180"/>
      <c r="AG341" s="3181"/>
      <c r="AH341" s="3182"/>
      <c r="AI341" s="3183"/>
      <c r="AJ341" s="3184"/>
      <c r="AK341" s="3185"/>
      <c r="AL341" s="1562"/>
      <c r="AM341" s="1544"/>
      <c r="AN341" s="1544" t="str">
        <f t="shared" si="5"/>
        <v>Добавить группу потребителей</v>
      </c>
      <c r="AO341" s="1544"/>
      <c r="AP341" s="1544"/>
    </row>
    <row r="342" spans="1:42" s="1818" customFormat="1" ht="21" customHeight="1">
      <c r="A342" s="1284"/>
      <c r="B342" s="1284"/>
      <c r="C342" s="1284"/>
      <c r="D342" s="1284"/>
      <c r="E342" s="8884" t="s">
        <v>175</v>
      </c>
      <c r="F342" s="8884"/>
      <c r="G342" s="8884"/>
      <c r="H342" s="8883"/>
      <c r="I342" s="1284"/>
      <c r="J342" s="1284"/>
      <c r="K342" s="1284"/>
      <c r="L342" s="1290"/>
      <c r="M342" s="1286"/>
      <c r="N342" s="1286"/>
      <c r="O342" s="1287"/>
      <c r="P342" s="1742"/>
      <c r="Q342" s="299"/>
      <c r="R342" s="276"/>
      <c r="S342" s="3186"/>
      <c r="T342" s="3187" t="s">
        <v>950</v>
      </c>
      <c r="U342" s="3188"/>
      <c r="V342" s="3189"/>
      <c r="W342" s="3190"/>
      <c r="X342" s="3191"/>
      <c r="Y342" s="3192"/>
      <c r="Z342" s="3193"/>
      <c r="AA342" s="3194"/>
      <c r="AB342" s="3195"/>
      <c r="AC342" s="3196"/>
      <c r="AD342" s="3197"/>
      <c r="AE342" s="3198"/>
      <c r="AF342" s="3199"/>
      <c r="AG342" s="3200"/>
      <c r="AH342" s="3201"/>
      <c r="AI342" s="3202"/>
      <c r="AJ342" s="3203"/>
      <c r="AK342" s="3204"/>
      <c r="AL342" s="1562"/>
      <c r="AM342" s="1544"/>
      <c r="AN342" s="1544" t="str">
        <f t="shared" si="5"/>
        <v>Добавить наименование признака дифференциации</v>
      </c>
      <c r="AO342" s="1544"/>
      <c r="AP342" s="1544"/>
    </row>
    <row r="343" spans="1:42" s="541" customFormat="1" ht="14.25" customHeight="1">
      <c r="A343" s="1265"/>
      <c r="B343" s="1265"/>
      <c r="C343" s="1265"/>
      <c r="D343" s="1265"/>
      <c r="E343" s="8884" t="s">
        <v>175</v>
      </c>
      <c r="F343" s="8883"/>
      <c r="G343" s="1265"/>
      <c r="H343" s="1265"/>
      <c r="I343" s="1265"/>
      <c r="J343" s="1265"/>
      <c r="K343" s="1265"/>
      <c r="L343" s="1466"/>
      <c r="M343" s="1244"/>
      <c r="N343" s="1244"/>
      <c r="O343" s="1562"/>
      <c r="P343" s="1239"/>
      <c r="Q343" s="1266"/>
      <c r="R343" s="1239"/>
      <c r="S343" s="1245"/>
      <c r="T343" s="1248" t="s">
        <v>314</v>
      </c>
      <c r="U343" s="1247"/>
      <c r="V343" s="1247"/>
      <c r="W343" s="1247"/>
      <c r="X343" s="1247"/>
      <c r="Y343" s="1247"/>
      <c r="Z343" s="1247"/>
      <c r="AA343" s="1247"/>
      <c r="AB343" s="1247"/>
      <c r="AC343" s="1247"/>
      <c r="AD343" s="1247"/>
      <c r="AE343" s="1247"/>
      <c r="AF343" s="1247"/>
      <c r="AG343" s="1247"/>
      <c r="AH343" s="1247"/>
      <c r="AI343" s="1247"/>
      <c r="AJ343" s="1247"/>
      <c r="AK343" s="1247"/>
      <c r="AL343" s="1562"/>
      <c r="AM343" s="1544"/>
      <c r="AN343" s="1544" t="str">
        <f t="shared" si="5"/>
        <v>Добавить централизованную систему для дифференциации</v>
      </c>
      <c r="AO343" s="1544"/>
      <c r="AP343" s="1544"/>
    </row>
    <row r="344" spans="1:42" s="541" customFormat="1" ht="14.25" customHeight="1">
      <c r="A344" s="1265"/>
      <c r="B344" s="1265"/>
      <c r="C344" s="1265"/>
      <c r="D344" s="1265"/>
      <c r="E344" s="8883" t="s">
        <v>175</v>
      </c>
      <c r="F344" s="1265"/>
      <c r="G344" s="1265"/>
      <c r="H344" s="1265"/>
      <c r="I344" s="1265"/>
      <c r="J344" s="1265"/>
      <c r="K344" s="1265"/>
      <c r="L344" s="1466"/>
      <c r="M344" s="1244"/>
      <c r="N344" s="1244"/>
      <c r="O344" s="1562"/>
      <c r="P344" s="1239"/>
      <c r="Q344" s="1266"/>
      <c r="R344" s="1239"/>
      <c r="S344" s="1245"/>
      <c r="T344" s="1248" t="s">
        <v>315</v>
      </c>
      <c r="U344" s="1247"/>
      <c r="V344" s="1247"/>
      <c r="W344" s="1247"/>
      <c r="X344" s="1247"/>
      <c r="Y344" s="1247"/>
      <c r="Z344" s="1247"/>
      <c r="AA344" s="1247"/>
      <c r="AB344" s="1247"/>
      <c r="AC344" s="1247"/>
      <c r="AD344" s="1247"/>
      <c r="AE344" s="1247"/>
      <c r="AF344" s="1247"/>
      <c r="AG344" s="1247"/>
      <c r="AH344" s="1247"/>
      <c r="AI344" s="1247"/>
      <c r="AJ344" s="1247"/>
      <c r="AK344" s="1247"/>
      <c r="AL344" s="1562"/>
      <c r="AM344" s="1544"/>
      <c r="AN344" s="1544" t="str">
        <f t="shared" si="5"/>
        <v>Добавить территорию для дифференциации</v>
      </c>
      <c r="AO344" s="1544"/>
      <c r="AP344" s="1544"/>
    </row>
    <row r="345" spans="1:42" s="1818" customFormat="1" ht="23.25" customHeight="1">
      <c r="A345" s="1284" t="s">
        <v>407</v>
      </c>
      <c r="B345" s="1284"/>
      <c r="C345" s="1284"/>
      <c r="D345" s="1284"/>
      <c r="E345" s="8883" t="s">
        <v>185</v>
      </c>
      <c r="F345" s="1284"/>
      <c r="G345" s="1284"/>
      <c r="H345" s="1284"/>
      <c r="I345" s="1284"/>
      <c r="J345" s="1284"/>
      <c r="K345" s="1284"/>
      <c r="L345" s="1290"/>
      <c r="M345" s="1286"/>
      <c r="N345" s="1286"/>
      <c r="O345" s="1286"/>
      <c r="P345" s="1812"/>
      <c r="Q345" s="1742"/>
      <c r="R345" s="276"/>
      <c r="S345" s="1810" t="str">
        <f>INDEX(PT_DIFFERENTIATION_NUM_NTAR,MATCH(A345,PT_DIFFERENTIATION_NTAR_ID,0))</f>
        <v>20</v>
      </c>
      <c r="T345" s="1440" t="s">
        <v>211</v>
      </c>
      <c r="U345" s="214"/>
      <c r="V345" s="8869"/>
      <c r="W345" s="8870"/>
      <c r="X345" s="8870"/>
      <c r="Y345" s="8870"/>
      <c r="Z345" s="8870"/>
      <c r="AA345" s="8870"/>
      <c r="AB345" s="8871"/>
      <c r="AC345" s="8869" t="str">
        <f>INDEX(PT_DIFFERENTIATION_NTAR,MATCH(A345,PT_DIFFERENTIATION_NTAR_ID,0))</f>
        <v>Подвоз воды потребителям хутора Моздокского</v>
      </c>
      <c r="AD345" s="8870"/>
      <c r="AE345" s="8870"/>
      <c r="AF345" s="8870"/>
      <c r="AG345" s="8870"/>
      <c r="AH345" s="8870"/>
      <c r="AI345" s="8870"/>
      <c r="AJ345" s="8871"/>
      <c r="AK34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345" s="1562"/>
      <c r="AM345" s="1544"/>
      <c r="AN345" s="1544" t="str">
        <f t="shared" si="5"/>
        <v>Наименование тарифа</v>
      </c>
      <c r="AO345" s="1544"/>
      <c r="AP345" s="1544"/>
    </row>
    <row r="346" spans="1:42" s="1818" customFormat="1" ht="23.25" customHeight="1">
      <c r="A346" s="1284"/>
      <c r="B346" s="1284" t="s">
        <v>408</v>
      </c>
      <c r="C346" s="1284"/>
      <c r="D346" s="1284"/>
      <c r="E346" s="8884" t="s">
        <v>180</v>
      </c>
      <c r="F346" s="8883">
        <v>1</v>
      </c>
      <c r="G346" s="1284"/>
      <c r="H346" s="1284"/>
      <c r="I346" s="1284"/>
      <c r="J346" s="1284"/>
      <c r="K346" s="1284"/>
      <c r="L346" s="1290"/>
      <c r="M346" s="1286"/>
      <c r="N346" s="1286"/>
      <c r="O346" s="1286"/>
      <c r="P346" s="1807"/>
      <c r="Q346" s="273"/>
      <c r="R346" s="274"/>
      <c r="S346" s="1810" t="str">
        <f>INDEX(PT_DIFFERENTIATION_NUM_TER,MATCH(B346,PT_DIFFERENTIATION_TER_ID,0))</f>
        <v>20.1</v>
      </c>
      <c r="T346" s="1437" t="s">
        <v>862</v>
      </c>
      <c r="U346" s="214"/>
      <c r="V346" s="8869"/>
      <c r="W346" s="8870"/>
      <c r="X346" s="8870"/>
      <c r="Y346" s="8870"/>
      <c r="Z346" s="8870"/>
      <c r="AA346" s="8870"/>
      <c r="AB346" s="8871"/>
      <c r="AC346" s="8869" t="str">
        <f>INDEX(PT_DIFFERENTIATION_TER,MATCH(B346,PT_DIFFERENTIATION_TER_ID,0))</f>
        <v>Территория 7</v>
      </c>
      <c r="AD346" s="8870"/>
      <c r="AE346" s="8870"/>
      <c r="AF346" s="8870"/>
      <c r="AG346" s="8870"/>
      <c r="AH346" s="8870"/>
      <c r="AI346" s="8870"/>
      <c r="AJ346" s="8871"/>
      <c r="AK346" s="1182" t="s">
        <v>863</v>
      </c>
      <c r="AL346" s="1562"/>
      <c r="AM346" s="1544"/>
      <c r="AN346" s="1544" t="str">
        <f t="shared" si="5"/>
        <v>Территория действия тарифа</v>
      </c>
      <c r="AO346" s="1544"/>
      <c r="AP346" s="1544"/>
    </row>
    <row r="347" spans="1:42" s="1818" customFormat="1" ht="23.25" customHeight="1">
      <c r="A347" s="1284"/>
      <c r="B347" s="1284"/>
      <c r="C347" s="1284" t="s">
        <v>409</v>
      </c>
      <c r="D347" s="1284"/>
      <c r="E347" s="8884" t="s">
        <v>180</v>
      </c>
      <c r="F347" s="8884"/>
      <c r="G347" s="8883">
        <v>1</v>
      </c>
      <c r="H347" s="1284"/>
      <c r="I347" s="1284"/>
      <c r="J347" s="1284"/>
      <c r="K347" s="1284"/>
      <c r="L347" s="1290"/>
      <c r="M347" s="1286"/>
      <c r="N347" s="1286"/>
      <c r="O347" s="1286"/>
      <c r="P347" s="275"/>
      <c r="Q347" s="273"/>
      <c r="R347" s="274"/>
      <c r="S347" s="1810" t="str">
        <f>INDEX(PT_DIFFERENTIATION_NUM_CS,MATCH(C347,PT_DIFFERENTIATION_CS_ID,0))</f>
        <v>20.1.1</v>
      </c>
      <c r="T347" s="225" t="s">
        <v>943</v>
      </c>
      <c r="U347" s="214"/>
      <c r="V347" s="8869"/>
      <c r="W347" s="8870"/>
      <c r="X347" s="8870"/>
      <c r="Y347" s="8870"/>
      <c r="Z347" s="8870"/>
      <c r="AA347" s="8870"/>
      <c r="AB347" s="8871"/>
      <c r="AC347" s="8869" t="str">
        <f>INDEX(PT_DIFFERENTIATION_CS,MATCH(C347,PT_DIFFERENTIATION_CS_ID,0))</f>
        <v>без дифференциации</v>
      </c>
      <c r="AD347" s="8870"/>
      <c r="AE347" s="8870"/>
      <c r="AF347" s="8870"/>
      <c r="AG347" s="8870"/>
      <c r="AH347" s="8870"/>
      <c r="AI347" s="8870"/>
      <c r="AJ347" s="8871"/>
      <c r="AK347" s="1182" t="s">
        <v>944</v>
      </c>
      <c r="AL347" s="1562"/>
      <c r="AM347" s="1544"/>
      <c r="AN347" s="1544" t="str">
        <f t="shared" si="5"/>
        <v>Наименование централизованной системы холодного водоснабжения</v>
      </c>
      <c r="AO347" s="1544"/>
      <c r="AP347" s="1544"/>
    </row>
    <row r="348" spans="1:42" s="1818" customFormat="1" ht="23.25" customHeight="1">
      <c r="A348" s="1284"/>
      <c r="B348" s="1284"/>
      <c r="C348" s="1284"/>
      <c r="D348" s="1284"/>
      <c r="E348" s="8884" t="s">
        <v>180</v>
      </c>
      <c r="F348" s="8884"/>
      <c r="G348" s="8884"/>
      <c r="H348" s="8884"/>
      <c r="I348" s="8881" t="str">
        <f>S347&amp;".1"</f>
        <v>20.1.1.1</v>
      </c>
      <c r="J348" s="1284"/>
      <c r="K348" s="1284"/>
      <c r="L348" s="1290"/>
      <c r="M348" s="1696"/>
      <c r="N348" s="1696"/>
      <c r="O348" s="1696"/>
      <c r="P348" s="8882">
        <v>1</v>
      </c>
      <c r="Q348" s="1811"/>
      <c r="R348" s="277"/>
      <c r="S348" s="1810" t="str">
        <f>$I348</f>
        <v>20.1.1.1</v>
      </c>
      <c r="T348" s="200" t="s">
        <v>945</v>
      </c>
      <c r="U348" s="214"/>
      <c r="V348" s="8942"/>
      <c r="W348" s="8943"/>
      <c r="X348" s="8943"/>
      <c r="Y348" s="8943"/>
      <c r="Z348" s="8943"/>
      <c r="AA348" s="8943"/>
      <c r="AB348" s="8944"/>
      <c r="AC348" s="8945"/>
      <c r="AD348" s="8946"/>
      <c r="AE348" s="8946"/>
      <c r="AF348" s="8946"/>
      <c r="AG348" s="8946"/>
      <c r="AH348" s="8946"/>
      <c r="AI348" s="8946"/>
      <c r="AJ348" s="8947"/>
      <c r="AK348" s="1182" t="s">
        <v>946</v>
      </c>
      <c r="AL348" s="1562"/>
      <c r="AM348" s="1544"/>
      <c r="AN348" s="1544" t="str">
        <f t="shared" si="5"/>
        <v>Наименование признака дифференциации</v>
      </c>
      <c r="AO348" s="1544"/>
      <c r="AP348" s="1544"/>
    </row>
    <row r="349" spans="1:42" s="1818" customFormat="1" ht="23.25" customHeight="1">
      <c r="A349" s="1284"/>
      <c r="B349" s="1284"/>
      <c r="C349" s="1284"/>
      <c r="D349" s="1284"/>
      <c r="E349" s="8884" t="s">
        <v>180</v>
      </c>
      <c r="F349" s="8884"/>
      <c r="G349" s="8884"/>
      <c r="H349" s="8884"/>
      <c r="I349" s="8904"/>
      <c r="J349" s="8881" t="str">
        <f>I348&amp;".1"</f>
        <v>20.1.1.1.1</v>
      </c>
      <c r="K349" s="1284"/>
      <c r="L349" s="1290" t="s">
        <v>871</v>
      </c>
      <c r="M349" s="1696"/>
      <c r="N349" s="1696"/>
      <c r="O349" s="1696"/>
      <c r="P349" s="8882"/>
      <c r="Q349" s="8882">
        <v>1</v>
      </c>
      <c r="R349" s="278"/>
      <c r="S349" s="1810" t="str">
        <f>$J349</f>
        <v>20.1.1.1.1</v>
      </c>
      <c r="T349" s="201" t="s">
        <v>872</v>
      </c>
      <c r="U349" s="214"/>
      <c r="V349" s="8872"/>
      <c r="W349" s="8873"/>
      <c r="X349" s="8873"/>
      <c r="Y349" s="8873"/>
      <c r="Z349" s="8873"/>
      <c r="AA349" s="8873"/>
      <c r="AB349" s="8874"/>
      <c r="AC349" s="8872" t="s">
        <v>961</v>
      </c>
      <c r="AD349" s="8873"/>
      <c r="AE349" s="8873"/>
      <c r="AF349" s="8873"/>
      <c r="AG349" s="8873"/>
      <c r="AH349" s="8873"/>
      <c r="AI349" s="8873"/>
      <c r="AJ349" s="8874"/>
      <c r="AK349" s="1231" t="s">
        <v>947</v>
      </c>
      <c r="AL349" s="1562"/>
      <c r="AM349" s="1544"/>
      <c r="AN349" s="1544" t="str">
        <f t="shared" si="5"/>
        <v>Группа потребителей</v>
      </c>
      <c r="AO349" s="1544"/>
      <c r="AP349" s="1544"/>
    </row>
    <row r="350" spans="1:42" s="1818" customFormat="1" ht="23.25" customHeight="1">
      <c r="A350" s="1284"/>
      <c r="B350" s="1284"/>
      <c r="C350" s="1284"/>
      <c r="D350" s="1284"/>
      <c r="E350" s="8884" t="s">
        <v>180</v>
      </c>
      <c r="F350" s="8884"/>
      <c r="G350" s="8884"/>
      <c r="H350" s="8884"/>
      <c r="I350" s="8904"/>
      <c r="J350" s="8904"/>
      <c r="K350" s="8881" t="str">
        <f>J349&amp;".1"</f>
        <v>20.1.1.1.1.1</v>
      </c>
      <c r="L350" s="1290"/>
      <c r="M350" s="1696"/>
      <c r="N350" s="1696"/>
      <c r="O350" s="1696"/>
      <c r="P350" s="8882"/>
      <c r="Q350" s="8882"/>
      <c r="R350" s="278">
        <v>1</v>
      </c>
      <c r="S350" s="1810" t="str">
        <f>$K350</f>
        <v>20.1.1.1.1.1</v>
      </c>
      <c r="T350" s="1357" t="s">
        <v>962</v>
      </c>
      <c r="U350" s="214"/>
      <c r="V350" s="666"/>
      <c r="W350" s="666"/>
      <c r="X350" s="1181"/>
      <c r="Y350" s="8886"/>
      <c r="Z350" s="8734" t="s">
        <v>63</v>
      </c>
      <c r="AA350" s="8886"/>
      <c r="AB350" s="8734" t="s">
        <v>63</v>
      </c>
      <c r="AC350" s="666">
        <v>335.69</v>
      </c>
      <c r="AD350" s="666"/>
      <c r="AE350" s="1181"/>
      <c r="AF350" s="8886">
        <v>45292</v>
      </c>
      <c r="AG350" s="8734" t="s">
        <v>63</v>
      </c>
      <c r="AH350" s="8905">
        <v>45657</v>
      </c>
      <c r="AI350" s="8734" t="s">
        <v>63</v>
      </c>
      <c r="AJ350" s="1358"/>
      <c r="AK35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50" s="1562" t="e">
        <f ca="1">STRCHECKDATE(V351:AJ351)</f>
        <v>#NAME?</v>
      </c>
      <c r="AM350" s="1544"/>
      <c r="AN350" s="1544" t="str">
        <f t="shared" si="5"/>
        <v>Тариф для населения, руб. за 1 куб. метр с НДС</v>
      </c>
      <c r="AO350" s="1544"/>
      <c r="AP350" s="1544"/>
    </row>
    <row r="351" spans="1:42" s="1818" customFormat="1" ht="14.25" customHeight="1">
      <c r="A351" s="1284"/>
      <c r="B351" s="1284"/>
      <c r="C351" s="1284"/>
      <c r="D351" s="1284"/>
      <c r="E351" s="8884" t="s">
        <v>180</v>
      </c>
      <c r="F351" s="8884"/>
      <c r="G351" s="8884"/>
      <c r="H351" s="8884"/>
      <c r="I351" s="8904"/>
      <c r="J351" s="8904"/>
      <c r="K351" s="8881"/>
      <c r="L351" s="1290"/>
      <c r="M351" s="1696"/>
      <c r="N351" s="1696"/>
      <c r="O351" s="1696"/>
      <c r="P351" s="8882"/>
      <c r="Q351" s="8882"/>
      <c r="R351" s="278"/>
      <c r="S351" s="1815"/>
      <c r="T351" s="214"/>
      <c r="U351" s="214"/>
      <c r="V351" s="246"/>
      <c r="W351" s="246"/>
      <c r="X351" s="250" t="str">
        <f>Y350&amp;"-"&amp;AA350</f>
        <v>-</v>
      </c>
      <c r="Y351" s="8887"/>
      <c r="Z351" s="8734"/>
      <c r="AA351" s="8887"/>
      <c r="AB351" s="8734"/>
      <c r="AC351" s="246"/>
      <c r="AD351" s="246"/>
      <c r="AE351" s="250" t="str">
        <f>AF350&amp;"-"&amp;AH350</f>
        <v>45292-45657</v>
      </c>
      <c r="AF351" s="8887"/>
      <c r="AG351" s="8734"/>
      <c r="AH351" s="8906"/>
      <c r="AI351" s="8734"/>
      <c r="AJ351" s="1359"/>
      <c r="AK351" s="8941"/>
      <c r="AL351" s="1562"/>
      <c r="AM351" s="1544"/>
      <c r="AN351" s="1544" t="str">
        <f t="shared" si="5"/>
        <v/>
      </c>
      <c r="AO351" s="1544"/>
      <c r="AP351" s="1544"/>
    </row>
    <row r="352" spans="1:42" s="1818" customFormat="1" ht="21" customHeight="1">
      <c r="A352" s="1284"/>
      <c r="B352" s="1284"/>
      <c r="C352" s="1284"/>
      <c r="D352" s="1284"/>
      <c r="E352" s="8884" t="s">
        <v>180</v>
      </c>
      <c r="F352" s="8884"/>
      <c r="G352" s="8884"/>
      <c r="H352" s="8884"/>
      <c r="I352" s="8904"/>
      <c r="J352" s="8881"/>
      <c r="K352" s="1284"/>
      <c r="L352" s="1290"/>
      <c r="M352" s="1696"/>
      <c r="N352" s="1696"/>
      <c r="O352" s="1696"/>
      <c r="P352" s="8882"/>
      <c r="Q352" s="8882"/>
      <c r="R352" s="277"/>
      <c r="S352" s="3205"/>
      <c r="T352" s="3206" t="s">
        <v>948</v>
      </c>
      <c r="U352" s="3207"/>
      <c r="V352" s="3208"/>
      <c r="W352" s="3209"/>
      <c r="X352" s="3210"/>
      <c r="Y352" s="3211"/>
      <c r="Z352" s="3212"/>
      <c r="AA352" s="3213"/>
      <c r="AB352" s="3214"/>
      <c r="AC352" s="3215"/>
      <c r="AD352" s="3216"/>
      <c r="AE352" s="3217"/>
      <c r="AF352" s="3218"/>
      <c r="AG352" s="3219"/>
      <c r="AH352" s="3220"/>
      <c r="AI352" s="3221"/>
      <c r="AJ352" s="3222"/>
      <c r="AK352" s="1182" t="s">
        <v>949</v>
      </c>
      <c r="AL352" s="1562"/>
      <c r="AM352" s="1544"/>
      <c r="AN352" s="1544" t="str">
        <f t="shared" si="5"/>
        <v>Добавить значение признака дифференциации</v>
      </c>
      <c r="AO352" s="1544"/>
      <c r="AP352" s="1544"/>
    </row>
    <row r="353" spans="1:42" s="1818" customFormat="1" ht="23.25" customHeight="1">
      <c r="A353" s="1284"/>
      <c r="B353" s="1284"/>
      <c r="C353" s="1284"/>
      <c r="D353" s="1284"/>
      <c r="E353" s="8884"/>
      <c r="F353" s="8884"/>
      <c r="G353" s="8884"/>
      <c r="H353" s="8884"/>
      <c r="I353" s="8904"/>
      <c r="J353" s="8881" t="str">
        <f>I348&amp;".2"</f>
        <v>20.1.1.1.2</v>
      </c>
      <c r="K353" s="1284"/>
      <c r="L353" s="1290" t="s">
        <v>871</v>
      </c>
      <c r="M353" s="1696"/>
      <c r="N353" s="1696"/>
      <c r="O353" s="1696"/>
      <c r="P353" s="8882"/>
      <c r="Q353" s="8948" t="s">
        <v>100</v>
      </c>
      <c r="R353" s="278"/>
      <c r="S353" s="1810" t="str">
        <f>$J353</f>
        <v>20.1.1.1.2</v>
      </c>
      <c r="T353" s="201" t="s">
        <v>872</v>
      </c>
      <c r="U353" s="214"/>
      <c r="V353" s="8872"/>
      <c r="W353" s="8873"/>
      <c r="X353" s="8873"/>
      <c r="Y353" s="8873"/>
      <c r="Z353" s="8873"/>
      <c r="AA353" s="8873"/>
      <c r="AB353" s="8874"/>
      <c r="AC353" s="8872" t="s">
        <v>963</v>
      </c>
      <c r="AD353" s="8873"/>
      <c r="AE353" s="8873"/>
      <c r="AF353" s="8873"/>
      <c r="AG353" s="8873"/>
      <c r="AH353" s="8873"/>
      <c r="AI353" s="8873"/>
      <c r="AJ353" s="8874"/>
      <c r="AK353" s="1231" t="s">
        <v>947</v>
      </c>
      <c r="AL353" s="1562"/>
      <c r="AM353" s="1544"/>
      <c r="AN353" s="1544" t="str">
        <f t="shared" si="5"/>
        <v>Группа потребителей</v>
      </c>
      <c r="AO353" s="1544"/>
      <c r="AP353" s="1544"/>
    </row>
    <row r="354" spans="1:42" s="1818" customFormat="1" ht="23.25" customHeight="1">
      <c r="A354" s="1284"/>
      <c r="B354" s="1284"/>
      <c r="C354" s="1284"/>
      <c r="D354" s="1284"/>
      <c r="E354" s="8884"/>
      <c r="F354" s="8884"/>
      <c r="G354" s="8884"/>
      <c r="H354" s="8884"/>
      <c r="I354" s="8904"/>
      <c r="J354" s="8904" t="str">
        <f>I348&amp;".1"</f>
        <v>20.1.1.1.1</v>
      </c>
      <c r="K354" s="8881" t="str">
        <f>J353&amp;".1"</f>
        <v>20.1.1.1.2.1</v>
      </c>
      <c r="L354" s="1290"/>
      <c r="M354" s="1696"/>
      <c r="N354" s="1696"/>
      <c r="O354" s="1696"/>
      <c r="P354" s="8882"/>
      <c r="Q354" s="8882"/>
      <c r="R354" s="278">
        <v>1</v>
      </c>
      <c r="S354" s="1810" t="str">
        <f>$K354</f>
        <v>20.1.1.1.2.1</v>
      </c>
      <c r="T354" s="1357" t="s">
        <v>964</v>
      </c>
      <c r="U354" s="214"/>
      <c r="V354" s="666"/>
      <c r="W354" s="666"/>
      <c r="X354" s="1181"/>
      <c r="Y354" s="8886"/>
      <c r="Z354" s="8734" t="s">
        <v>63</v>
      </c>
      <c r="AA354" s="8886"/>
      <c r="AB354" s="8734" t="s">
        <v>63</v>
      </c>
      <c r="AC354" s="666">
        <v>279.74</v>
      </c>
      <c r="AD354" s="666"/>
      <c r="AE354" s="1181"/>
      <c r="AF354" s="8886">
        <v>45292</v>
      </c>
      <c r="AG354" s="8734" t="s">
        <v>63</v>
      </c>
      <c r="AH354" s="8905">
        <v>45657</v>
      </c>
      <c r="AI354" s="8734" t="s">
        <v>63</v>
      </c>
      <c r="AJ354" s="1358"/>
      <c r="AK35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54" s="1562" t="e">
        <f ca="1">STRCHECKDATE(V355:AJ355)</f>
        <v>#NAME?</v>
      </c>
      <c r="AM354" s="1544"/>
      <c r="AN354" s="1544" t="str">
        <f t="shared" si="5"/>
        <v>Тариф, руб. за 1 куб. метр без НДС</v>
      </c>
      <c r="AO354" s="1544"/>
      <c r="AP354" s="1544"/>
    </row>
    <row r="355" spans="1:42" s="1818" customFormat="1" ht="14.25" customHeight="1">
      <c r="A355" s="1284"/>
      <c r="B355" s="1284"/>
      <c r="C355" s="1284"/>
      <c r="D355" s="1284"/>
      <c r="E355" s="8884"/>
      <c r="F355" s="8884"/>
      <c r="G355" s="8884"/>
      <c r="H355" s="8884"/>
      <c r="I355" s="8904"/>
      <c r="J355" s="8904" t="str">
        <f>I348&amp;".1"</f>
        <v>20.1.1.1.1</v>
      </c>
      <c r="K355" s="8881"/>
      <c r="L355" s="1290"/>
      <c r="M355" s="1696"/>
      <c r="N355" s="1696"/>
      <c r="O355" s="1696"/>
      <c r="P355" s="8882"/>
      <c r="Q355" s="8882"/>
      <c r="R355" s="278"/>
      <c r="S355" s="1815"/>
      <c r="T355" s="214"/>
      <c r="U355" s="214"/>
      <c r="V355" s="246"/>
      <c r="W355" s="246"/>
      <c r="X355" s="250" t="str">
        <f>Y354&amp;"-"&amp;AA354</f>
        <v>-</v>
      </c>
      <c r="Y355" s="8887"/>
      <c r="Z355" s="8734"/>
      <c r="AA355" s="8887"/>
      <c r="AB355" s="8734"/>
      <c r="AC355" s="246"/>
      <c r="AD355" s="246"/>
      <c r="AE355" s="250" t="str">
        <f>AF354&amp;"-"&amp;AH354</f>
        <v>45292-45657</v>
      </c>
      <c r="AF355" s="8887"/>
      <c r="AG355" s="8734"/>
      <c r="AH355" s="8906"/>
      <c r="AI355" s="8734"/>
      <c r="AJ355" s="1359"/>
      <c r="AK355" s="8941"/>
      <c r="AL355" s="1562"/>
      <c r="AM355" s="1544"/>
      <c r="AN355" s="1544" t="str">
        <f t="shared" si="5"/>
        <v/>
      </c>
      <c r="AO355" s="1544"/>
      <c r="AP355" s="1544"/>
    </row>
    <row r="356" spans="1:42" s="1818" customFormat="1" ht="21" customHeight="1">
      <c r="A356" s="1284"/>
      <c r="B356" s="1284"/>
      <c r="C356" s="1284"/>
      <c r="D356" s="1284"/>
      <c r="E356" s="8884"/>
      <c r="F356" s="8884"/>
      <c r="G356" s="8884"/>
      <c r="H356" s="8884"/>
      <c r="I356" s="8904"/>
      <c r="J356" s="8881" t="str">
        <f>I348&amp;".1"</f>
        <v>20.1.1.1.1</v>
      </c>
      <c r="K356" s="1284"/>
      <c r="L356" s="1290"/>
      <c r="M356" s="1696"/>
      <c r="N356" s="1696"/>
      <c r="O356" s="1696"/>
      <c r="P356" s="8882"/>
      <c r="Q356" s="8882"/>
      <c r="R356" s="277"/>
      <c r="S356" s="3223"/>
      <c r="T356" s="3224" t="s">
        <v>948</v>
      </c>
      <c r="U356" s="3225"/>
      <c r="V356" s="3226"/>
      <c r="W356" s="3227"/>
      <c r="X356" s="3228"/>
      <c r="Y356" s="3229"/>
      <c r="Z356" s="3230"/>
      <c r="AA356" s="3231"/>
      <c r="AB356" s="3232"/>
      <c r="AC356" s="3233"/>
      <c r="AD356" s="3234"/>
      <c r="AE356" s="3235"/>
      <c r="AF356" s="3236"/>
      <c r="AG356" s="3237"/>
      <c r="AH356" s="3238"/>
      <c r="AI356" s="3239"/>
      <c r="AJ356" s="3240"/>
      <c r="AK356" s="1182" t="s">
        <v>949</v>
      </c>
      <c r="AL356" s="1562"/>
      <c r="AM356" s="1544"/>
      <c r="AN356" s="1544" t="str">
        <f t="shared" si="5"/>
        <v>Добавить значение признака дифференциации</v>
      </c>
      <c r="AO356" s="1544"/>
      <c r="AP356" s="1544"/>
    </row>
    <row r="357" spans="1:42" s="1818" customFormat="1" ht="21" customHeight="1">
      <c r="A357" s="1284"/>
      <c r="B357" s="1284"/>
      <c r="C357" s="1284"/>
      <c r="D357" s="1284"/>
      <c r="E357" s="8884" t="s">
        <v>180</v>
      </c>
      <c r="F357" s="8884"/>
      <c r="G357" s="8884"/>
      <c r="H357" s="8884"/>
      <c r="I357" s="8881"/>
      <c r="J357" s="1284"/>
      <c r="K357" s="1284"/>
      <c r="L357" s="1290"/>
      <c r="M357" s="1696"/>
      <c r="N357" s="1696"/>
      <c r="O357" s="1696"/>
      <c r="P357" s="8882"/>
      <c r="Q357" s="1811"/>
      <c r="R357" s="277"/>
      <c r="S357" s="3241"/>
      <c r="T357" s="3242" t="s">
        <v>877</v>
      </c>
      <c r="U357" s="3243"/>
      <c r="V357" s="3244"/>
      <c r="W357" s="3245"/>
      <c r="X357" s="3246"/>
      <c r="Y357" s="3247"/>
      <c r="Z357" s="3248"/>
      <c r="AA357" s="3249"/>
      <c r="AB357" s="3250"/>
      <c r="AC357" s="3251"/>
      <c r="AD357" s="3252"/>
      <c r="AE357" s="3253"/>
      <c r="AF357" s="3254"/>
      <c r="AG357" s="3255"/>
      <c r="AH357" s="3256"/>
      <c r="AI357" s="3257"/>
      <c r="AJ357" s="3258"/>
      <c r="AK357" s="3259"/>
      <c r="AL357" s="1562"/>
      <c r="AM357" s="1544"/>
      <c r="AN357" s="1544" t="str">
        <f t="shared" si="5"/>
        <v>Добавить группу потребителей</v>
      </c>
      <c r="AO357" s="1544"/>
      <c r="AP357" s="1544"/>
    </row>
    <row r="358" spans="1:42" s="1818" customFormat="1" ht="21" customHeight="1">
      <c r="A358" s="1284"/>
      <c r="B358" s="1284"/>
      <c r="C358" s="1284"/>
      <c r="D358" s="1284"/>
      <c r="E358" s="8884" t="s">
        <v>180</v>
      </c>
      <c r="F358" s="8884"/>
      <c r="G358" s="8884"/>
      <c r="H358" s="8883"/>
      <c r="I358" s="1284"/>
      <c r="J358" s="1284"/>
      <c r="K358" s="1284"/>
      <c r="L358" s="1290"/>
      <c r="M358" s="1286"/>
      <c r="N358" s="1286"/>
      <c r="O358" s="1287"/>
      <c r="P358" s="1742"/>
      <c r="Q358" s="299"/>
      <c r="R358" s="276"/>
      <c r="S358" s="3260"/>
      <c r="T358" s="3261" t="s">
        <v>950</v>
      </c>
      <c r="U358" s="3262"/>
      <c r="V358" s="3263"/>
      <c r="W358" s="3264"/>
      <c r="X358" s="3265"/>
      <c r="Y358" s="3266"/>
      <c r="Z358" s="3267"/>
      <c r="AA358" s="3268"/>
      <c r="AB358" s="3269"/>
      <c r="AC358" s="3270"/>
      <c r="AD358" s="3271"/>
      <c r="AE358" s="3272"/>
      <c r="AF358" s="3273"/>
      <c r="AG358" s="3274"/>
      <c r="AH358" s="3275"/>
      <c r="AI358" s="3276"/>
      <c r="AJ358" s="3277"/>
      <c r="AK358" s="3278"/>
      <c r="AL358" s="1562"/>
      <c r="AM358" s="1544"/>
      <c r="AN358" s="1544" t="str">
        <f t="shared" si="5"/>
        <v>Добавить наименование признака дифференциации</v>
      </c>
      <c r="AO358" s="1544"/>
      <c r="AP358" s="1544"/>
    </row>
    <row r="359" spans="1:42" s="541" customFormat="1" ht="14.25" customHeight="1">
      <c r="A359" s="1265"/>
      <c r="B359" s="1265"/>
      <c r="C359" s="1265"/>
      <c r="D359" s="1265"/>
      <c r="E359" s="8884" t="s">
        <v>180</v>
      </c>
      <c r="F359" s="8883"/>
      <c r="G359" s="1265"/>
      <c r="H359" s="1265"/>
      <c r="I359" s="1265"/>
      <c r="J359" s="1265"/>
      <c r="K359" s="1265"/>
      <c r="L359" s="1466"/>
      <c r="M359" s="1244"/>
      <c r="N359" s="1244"/>
      <c r="O359" s="1562"/>
      <c r="P359" s="1239"/>
      <c r="Q359" s="1266"/>
      <c r="R359" s="1239"/>
      <c r="S359" s="1245"/>
      <c r="T359" s="1248" t="s">
        <v>314</v>
      </c>
      <c r="U359" s="1247"/>
      <c r="V359" s="1247"/>
      <c r="W359" s="1247"/>
      <c r="X359" s="1247"/>
      <c r="Y359" s="1247"/>
      <c r="Z359" s="1247"/>
      <c r="AA359" s="1247"/>
      <c r="AB359" s="1247"/>
      <c r="AC359" s="1247"/>
      <c r="AD359" s="1247"/>
      <c r="AE359" s="1247"/>
      <c r="AF359" s="1247"/>
      <c r="AG359" s="1247"/>
      <c r="AH359" s="1247"/>
      <c r="AI359" s="1247"/>
      <c r="AJ359" s="1247"/>
      <c r="AK359" s="1247"/>
      <c r="AL359" s="1562"/>
      <c r="AM359" s="1544"/>
      <c r="AN359" s="1544" t="str">
        <f t="shared" si="5"/>
        <v>Добавить централизованную систему для дифференциации</v>
      </c>
      <c r="AO359" s="1544"/>
      <c r="AP359" s="1544"/>
    </row>
    <row r="360" spans="1:42" s="541" customFormat="1" ht="14.25" customHeight="1">
      <c r="A360" s="1265"/>
      <c r="B360" s="1265"/>
      <c r="C360" s="1265"/>
      <c r="D360" s="1265"/>
      <c r="E360" s="8883" t="s">
        <v>180</v>
      </c>
      <c r="F360" s="1265"/>
      <c r="G360" s="1265"/>
      <c r="H360" s="1265"/>
      <c r="I360" s="1265"/>
      <c r="J360" s="1265"/>
      <c r="K360" s="1265"/>
      <c r="L360" s="1466"/>
      <c r="M360" s="1244"/>
      <c r="N360" s="1244"/>
      <c r="O360" s="1562"/>
      <c r="P360" s="1239"/>
      <c r="Q360" s="1266"/>
      <c r="R360" s="1239"/>
      <c r="S360" s="1245"/>
      <c r="T360" s="1248" t="s">
        <v>315</v>
      </c>
      <c r="U360" s="1247"/>
      <c r="V360" s="1247"/>
      <c r="W360" s="1247"/>
      <c r="X360" s="1247"/>
      <c r="Y360" s="1247"/>
      <c r="Z360" s="1247"/>
      <c r="AA360" s="1247"/>
      <c r="AB360" s="1247"/>
      <c r="AC360" s="1247"/>
      <c r="AD360" s="1247"/>
      <c r="AE360" s="1247"/>
      <c r="AF360" s="1247"/>
      <c r="AG360" s="1247"/>
      <c r="AH360" s="1247"/>
      <c r="AI360" s="1247"/>
      <c r="AJ360" s="1247"/>
      <c r="AK360" s="1247"/>
      <c r="AL360" s="1562"/>
      <c r="AM360" s="1544"/>
      <c r="AN360" s="1544" t="str">
        <f t="shared" si="5"/>
        <v>Добавить территорию для дифференциации</v>
      </c>
      <c r="AO360" s="1544"/>
      <c r="AP360" s="1544"/>
    </row>
    <row r="361" spans="1:42" s="1818" customFormat="1" ht="23.25" customHeight="1">
      <c r="A361" s="1284" t="s">
        <v>412</v>
      </c>
      <c r="B361" s="1284"/>
      <c r="C361" s="1284"/>
      <c r="D361" s="1284"/>
      <c r="E361" s="8883" t="s">
        <v>190</v>
      </c>
      <c r="F361" s="1284"/>
      <c r="G361" s="1284"/>
      <c r="H361" s="1284"/>
      <c r="I361" s="1284"/>
      <c r="J361" s="1284"/>
      <c r="K361" s="1284"/>
      <c r="L361" s="1290"/>
      <c r="M361" s="1286"/>
      <c r="N361" s="1286"/>
      <c r="O361" s="1286"/>
      <c r="P361" s="1812"/>
      <c r="Q361" s="1742"/>
      <c r="R361" s="276"/>
      <c r="S361" s="1810" t="str">
        <f>INDEX(PT_DIFFERENTIATION_NUM_NTAR,MATCH(A361,PT_DIFFERENTIATION_NTAR_ID,0))</f>
        <v>21</v>
      </c>
      <c r="T361" s="1440" t="s">
        <v>211</v>
      </c>
      <c r="U361" s="214"/>
      <c r="V361" s="8869"/>
      <c r="W361" s="8870"/>
      <c r="X361" s="8870"/>
      <c r="Y361" s="8870"/>
      <c r="Z361" s="8870"/>
      <c r="AA361" s="8870"/>
      <c r="AB361" s="8871"/>
      <c r="AC361" s="8869" t="str">
        <f>INDEX(PT_DIFFERENTIATION_NTAR,MATCH(A361,PT_DIFFERENTIATION_NTAR_ID,0))</f>
        <v>Подвоз воды потребителям поселка Южанин</v>
      </c>
      <c r="AD361" s="8870"/>
      <c r="AE361" s="8870"/>
      <c r="AF361" s="8870"/>
      <c r="AG361" s="8870"/>
      <c r="AH361" s="8870"/>
      <c r="AI361" s="8870"/>
      <c r="AJ361" s="8871"/>
      <c r="AK36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361" s="1562"/>
      <c r="AM361" s="1544"/>
      <c r="AN361" s="1544" t="str">
        <f t="shared" ref="AN361:AN424" si="6">IF(T361="","",T361)</f>
        <v>Наименование тарифа</v>
      </c>
      <c r="AO361" s="1544"/>
      <c r="AP361" s="1544"/>
    </row>
    <row r="362" spans="1:42" s="1818" customFormat="1" ht="23.25" customHeight="1">
      <c r="A362" s="1284"/>
      <c r="B362" s="1284" t="s">
        <v>413</v>
      </c>
      <c r="C362" s="1284"/>
      <c r="D362" s="1284"/>
      <c r="E362" s="8884" t="s">
        <v>185</v>
      </c>
      <c r="F362" s="8883">
        <v>1</v>
      </c>
      <c r="G362" s="1284"/>
      <c r="H362" s="1284"/>
      <c r="I362" s="1284"/>
      <c r="J362" s="1284"/>
      <c r="K362" s="1284"/>
      <c r="L362" s="1290"/>
      <c r="M362" s="1286"/>
      <c r="N362" s="1286"/>
      <c r="O362" s="1286"/>
      <c r="P362" s="1807"/>
      <c r="Q362" s="273"/>
      <c r="R362" s="274"/>
      <c r="S362" s="1810" t="str">
        <f>INDEX(PT_DIFFERENTIATION_NUM_TER,MATCH(B362,PT_DIFFERENTIATION_TER_ID,0))</f>
        <v>21.1</v>
      </c>
      <c r="T362" s="1437" t="s">
        <v>862</v>
      </c>
      <c r="U362" s="214"/>
      <c r="V362" s="8869"/>
      <c r="W362" s="8870"/>
      <c r="X362" s="8870"/>
      <c r="Y362" s="8870"/>
      <c r="Z362" s="8870"/>
      <c r="AA362" s="8870"/>
      <c r="AB362" s="8871"/>
      <c r="AC362" s="8869" t="str">
        <f>INDEX(PT_DIFFERENTIATION_TER,MATCH(B362,PT_DIFFERENTIATION_TER_ID,0))</f>
        <v>Территория 7</v>
      </c>
      <c r="AD362" s="8870"/>
      <c r="AE362" s="8870"/>
      <c r="AF362" s="8870"/>
      <c r="AG362" s="8870"/>
      <c r="AH362" s="8870"/>
      <c r="AI362" s="8870"/>
      <c r="AJ362" s="8871"/>
      <c r="AK362" s="1182" t="s">
        <v>863</v>
      </c>
      <c r="AL362" s="1562"/>
      <c r="AM362" s="1544"/>
      <c r="AN362" s="1544" t="str">
        <f t="shared" si="6"/>
        <v>Территория действия тарифа</v>
      </c>
      <c r="AO362" s="1544"/>
      <c r="AP362" s="1544"/>
    </row>
    <row r="363" spans="1:42" s="1818" customFormat="1" ht="23.25" customHeight="1">
      <c r="A363" s="1284"/>
      <c r="B363" s="1284"/>
      <c r="C363" s="1284" t="s">
        <v>414</v>
      </c>
      <c r="D363" s="1284"/>
      <c r="E363" s="8884" t="s">
        <v>185</v>
      </c>
      <c r="F363" s="8884"/>
      <c r="G363" s="8883">
        <v>1</v>
      </c>
      <c r="H363" s="1284"/>
      <c r="I363" s="1284"/>
      <c r="J363" s="1284"/>
      <c r="K363" s="1284"/>
      <c r="L363" s="1290"/>
      <c r="M363" s="1286"/>
      <c r="N363" s="1286"/>
      <c r="O363" s="1286"/>
      <c r="P363" s="275"/>
      <c r="Q363" s="273"/>
      <c r="R363" s="274"/>
      <c r="S363" s="1810" t="str">
        <f>INDEX(PT_DIFFERENTIATION_NUM_CS,MATCH(C363,PT_DIFFERENTIATION_CS_ID,0))</f>
        <v>21.1.1</v>
      </c>
      <c r="T363" s="225" t="s">
        <v>943</v>
      </c>
      <c r="U363" s="214"/>
      <c r="V363" s="8869"/>
      <c r="W363" s="8870"/>
      <c r="X363" s="8870"/>
      <c r="Y363" s="8870"/>
      <c r="Z363" s="8870"/>
      <c r="AA363" s="8870"/>
      <c r="AB363" s="8871"/>
      <c r="AC363" s="8869" t="str">
        <f>INDEX(PT_DIFFERENTIATION_CS,MATCH(C363,PT_DIFFERENTIATION_CS_ID,0))</f>
        <v>без дифференциации</v>
      </c>
      <c r="AD363" s="8870"/>
      <c r="AE363" s="8870"/>
      <c r="AF363" s="8870"/>
      <c r="AG363" s="8870"/>
      <c r="AH363" s="8870"/>
      <c r="AI363" s="8870"/>
      <c r="AJ363" s="8871"/>
      <c r="AK363" s="1182" t="s">
        <v>944</v>
      </c>
      <c r="AL363" s="1562"/>
      <c r="AM363" s="1544"/>
      <c r="AN363" s="1544" t="str">
        <f t="shared" si="6"/>
        <v>Наименование централизованной системы холодного водоснабжения</v>
      </c>
      <c r="AO363" s="1544"/>
      <c r="AP363" s="1544"/>
    </row>
    <row r="364" spans="1:42" s="1818" customFormat="1" ht="23.25" customHeight="1">
      <c r="A364" s="1284"/>
      <c r="B364" s="1284"/>
      <c r="C364" s="1284"/>
      <c r="D364" s="1284"/>
      <c r="E364" s="8884" t="s">
        <v>185</v>
      </c>
      <c r="F364" s="8884"/>
      <c r="G364" s="8884"/>
      <c r="H364" s="8884"/>
      <c r="I364" s="8881" t="str">
        <f>S363&amp;".1"</f>
        <v>21.1.1.1</v>
      </c>
      <c r="J364" s="1284"/>
      <c r="K364" s="1284"/>
      <c r="L364" s="1290"/>
      <c r="M364" s="1696"/>
      <c r="N364" s="1696"/>
      <c r="O364" s="1696"/>
      <c r="P364" s="8882">
        <v>1</v>
      </c>
      <c r="Q364" s="1811"/>
      <c r="R364" s="277"/>
      <c r="S364" s="1810" t="str">
        <f>$I364</f>
        <v>21.1.1.1</v>
      </c>
      <c r="T364" s="200" t="s">
        <v>945</v>
      </c>
      <c r="U364" s="214"/>
      <c r="V364" s="8942"/>
      <c r="W364" s="8943"/>
      <c r="X364" s="8943"/>
      <c r="Y364" s="8943"/>
      <c r="Z364" s="8943"/>
      <c r="AA364" s="8943"/>
      <c r="AB364" s="8944"/>
      <c r="AC364" s="8945"/>
      <c r="AD364" s="8946"/>
      <c r="AE364" s="8946"/>
      <c r="AF364" s="8946"/>
      <c r="AG364" s="8946"/>
      <c r="AH364" s="8946"/>
      <c r="AI364" s="8946"/>
      <c r="AJ364" s="8947"/>
      <c r="AK364" s="1182" t="s">
        <v>946</v>
      </c>
      <c r="AL364" s="1562"/>
      <c r="AM364" s="1544"/>
      <c r="AN364" s="1544" t="str">
        <f t="shared" si="6"/>
        <v>Наименование признака дифференциации</v>
      </c>
      <c r="AO364" s="1544"/>
      <c r="AP364" s="1544"/>
    </row>
    <row r="365" spans="1:42" s="1818" customFormat="1" ht="23.25" customHeight="1">
      <c r="A365" s="1284"/>
      <c r="B365" s="1284"/>
      <c r="C365" s="1284"/>
      <c r="D365" s="1284"/>
      <c r="E365" s="8884" t="s">
        <v>185</v>
      </c>
      <c r="F365" s="8884"/>
      <c r="G365" s="8884"/>
      <c r="H365" s="8884"/>
      <c r="I365" s="8904"/>
      <c r="J365" s="8881" t="str">
        <f>I364&amp;".1"</f>
        <v>21.1.1.1.1</v>
      </c>
      <c r="K365" s="1284"/>
      <c r="L365" s="1290" t="s">
        <v>871</v>
      </c>
      <c r="M365" s="1696"/>
      <c r="N365" s="1696"/>
      <c r="O365" s="1696"/>
      <c r="P365" s="8882"/>
      <c r="Q365" s="8882">
        <v>1</v>
      </c>
      <c r="R365" s="278"/>
      <c r="S365" s="1810" t="str">
        <f>$J365</f>
        <v>21.1.1.1.1</v>
      </c>
      <c r="T365" s="201" t="s">
        <v>872</v>
      </c>
      <c r="U365" s="214"/>
      <c r="V365" s="8872"/>
      <c r="W365" s="8873"/>
      <c r="X365" s="8873"/>
      <c r="Y365" s="8873"/>
      <c r="Z365" s="8873"/>
      <c r="AA365" s="8873"/>
      <c r="AB365" s="8874"/>
      <c r="AC365" s="8872" t="s">
        <v>961</v>
      </c>
      <c r="AD365" s="8873"/>
      <c r="AE365" s="8873"/>
      <c r="AF365" s="8873"/>
      <c r="AG365" s="8873"/>
      <c r="AH365" s="8873"/>
      <c r="AI365" s="8873"/>
      <c r="AJ365" s="8874"/>
      <c r="AK365" s="1231" t="s">
        <v>947</v>
      </c>
      <c r="AL365" s="1562"/>
      <c r="AM365" s="1544"/>
      <c r="AN365" s="1544" t="str">
        <f t="shared" si="6"/>
        <v>Группа потребителей</v>
      </c>
      <c r="AO365" s="1544"/>
      <c r="AP365" s="1544"/>
    </row>
    <row r="366" spans="1:42" s="1818" customFormat="1" ht="23.25" customHeight="1">
      <c r="A366" s="1284"/>
      <c r="B366" s="1284"/>
      <c r="C366" s="1284"/>
      <c r="D366" s="1284"/>
      <c r="E366" s="8884" t="s">
        <v>185</v>
      </c>
      <c r="F366" s="8884"/>
      <c r="G366" s="8884"/>
      <c r="H366" s="8884"/>
      <c r="I366" s="8904"/>
      <c r="J366" s="8904"/>
      <c r="K366" s="8881" t="str">
        <f>J365&amp;".1"</f>
        <v>21.1.1.1.1.1</v>
      </c>
      <c r="L366" s="1290"/>
      <c r="M366" s="1696"/>
      <c r="N366" s="1696"/>
      <c r="O366" s="1696"/>
      <c r="P366" s="8882"/>
      <c r="Q366" s="8882"/>
      <c r="R366" s="278">
        <v>1</v>
      </c>
      <c r="S366" s="1810" t="str">
        <f>$K366</f>
        <v>21.1.1.1.1.1</v>
      </c>
      <c r="T366" s="1357" t="s">
        <v>962</v>
      </c>
      <c r="U366" s="214"/>
      <c r="V366" s="666"/>
      <c r="W366" s="666"/>
      <c r="X366" s="1181"/>
      <c r="Y366" s="8886"/>
      <c r="Z366" s="8734" t="s">
        <v>63</v>
      </c>
      <c r="AA366" s="8886"/>
      <c r="AB366" s="8734" t="s">
        <v>63</v>
      </c>
      <c r="AC366" s="666">
        <v>828.67</v>
      </c>
      <c r="AD366" s="666"/>
      <c r="AE366" s="1181"/>
      <c r="AF366" s="8886">
        <v>45292</v>
      </c>
      <c r="AG366" s="8734" t="s">
        <v>63</v>
      </c>
      <c r="AH366" s="8905">
        <v>45657</v>
      </c>
      <c r="AI366" s="8734" t="s">
        <v>63</v>
      </c>
      <c r="AJ366" s="1358"/>
      <c r="AK36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66" s="1562" t="e">
        <f ca="1">STRCHECKDATE(V367:AJ367)</f>
        <v>#NAME?</v>
      </c>
      <c r="AM366" s="1544"/>
      <c r="AN366" s="1544" t="str">
        <f t="shared" si="6"/>
        <v>Тариф для населения, руб. за 1 куб. метр с НДС</v>
      </c>
      <c r="AO366" s="1544"/>
      <c r="AP366" s="1544"/>
    </row>
    <row r="367" spans="1:42" s="1818" customFormat="1" ht="14.25" customHeight="1">
      <c r="A367" s="1284"/>
      <c r="B367" s="1284"/>
      <c r="C367" s="1284"/>
      <c r="D367" s="1284"/>
      <c r="E367" s="8884" t="s">
        <v>185</v>
      </c>
      <c r="F367" s="8884"/>
      <c r="G367" s="8884"/>
      <c r="H367" s="8884"/>
      <c r="I367" s="8904"/>
      <c r="J367" s="8904"/>
      <c r="K367" s="8881"/>
      <c r="L367" s="1290"/>
      <c r="M367" s="1696"/>
      <c r="N367" s="1696"/>
      <c r="O367" s="1696"/>
      <c r="P367" s="8882"/>
      <c r="Q367" s="8882"/>
      <c r="R367" s="278"/>
      <c r="S367" s="1815"/>
      <c r="T367" s="214"/>
      <c r="U367" s="214"/>
      <c r="V367" s="246"/>
      <c r="W367" s="246"/>
      <c r="X367" s="250" t="str">
        <f>Y366&amp;"-"&amp;AA366</f>
        <v>-</v>
      </c>
      <c r="Y367" s="8887"/>
      <c r="Z367" s="8734"/>
      <c r="AA367" s="8887"/>
      <c r="AB367" s="8734"/>
      <c r="AC367" s="246"/>
      <c r="AD367" s="246"/>
      <c r="AE367" s="250" t="str">
        <f>AF366&amp;"-"&amp;AH366</f>
        <v>45292-45657</v>
      </c>
      <c r="AF367" s="8887"/>
      <c r="AG367" s="8734"/>
      <c r="AH367" s="8906"/>
      <c r="AI367" s="8734"/>
      <c r="AJ367" s="1359"/>
      <c r="AK367" s="8941"/>
      <c r="AL367" s="1562"/>
      <c r="AM367" s="1544"/>
      <c r="AN367" s="1544" t="str">
        <f t="shared" si="6"/>
        <v/>
      </c>
      <c r="AO367" s="1544"/>
      <c r="AP367" s="1544"/>
    </row>
    <row r="368" spans="1:42" s="1818" customFormat="1" ht="21" customHeight="1">
      <c r="A368" s="1284"/>
      <c r="B368" s="1284"/>
      <c r="C368" s="1284"/>
      <c r="D368" s="1284"/>
      <c r="E368" s="8884" t="s">
        <v>185</v>
      </c>
      <c r="F368" s="8884"/>
      <c r="G368" s="8884"/>
      <c r="H368" s="8884"/>
      <c r="I368" s="8904"/>
      <c r="J368" s="8881"/>
      <c r="K368" s="1284"/>
      <c r="L368" s="1290"/>
      <c r="M368" s="1696"/>
      <c r="N368" s="1696"/>
      <c r="O368" s="1696"/>
      <c r="P368" s="8882"/>
      <c r="Q368" s="8882"/>
      <c r="R368" s="277"/>
      <c r="S368" s="3279"/>
      <c r="T368" s="3280" t="s">
        <v>948</v>
      </c>
      <c r="U368" s="3281"/>
      <c r="V368" s="3282"/>
      <c r="W368" s="3283"/>
      <c r="X368" s="3284"/>
      <c r="Y368" s="3285"/>
      <c r="Z368" s="3286"/>
      <c r="AA368" s="3287"/>
      <c r="AB368" s="3288"/>
      <c r="AC368" s="3289"/>
      <c r="AD368" s="3290"/>
      <c r="AE368" s="3291"/>
      <c r="AF368" s="3292"/>
      <c r="AG368" s="3293"/>
      <c r="AH368" s="3294"/>
      <c r="AI368" s="3295"/>
      <c r="AJ368" s="3296"/>
      <c r="AK368" s="1182" t="s">
        <v>949</v>
      </c>
      <c r="AL368" s="1562"/>
      <c r="AM368" s="1544"/>
      <c r="AN368" s="1544" t="str">
        <f t="shared" si="6"/>
        <v>Добавить значение признака дифференциации</v>
      </c>
      <c r="AO368" s="1544"/>
      <c r="AP368" s="1544"/>
    </row>
    <row r="369" spans="1:42" s="1818" customFormat="1" ht="23.25" customHeight="1">
      <c r="A369" s="1284"/>
      <c r="B369" s="1284"/>
      <c r="C369" s="1284"/>
      <c r="D369" s="1284"/>
      <c r="E369" s="8884"/>
      <c r="F369" s="8884"/>
      <c r="G369" s="8884"/>
      <c r="H369" s="8884"/>
      <c r="I369" s="8904"/>
      <c r="J369" s="8881" t="str">
        <f>I364&amp;".2"</f>
        <v>21.1.1.1.2</v>
      </c>
      <c r="K369" s="1284"/>
      <c r="L369" s="1290" t="s">
        <v>871</v>
      </c>
      <c r="M369" s="1696"/>
      <c r="N369" s="1696"/>
      <c r="O369" s="1696"/>
      <c r="P369" s="8882"/>
      <c r="Q369" s="8948" t="s">
        <v>100</v>
      </c>
      <c r="R369" s="278"/>
      <c r="S369" s="1810" t="str">
        <f>$J369</f>
        <v>21.1.1.1.2</v>
      </c>
      <c r="T369" s="201" t="s">
        <v>872</v>
      </c>
      <c r="U369" s="214"/>
      <c r="V369" s="8872"/>
      <c r="W369" s="8873"/>
      <c r="X369" s="8873"/>
      <c r="Y369" s="8873"/>
      <c r="Z369" s="8873"/>
      <c r="AA369" s="8873"/>
      <c r="AB369" s="8874"/>
      <c r="AC369" s="8872" t="s">
        <v>963</v>
      </c>
      <c r="AD369" s="8873"/>
      <c r="AE369" s="8873"/>
      <c r="AF369" s="8873"/>
      <c r="AG369" s="8873"/>
      <c r="AH369" s="8873"/>
      <c r="AI369" s="8873"/>
      <c r="AJ369" s="8874"/>
      <c r="AK369" s="1231" t="s">
        <v>947</v>
      </c>
      <c r="AL369" s="1562"/>
      <c r="AM369" s="1544"/>
      <c r="AN369" s="1544" t="str">
        <f t="shared" si="6"/>
        <v>Группа потребителей</v>
      </c>
      <c r="AO369" s="1544"/>
      <c r="AP369" s="1544"/>
    </row>
    <row r="370" spans="1:42" s="1818" customFormat="1" ht="23.25" customHeight="1">
      <c r="A370" s="1284"/>
      <c r="B370" s="1284"/>
      <c r="C370" s="1284"/>
      <c r="D370" s="1284"/>
      <c r="E370" s="8884"/>
      <c r="F370" s="8884"/>
      <c r="G370" s="8884"/>
      <c r="H370" s="8884"/>
      <c r="I370" s="8904"/>
      <c r="J370" s="8904" t="str">
        <f>I364&amp;".1"</f>
        <v>21.1.1.1.1</v>
      </c>
      <c r="K370" s="8881" t="str">
        <f>J369&amp;".1"</f>
        <v>21.1.1.1.2.1</v>
      </c>
      <c r="L370" s="1290"/>
      <c r="M370" s="1696"/>
      <c r="N370" s="1696"/>
      <c r="O370" s="1696"/>
      <c r="P370" s="8882"/>
      <c r="Q370" s="8882"/>
      <c r="R370" s="278">
        <v>1</v>
      </c>
      <c r="S370" s="1810" t="str">
        <f>$K370</f>
        <v>21.1.1.1.2.1</v>
      </c>
      <c r="T370" s="1357" t="s">
        <v>964</v>
      </c>
      <c r="U370" s="214"/>
      <c r="V370" s="666"/>
      <c r="W370" s="666"/>
      <c r="X370" s="1181"/>
      <c r="Y370" s="8886"/>
      <c r="Z370" s="8734" t="s">
        <v>63</v>
      </c>
      <c r="AA370" s="8886"/>
      <c r="AB370" s="8734" t="s">
        <v>63</v>
      </c>
      <c r="AC370" s="666">
        <v>690.56</v>
      </c>
      <c r="AD370" s="666"/>
      <c r="AE370" s="1181"/>
      <c r="AF370" s="8886">
        <v>45292</v>
      </c>
      <c r="AG370" s="8734" t="s">
        <v>63</v>
      </c>
      <c r="AH370" s="8905">
        <v>45657</v>
      </c>
      <c r="AI370" s="8734" t="s">
        <v>63</v>
      </c>
      <c r="AJ370" s="1358"/>
      <c r="AK37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70" s="1562" t="e">
        <f ca="1">STRCHECKDATE(V371:AJ371)</f>
        <v>#NAME?</v>
      </c>
      <c r="AM370" s="1544"/>
      <c r="AN370" s="1544" t="str">
        <f t="shared" si="6"/>
        <v>Тариф, руб. за 1 куб. метр без НДС</v>
      </c>
      <c r="AO370" s="1544"/>
      <c r="AP370" s="1544"/>
    </row>
    <row r="371" spans="1:42" s="1818" customFormat="1" ht="14.25" customHeight="1">
      <c r="A371" s="1284"/>
      <c r="B371" s="1284"/>
      <c r="C371" s="1284"/>
      <c r="D371" s="1284"/>
      <c r="E371" s="8884"/>
      <c r="F371" s="8884"/>
      <c r="G371" s="8884"/>
      <c r="H371" s="8884"/>
      <c r="I371" s="8904"/>
      <c r="J371" s="8904" t="str">
        <f>I364&amp;".1"</f>
        <v>21.1.1.1.1</v>
      </c>
      <c r="K371" s="8881"/>
      <c r="L371" s="1290"/>
      <c r="M371" s="1696"/>
      <c r="N371" s="1696"/>
      <c r="O371" s="1696"/>
      <c r="P371" s="8882"/>
      <c r="Q371" s="8882"/>
      <c r="R371" s="278"/>
      <c r="S371" s="1815"/>
      <c r="T371" s="214"/>
      <c r="U371" s="214"/>
      <c r="V371" s="246"/>
      <c r="W371" s="246"/>
      <c r="X371" s="250" t="str">
        <f>Y370&amp;"-"&amp;AA370</f>
        <v>-</v>
      </c>
      <c r="Y371" s="8887"/>
      <c r="Z371" s="8734"/>
      <c r="AA371" s="8887"/>
      <c r="AB371" s="8734"/>
      <c r="AC371" s="246"/>
      <c r="AD371" s="246"/>
      <c r="AE371" s="250" t="str">
        <f>AF370&amp;"-"&amp;AH370</f>
        <v>45292-45657</v>
      </c>
      <c r="AF371" s="8887"/>
      <c r="AG371" s="8734"/>
      <c r="AH371" s="8906"/>
      <c r="AI371" s="8734"/>
      <c r="AJ371" s="1359"/>
      <c r="AK371" s="8941"/>
      <c r="AL371" s="1562"/>
      <c r="AM371" s="1544"/>
      <c r="AN371" s="1544" t="str">
        <f t="shared" si="6"/>
        <v/>
      </c>
      <c r="AO371" s="1544"/>
      <c r="AP371" s="1544"/>
    </row>
    <row r="372" spans="1:42" s="1818" customFormat="1" ht="21" customHeight="1">
      <c r="A372" s="1284"/>
      <c r="B372" s="1284"/>
      <c r="C372" s="1284"/>
      <c r="D372" s="1284"/>
      <c r="E372" s="8884"/>
      <c r="F372" s="8884"/>
      <c r="G372" s="8884"/>
      <c r="H372" s="8884"/>
      <c r="I372" s="8904"/>
      <c r="J372" s="8881" t="str">
        <f>I364&amp;".1"</f>
        <v>21.1.1.1.1</v>
      </c>
      <c r="K372" s="1284"/>
      <c r="L372" s="1290"/>
      <c r="M372" s="1696"/>
      <c r="N372" s="1696"/>
      <c r="O372" s="1696"/>
      <c r="P372" s="8882"/>
      <c r="Q372" s="8882"/>
      <c r="R372" s="277"/>
      <c r="S372" s="3297"/>
      <c r="T372" s="3298" t="s">
        <v>948</v>
      </c>
      <c r="U372" s="3299"/>
      <c r="V372" s="3300"/>
      <c r="W372" s="3301"/>
      <c r="X372" s="3302"/>
      <c r="Y372" s="3303"/>
      <c r="Z372" s="3304"/>
      <c r="AA372" s="3305"/>
      <c r="AB372" s="3306"/>
      <c r="AC372" s="3307"/>
      <c r="AD372" s="3308"/>
      <c r="AE372" s="3309"/>
      <c r="AF372" s="3310"/>
      <c r="AG372" s="3311"/>
      <c r="AH372" s="3312"/>
      <c r="AI372" s="3313"/>
      <c r="AJ372" s="3314"/>
      <c r="AK372" s="1182" t="s">
        <v>949</v>
      </c>
      <c r="AL372" s="1562"/>
      <c r="AM372" s="1544"/>
      <c r="AN372" s="1544" t="str">
        <f t="shared" si="6"/>
        <v>Добавить значение признака дифференциации</v>
      </c>
      <c r="AO372" s="1544"/>
      <c r="AP372" s="1544"/>
    </row>
    <row r="373" spans="1:42" s="1818" customFormat="1" ht="21" customHeight="1">
      <c r="A373" s="1284"/>
      <c r="B373" s="1284"/>
      <c r="C373" s="1284"/>
      <c r="D373" s="1284"/>
      <c r="E373" s="8884" t="s">
        <v>185</v>
      </c>
      <c r="F373" s="8884"/>
      <c r="G373" s="8884"/>
      <c r="H373" s="8884"/>
      <c r="I373" s="8881"/>
      <c r="J373" s="1284"/>
      <c r="K373" s="1284"/>
      <c r="L373" s="1290"/>
      <c r="M373" s="1696"/>
      <c r="N373" s="1696"/>
      <c r="O373" s="1696"/>
      <c r="P373" s="8882"/>
      <c r="Q373" s="1811"/>
      <c r="R373" s="277"/>
      <c r="S373" s="3315"/>
      <c r="T373" s="3316" t="s">
        <v>877</v>
      </c>
      <c r="U373" s="3317"/>
      <c r="V373" s="3318"/>
      <c r="W373" s="3319"/>
      <c r="X373" s="3320"/>
      <c r="Y373" s="3321"/>
      <c r="Z373" s="3322"/>
      <c r="AA373" s="3323"/>
      <c r="AB373" s="3324"/>
      <c r="AC373" s="3325"/>
      <c r="AD373" s="3326"/>
      <c r="AE373" s="3327"/>
      <c r="AF373" s="3328"/>
      <c r="AG373" s="3329"/>
      <c r="AH373" s="3330"/>
      <c r="AI373" s="3331"/>
      <c r="AJ373" s="3332"/>
      <c r="AK373" s="3333"/>
      <c r="AL373" s="1562"/>
      <c r="AM373" s="1544"/>
      <c r="AN373" s="1544" t="str">
        <f t="shared" si="6"/>
        <v>Добавить группу потребителей</v>
      </c>
      <c r="AO373" s="1544"/>
      <c r="AP373" s="1544"/>
    </row>
    <row r="374" spans="1:42" s="1818" customFormat="1" ht="21" customHeight="1">
      <c r="A374" s="1284"/>
      <c r="B374" s="1284"/>
      <c r="C374" s="1284"/>
      <c r="D374" s="1284"/>
      <c r="E374" s="8884" t="s">
        <v>185</v>
      </c>
      <c r="F374" s="8884"/>
      <c r="G374" s="8884"/>
      <c r="H374" s="8883"/>
      <c r="I374" s="1284"/>
      <c r="J374" s="1284"/>
      <c r="K374" s="1284"/>
      <c r="L374" s="1290"/>
      <c r="M374" s="1286"/>
      <c r="N374" s="1286"/>
      <c r="O374" s="1287"/>
      <c r="P374" s="1742"/>
      <c r="Q374" s="299"/>
      <c r="R374" s="276"/>
      <c r="S374" s="3334"/>
      <c r="T374" s="3335" t="s">
        <v>950</v>
      </c>
      <c r="U374" s="3336"/>
      <c r="V374" s="3337"/>
      <c r="W374" s="3338"/>
      <c r="X374" s="3339"/>
      <c r="Y374" s="3340"/>
      <c r="Z374" s="3341"/>
      <c r="AA374" s="3342"/>
      <c r="AB374" s="3343"/>
      <c r="AC374" s="3344"/>
      <c r="AD374" s="3345"/>
      <c r="AE374" s="3346"/>
      <c r="AF374" s="3347"/>
      <c r="AG374" s="3348"/>
      <c r="AH374" s="3349"/>
      <c r="AI374" s="3350"/>
      <c r="AJ374" s="3351"/>
      <c r="AK374" s="3352"/>
      <c r="AL374" s="1562"/>
      <c r="AM374" s="1544"/>
      <c r="AN374" s="1544" t="str">
        <f t="shared" si="6"/>
        <v>Добавить наименование признака дифференциации</v>
      </c>
      <c r="AO374" s="1544"/>
      <c r="AP374" s="1544"/>
    </row>
    <row r="375" spans="1:42" s="541" customFormat="1" ht="14.25" customHeight="1">
      <c r="A375" s="1265"/>
      <c r="B375" s="1265"/>
      <c r="C375" s="1265"/>
      <c r="D375" s="1265"/>
      <c r="E375" s="8884" t="s">
        <v>185</v>
      </c>
      <c r="F375" s="8883"/>
      <c r="G375" s="1265"/>
      <c r="H375" s="1265"/>
      <c r="I375" s="1265"/>
      <c r="J375" s="1265"/>
      <c r="K375" s="1265"/>
      <c r="L375" s="1466"/>
      <c r="M375" s="1244"/>
      <c r="N375" s="1244"/>
      <c r="O375" s="1562"/>
      <c r="P375" s="1239"/>
      <c r="Q375" s="1266"/>
      <c r="R375" s="1239"/>
      <c r="S375" s="1245"/>
      <c r="T375" s="1248" t="s">
        <v>314</v>
      </c>
      <c r="U375" s="1247"/>
      <c r="V375" s="1247"/>
      <c r="W375" s="1247"/>
      <c r="X375" s="1247"/>
      <c r="Y375" s="1247"/>
      <c r="Z375" s="1247"/>
      <c r="AA375" s="1247"/>
      <c r="AB375" s="1247"/>
      <c r="AC375" s="1247"/>
      <c r="AD375" s="1247"/>
      <c r="AE375" s="1247"/>
      <c r="AF375" s="1247"/>
      <c r="AG375" s="1247"/>
      <c r="AH375" s="1247"/>
      <c r="AI375" s="1247"/>
      <c r="AJ375" s="1247"/>
      <c r="AK375" s="1247"/>
      <c r="AL375" s="1562"/>
      <c r="AM375" s="1544"/>
      <c r="AN375" s="1544" t="str">
        <f t="shared" si="6"/>
        <v>Добавить централизованную систему для дифференциации</v>
      </c>
      <c r="AO375" s="1544"/>
      <c r="AP375" s="1544"/>
    </row>
    <row r="376" spans="1:42" s="541" customFormat="1" ht="14.25" customHeight="1">
      <c r="A376" s="1265"/>
      <c r="B376" s="1265"/>
      <c r="C376" s="1265"/>
      <c r="D376" s="1265"/>
      <c r="E376" s="8883" t="s">
        <v>185</v>
      </c>
      <c r="F376" s="1265"/>
      <c r="G376" s="1265"/>
      <c r="H376" s="1265"/>
      <c r="I376" s="1265"/>
      <c r="J376" s="1265"/>
      <c r="K376" s="1265"/>
      <c r="L376" s="1466"/>
      <c r="M376" s="1244"/>
      <c r="N376" s="1244"/>
      <c r="O376" s="1562"/>
      <c r="P376" s="1239"/>
      <c r="Q376" s="1266"/>
      <c r="R376" s="1239"/>
      <c r="S376" s="1245"/>
      <c r="T376" s="1248" t="s">
        <v>315</v>
      </c>
      <c r="U376" s="1247"/>
      <c r="V376" s="1247"/>
      <c r="W376" s="1247"/>
      <c r="X376" s="1247"/>
      <c r="Y376" s="1247"/>
      <c r="Z376" s="1247"/>
      <c r="AA376" s="1247"/>
      <c r="AB376" s="1247"/>
      <c r="AC376" s="1247"/>
      <c r="AD376" s="1247"/>
      <c r="AE376" s="1247"/>
      <c r="AF376" s="1247"/>
      <c r="AG376" s="1247"/>
      <c r="AH376" s="1247"/>
      <c r="AI376" s="1247"/>
      <c r="AJ376" s="1247"/>
      <c r="AK376" s="1247"/>
      <c r="AL376" s="1562"/>
      <c r="AM376" s="1544"/>
      <c r="AN376" s="1544" t="str">
        <f t="shared" si="6"/>
        <v>Добавить территорию для дифференциации</v>
      </c>
      <c r="AO376" s="1544"/>
      <c r="AP376" s="1544"/>
    </row>
    <row r="377" spans="1:42" s="1818" customFormat="1" ht="23.25" customHeight="1">
      <c r="A377" s="1284" t="s">
        <v>418</v>
      </c>
      <c r="B377" s="1284"/>
      <c r="C377" s="1284"/>
      <c r="D377" s="1284"/>
      <c r="E377" s="8883" t="s">
        <v>416</v>
      </c>
      <c r="F377" s="1284"/>
      <c r="G377" s="1284"/>
      <c r="H377" s="1284"/>
      <c r="I377" s="1284"/>
      <c r="J377" s="1284"/>
      <c r="K377" s="1284"/>
      <c r="L377" s="1290"/>
      <c r="M377" s="1286"/>
      <c r="N377" s="1286"/>
      <c r="O377" s="1286"/>
      <c r="P377" s="1812"/>
      <c r="Q377" s="1742"/>
      <c r="R377" s="276"/>
      <c r="S377" s="1810" t="str">
        <f>INDEX(PT_DIFFERENTIATION_NUM_NTAR,MATCH(A377,PT_DIFFERENTIATION_NTAR_ID,0))</f>
        <v>22</v>
      </c>
      <c r="T377" s="1440" t="s">
        <v>211</v>
      </c>
      <c r="U377" s="214"/>
      <c r="V377" s="8869"/>
      <c r="W377" s="8870"/>
      <c r="X377" s="8870"/>
      <c r="Y377" s="8870"/>
      <c r="Z377" s="8870"/>
      <c r="AA377" s="8870"/>
      <c r="AB377" s="8871"/>
      <c r="AC377" s="8869" t="str">
        <f>INDEX(PT_DIFFERENTIATION_NTAR,MATCH(A377,PT_DIFFERENTIATION_NTAR_ID,0))</f>
        <v>Подвоз воды потребителям поселка Совхозного</v>
      </c>
      <c r="AD377" s="8870"/>
      <c r="AE377" s="8870"/>
      <c r="AF377" s="8870"/>
      <c r="AG377" s="8870"/>
      <c r="AH377" s="8870"/>
      <c r="AI377" s="8870"/>
      <c r="AJ377" s="8871"/>
      <c r="AK37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377" s="1562"/>
      <c r="AM377" s="1544"/>
      <c r="AN377" s="1544" t="str">
        <f t="shared" si="6"/>
        <v>Наименование тарифа</v>
      </c>
      <c r="AO377" s="1544"/>
      <c r="AP377" s="1544"/>
    </row>
    <row r="378" spans="1:42" s="1818" customFormat="1" ht="23.25" customHeight="1">
      <c r="A378" s="1284"/>
      <c r="B378" s="1284" t="s">
        <v>419</v>
      </c>
      <c r="C378" s="1284"/>
      <c r="D378" s="1284"/>
      <c r="E378" s="8884" t="s">
        <v>190</v>
      </c>
      <c r="F378" s="8883">
        <v>1</v>
      </c>
      <c r="G378" s="1284"/>
      <c r="H378" s="1284"/>
      <c r="I378" s="1284"/>
      <c r="J378" s="1284"/>
      <c r="K378" s="1284"/>
      <c r="L378" s="1290"/>
      <c r="M378" s="1286"/>
      <c r="N378" s="1286"/>
      <c r="O378" s="1286"/>
      <c r="P378" s="1807"/>
      <c r="Q378" s="273"/>
      <c r="R378" s="274"/>
      <c r="S378" s="1810" t="str">
        <f>INDEX(PT_DIFFERENTIATION_NUM_TER,MATCH(B378,PT_DIFFERENTIATION_TER_ID,0))</f>
        <v>22.1</v>
      </c>
      <c r="T378" s="1437" t="s">
        <v>862</v>
      </c>
      <c r="U378" s="214"/>
      <c r="V378" s="8869"/>
      <c r="W378" s="8870"/>
      <c r="X378" s="8870"/>
      <c r="Y378" s="8870"/>
      <c r="Z378" s="8870"/>
      <c r="AA378" s="8870"/>
      <c r="AB378" s="8871"/>
      <c r="AC378" s="8869" t="str">
        <f>INDEX(PT_DIFFERENTIATION_TER,MATCH(B378,PT_DIFFERENTIATION_TER_ID,0))</f>
        <v>Территория 7</v>
      </c>
      <c r="AD378" s="8870"/>
      <c r="AE378" s="8870"/>
      <c r="AF378" s="8870"/>
      <c r="AG378" s="8870"/>
      <c r="AH378" s="8870"/>
      <c r="AI378" s="8870"/>
      <c r="AJ378" s="8871"/>
      <c r="AK378" s="1182" t="s">
        <v>863</v>
      </c>
      <c r="AL378" s="1562"/>
      <c r="AM378" s="1544"/>
      <c r="AN378" s="1544" t="str">
        <f t="shared" si="6"/>
        <v>Территория действия тарифа</v>
      </c>
      <c r="AO378" s="1544"/>
      <c r="AP378" s="1544"/>
    </row>
    <row r="379" spans="1:42" s="1818" customFormat="1" ht="23.25" customHeight="1">
      <c r="A379" s="1284"/>
      <c r="B379" s="1284"/>
      <c r="C379" s="1284" t="s">
        <v>420</v>
      </c>
      <c r="D379" s="1284"/>
      <c r="E379" s="8884" t="s">
        <v>190</v>
      </c>
      <c r="F379" s="8884"/>
      <c r="G379" s="8883">
        <v>1</v>
      </c>
      <c r="H379" s="1284"/>
      <c r="I379" s="1284"/>
      <c r="J379" s="1284"/>
      <c r="K379" s="1284"/>
      <c r="L379" s="1290"/>
      <c r="M379" s="1286"/>
      <c r="N379" s="1286"/>
      <c r="O379" s="1286"/>
      <c r="P379" s="275"/>
      <c r="Q379" s="273"/>
      <c r="R379" s="274"/>
      <c r="S379" s="1810" t="str">
        <f>INDEX(PT_DIFFERENTIATION_NUM_CS,MATCH(C379,PT_DIFFERENTIATION_CS_ID,0))</f>
        <v>22.1.1</v>
      </c>
      <c r="T379" s="225" t="s">
        <v>943</v>
      </c>
      <c r="U379" s="214"/>
      <c r="V379" s="8869"/>
      <c r="W379" s="8870"/>
      <c r="X379" s="8870"/>
      <c r="Y379" s="8870"/>
      <c r="Z379" s="8870"/>
      <c r="AA379" s="8870"/>
      <c r="AB379" s="8871"/>
      <c r="AC379" s="8869" t="str">
        <f>INDEX(PT_DIFFERENTIATION_CS,MATCH(C379,PT_DIFFERENTIATION_CS_ID,0))</f>
        <v>без дифференциации</v>
      </c>
      <c r="AD379" s="8870"/>
      <c r="AE379" s="8870"/>
      <c r="AF379" s="8870"/>
      <c r="AG379" s="8870"/>
      <c r="AH379" s="8870"/>
      <c r="AI379" s="8870"/>
      <c r="AJ379" s="8871"/>
      <c r="AK379" s="1182" t="s">
        <v>944</v>
      </c>
      <c r="AL379" s="1562"/>
      <c r="AM379" s="1544"/>
      <c r="AN379" s="1544" t="str">
        <f t="shared" si="6"/>
        <v>Наименование централизованной системы холодного водоснабжения</v>
      </c>
      <c r="AO379" s="1544"/>
      <c r="AP379" s="1544"/>
    </row>
    <row r="380" spans="1:42" s="1818" customFormat="1" ht="23.25" customHeight="1">
      <c r="A380" s="1284"/>
      <c r="B380" s="1284"/>
      <c r="C380" s="1284"/>
      <c r="D380" s="1284"/>
      <c r="E380" s="8884" t="s">
        <v>190</v>
      </c>
      <c r="F380" s="8884"/>
      <c r="G380" s="8884"/>
      <c r="H380" s="8884"/>
      <c r="I380" s="8881" t="str">
        <f>S379&amp;".1"</f>
        <v>22.1.1.1</v>
      </c>
      <c r="J380" s="1284"/>
      <c r="K380" s="1284"/>
      <c r="L380" s="1290"/>
      <c r="M380" s="1696"/>
      <c r="N380" s="1696"/>
      <c r="O380" s="1696"/>
      <c r="P380" s="8882">
        <v>1</v>
      </c>
      <c r="Q380" s="1811"/>
      <c r="R380" s="277"/>
      <c r="S380" s="1810" t="str">
        <f>$I380</f>
        <v>22.1.1.1</v>
      </c>
      <c r="T380" s="200" t="s">
        <v>945</v>
      </c>
      <c r="U380" s="214"/>
      <c r="V380" s="8942"/>
      <c r="W380" s="8943"/>
      <c r="X380" s="8943"/>
      <c r="Y380" s="8943"/>
      <c r="Z380" s="8943"/>
      <c r="AA380" s="8943"/>
      <c r="AB380" s="8944"/>
      <c r="AC380" s="8945"/>
      <c r="AD380" s="8946"/>
      <c r="AE380" s="8946"/>
      <c r="AF380" s="8946"/>
      <c r="AG380" s="8946"/>
      <c r="AH380" s="8946"/>
      <c r="AI380" s="8946"/>
      <c r="AJ380" s="8947"/>
      <c r="AK380" s="1182" t="s">
        <v>946</v>
      </c>
      <c r="AL380" s="1562"/>
      <c r="AM380" s="1544"/>
      <c r="AN380" s="1544" t="str">
        <f t="shared" si="6"/>
        <v>Наименование признака дифференциации</v>
      </c>
      <c r="AO380" s="1544"/>
      <c r="AP380" s="1544"/>
    </row>
    <row r="381" spans="1:42" s="1818" customFormat="1" ht="23.25" customHeight="1">
      <c r="A381" s="1284"/>
      <c r="B381" s="1284"/>
      <c r="C381" s="1284"/>
      <c r="D381" s="1284"/>
      <c r="E381" s="8884" t="s">
        <v>190</v>
      </c>
      <c r="F381" s="8884"/>
      <c r="G381" s="8884"/>
      <c r="H381" s="8884"/>
      <c r="I381" s="8904"/>
      <c r="J381" s="8881" t="str">
        <f>I380&amp;".1"</f>
        <v>22.1.1.1.1</v>
      </c>
      <c r="K381" s="1284"/>
      <c r="L381" s="1290" t="s">
        <v>871</v>
      </c>
      <c r="M381" s="1696"/>
      <c r="N381" s="1696"/>
      <c r="O381" s="1696"/>
      <c r="P381" s="8882"/>
      <c r="Q381" s="8882">
        <v>1</v>
      </c>
      <c r="R381" s="278"/>
      <c r="S381" s="1810" t="str">
        <f>$J381</f>
        <v>22.1.1.1.1</v>
      </c>
      <c r="T381" s="201" t="s">
        <v>872</v>
      </c>
      <c r="U381" s="214"/>
      <c r="V381" s="8872"/>
      <c r="W381" s="8873"/>
      <c r="X381" s="8873"/>
      <c r="Y381" s="8873"/>
      <c r="Z381" s="8873"/>
      <c r="AA381" s="8873"/>
      <c r="AB381" s="8874"/>
      <c r="AC381" s="8872" t="s">
        <v>961</v>
      </c>
      <c r="AD381" s="8873"/>
      <c r="AE381" s="8873"/>
      <c r="AF381" s="8873"/>
      <c r="AG381" s="8873"/>
      <c r="AH381" s="8873"/>
      <c r="AI381" s="8873"/>
      <c r="AJ381" s="8874"/>
      <c r="AK381" s="1231" t="s">
        <v>947</v>
      </c>
      <c r="AL381" s="1562"/>
      <c r="AM381" s="1544"/>
      <c r="AN381" s="1544" t="str">
        <f t="shared" si="6"/>
        <v>Группа потребителей</v>
      </c>
      <c r="AO381" s="1544"/>
      <c r="AP381" s="1544"/>
    </row>
    <row r="382" spans="1:42" s="1818" customFormat="1" ht="23.25" customHeight="1">
      <c r="A382" s="1284"/>
      <c r="B382" s="1284"/>
      <c r="C382" s="1284"/>
      <c r="D382" s="1284"/>
      <c r="E382" s="8884" t="s">
        <v>190</v>
      </c>
      <c r="F382" s="8884"/>
      <c r="G382" s="8884"/>
      <c r="H382" s="8884"/>
      <c r="I382" s="8904"/>
      <c r="J382" s="8904"/>
      <c r="K382" s="8881" t="str">
        <f>J381&amp;".1"</f>
        <v>22.1.1.1.1.1</v>
      </c>
      <c r="L382" s="1290"/>
      <c r="M382" s="1696"/>
      <c r="N382" s="1696"/>
      <c r="O382" s="1696"/>
      <c r="P382" s="8882"/>
      <c r="Q382" s="8882"/>
      <c r="R382" s="278">
        <v>1</v>
      </c>
      <c r="S382" s="1810" t="str">
        <f>$K382</f>
        <v>22.1.1.1.1.1</v>
      </c>
      <c r="T382" s="1357" t="s">
        <v>962</v>
      </c>
      <c r="U382" s="214"/>
      <c r="V382" s="666"/>
      <c r="W382" s="666"/>
      <c r="X382" s="1181"/>
      <c r="Y382" s="8886"/>
      <c r="Z382" s="8734" t="s">
        <v>63</v>
      </c>
      <c r="AA382" s="8886"/>
      <c r="AB382" s="8734" t="s">
        <v>63</v>
      </c>
      <c r="AC382" s="666">
        <v>729.58</v>
      </c>
      <c r="AD382" s="666"/>
      <c r="AE382" s="1181"/>
      <c r="AF382" s="8886">
        <v>45292</v>
      </c>
      <c r="AG382" s="8734" t="s">
        <v>63</v>
      </c>
      <c r="AH382" s="8905">
        <v>45657</v>
      </c>
      <c r="AI382" s="8734" t="s">
        <v>63</v>
      </c>
      <c r="AJ382" s="1358"/>
      <c r="AK38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82" s="1562" t="e">
        <f ca="1">STRCHECKDATE(V383:AJ383)</f>
        <v>#NAME?</v>
      </c>
      <c r="AM382" s="1544"/>
      <c r="AN382" s="1544" t="str">
        <f t="shared" si="6"/>
        <v>Тариф для населения, руб. за 1 куб. метр с НДС</v>
      </c>
      <c r="AO382" s="1544"/>
      <c r="AP382" s="1544"/>
    </row>
    <row r="383" spans="1:42" s="1818" customFormat="1" ht="14.25" customHeight="1">
      <c r="A383" s="1284"/>
      <c r="B383" s="1284"/>
      <c r="C383" s="1284"/>
      <c r="D383" s="1284"/>
      <c r="E383" s="8884" t="s">
        <v>190</v>
      </c>
      <c r="F383" s="8884"/>
      <c r="G383" s="8884"/>
      <c r="H383" s="8884"/>
      <c r="I383" s="8904"/>
      <c r="J383" s="8904"/>
      <c r="K383" s="8881"/>
      <c r="L383" s="1290"/>
      <c r="M383" s="1696"/>
      <c r="N383" s="1696"/>
      <c r="O383" s="1696"/>
      <c r="P383" s="8882"/>
      <c r="Q383" s="8882"/>
      <c r="R383" s="278"/>
      <c r="S383" s="1815"/>
      <c r="T383" s="214"/>
      <c r="U383" s="214"/>
      <c r="V383" s="246"/>
      <c r="W383" s="246"/>
      <c r="X383" s="250" t="str">
        <f>Y382&amp;"-"&amp;AA382</f>
        <v>-</v>
      </c>
      <c r="Y383" s="8887"/>
      <c r="Z383" s="8734"/>
      <c r="AA383" s="8887"/>
      <c r="AB383" s="8734"/>
      <c r="AC383" s="246"/>
      <c r="AD383" s="246"/>
      <c r="AE383" s="250" t="str">
        <f>AF382&amp;"-"&amp;AH382</f>
        <v>45292-45657</v>
      </c>
      <c r="AF383" s="8887"/>
      <c r="AG383" s="8734"/>
      <c r="AH383" s="8906"/>
      <c r="AI383" s="8734"/>
      <c r="AJ383" s="1359"/>
      <c r="AK383" s="8941"/>
      <c r="AL383" s="1562"/>
      <c r="AM383" s="1544"/>
      <c r="AN383" s="1544" t="str">
        <f t="shared" si="6"/>
        <v/>
      </c>
      <c r="AO383" s="1544"/>
      <c r="AP383" s="1544"/>
    </row>
    <row r="384" spans="1:42" s="1818" customFormat="1" ht="21" customHeight="1">
      <c r="A384" s="1284"/>
      <c r="B384" s="1284"/>
      <c r="C384" s="1284"/>
      <c r="D384" s="1284"/>
      <c r="E384" s="8884" t="s">
        <v>190</v>
      </c>
      <c r="F384" s="8884"/>
      <c r="G384" s="8884"/>
      <c r="H384" s="8884"/>
      <c r="I384" s="8904"/>
      <c r="J384" s="8881"/>
      <c r="K384" s="1284"/>
      <c r="L384" s="1290"/>
      <c r="M384" s="1696"/>
      <c r="N384" s="1696"/>
      <c r="O384" s="1696"/>
      <c r="P384" s="8882"/>
      <c r="Q384" s="8882"/>
      <c r="R384" s="277"/>
      <c r="S384" s="3353"/>
      <c r="T384" s="3354" t="s">
        <v>948</v>
      </c>
      <c r="U384" s="3355"/>
      <c r="V384" s="3356"/>
      <c r="W384" s="3357"/>
      <c r="X384" s="3358"/>
      <c r="Y384" s="3359"/>
      <c r="Z384" s="3360"/>
      <c r="AA384" s="3361"/>
      <c r="AB384" s="3362"/>
      <c r="AC384" s="3363"/>
      <c r="AD384" s="3364"/>
      <c r="AE384" s="3365"/>
      <c r="AF384" s="3366"/>
      <c r="AG384" s="3367"/>
      <c r="AH384" s="3368"/>
      <c r="AI384" s="3369"/>
      <c r="AJ384" s="3370"/>
      <c r="AK384" s="1182" t="s">
        <v>949</v>
      </c>
      <c r="AL384" s="1562"/>
      <c r="AM384" s="1544"/>
      <c r="AN384" s="1544" t="str">
        <f t="shared" si="6"/>
        <v>Добавить значение признака дифференциации</v>
      </c>
      <c r="AO384" s="1544"/>
      <c r="AP384" s="1544"/>
    </row>
    <row r="385" spans="1:42" s="1818" customFormat="1" ht="23.25" customHeight="1">
      <c r="A385" s="1284"/>
      <c r="B385" s="1284"/>
      <c r="C385" s="1284"/>
      <c r="D385" s="1284"/>
      <c r="E385" s="8884"/>
      <c r="F385" s="8884"/>
      <c r="G385" s="8884"/>
      <c r="H385" s="8884"/>
      <c r="I385" s="8904"/>
      <c r="J385" s="8881" t="str">
        <f>I380&amp;".2"</f>
        <v>22.1.1.1.2</v>
      </c>
      <c r="K385" s="1284"/>
      <c r="L385" s="1290" t="s">
        <v>871</v>
      </c>
      <c r="M385" s="1696"/>
      <c r="N385" s="1696"/>
      <c r="O385" s="1696"/>
      <c r="P385" s="8882"/>
      <c r="Q385" s="8948" t="s">
        <v>100</v>
      </c>
      <c r="R385" s="278"/>
      <c r="S385" s="1810" t="str">
        <f>$J385</f>
        <v>22.1.1.1.2</v>
      </c>
      <c r="T385" s="201" t="s">
        <v>872</v>
      </c>
      <c r="U385" s="214"/>
      <c r="V385" s="8872"/>
      <c r="W385" s="8873"/>
      <c r="X385" s="8873"/>
      <c r="Y385" s="8873"/>
      <c r="Z385" s="8873"/>
      <c r="AA385" s="8873"/>
      <c r="AB385" s="8874"/>
      <c r="AC385" s="8872" t="s">
        <v>963</v>
      </c>
      <c r="AD385" s="8873"/>
      <c r="AE385" s="8873"/>
      <c r="AF385" s="8873"/>
      <c r="AG385" s="8873"/>
      <c r="AH385" s="8873"/>
      <c r="AI385" s="8873"/>
      <c r="AJ385" s="8874"/>
      <c r="AK385" s="1231" t="s">
        <v>947</v>
      </c>
      <c r="AL385" s="1562"/>
      <c r="AM385" s="1544"/>
      <c r="AN385" s="1544" t="str">
        <f t="shared" si="6"/>
        <v>Группа потребителей</v>
      </c>
      <c r="AO385" s="1544"/>
      <c r="AP385" s="1544"/>
    </row>
    <row r="386" spans="1:42" s="1818" customFormat="1" ht="23.25" customHeight="1">
      <c r="A386" s="1284"/>
      <c r="B386" s="1284"/>
      <c r="C386" s="1284"/>
      <c r="D386" s="1284"/>
      <c r="E386" s="8884"/>
      <c r="F386" s="8884"/>
      <c r="G386" s="8884"/>
      <c r="H386" s="8884"/>
      <c r="I386" s="8904"/>
      <c r="J386" s="8904" t="str">
        <f>I380&amp;".1"</f>
        <v>22.1.1.1.1</v>
      </c>
      <c r="K386" s="8881" t="str">
        <f>J385&amp;".1"</f>
        <v>22.1.1.1.2.1</v>
      </c>
      <c r="L386" s="1290"/>
      <c r="M386" s="1696"/>
      <c r="N386" s="1696"/>
      <c r="O386" s="1696"/>
      <c r="P386" s="8882"/>
      <c r="Q386" s="8882"/>
      <c r="R386" s="278">
        <v>1</v>
      </c>
      <c r="S386" s="1810" t="str">
        <f>$K386</f>
        <v>22.1.1.1.2.1</v>
      </c>
      <c r="T386" s="1357" t="s">
        <v>964</v>
      </c>
      <c r="U386" s="214"/>
      <c r="V386" s="666"/>
      <c r="W386" s="666"/>
      <c r="X386" s="1181"/>
      <c r="Y386" s="8886"/>
      <c r="Z386" s="8734" t="s">
        <v>63</v>
      </c>
      <c r="AA386" s="8886"/>
      <c r="AB386" s="8734" t="s">
        <v>63</v>
      </c>
      <c r="AC386" s="666">
        <v>607.98</v>
      </c>
      <c r="AD386" s="666"/>
      <c r="AE386" s="1181"/>
      <c r="AF386" s="8886">
        <v>45292</v>
      </c>
      <c r="AG386" s="8734" t="s">
        <v>63</v>
      </c>
      <c r="AH386" s="8905">
        <v>45657</v>
      </c>
      <c r="AI386" s="8734" t="s">
        <v>63</v>
      </c>
      <c r="AJ386" s="1358"/>
      <c r="AK38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86" s="1562" t="e">
        <f ca="1">STRCHECKDATE(V387:AJ387)</f>
        <v>#NAME?</v>
      </c>
      <c r="AM386" s="1544"/>
      <c r="AN386" s="1544" t="str">
        <f t="shared" si="6"/>
        <v>Тариф, руб. за 1 куб. метр без НДС</v>
      </c>
      <c r="AO386" s="1544"/>
      <c r="AP386" s="1544"/>
    </row>
    <row r="387" spans="1:42" s="1818" customFormat="1" ht="14.25" customHeight="1">
      <c r="A387" s="1284"/>
      <c r="B387" s="1284"/>
      <c r="C387" s="1284"/>
      <c r="D387" s="1284"/>
      <c r="E387" s="8884"/>
      <c r="F387" s="8884"/>
      <c r="G387" s="8884"/>
      <c r="H387" s="8884"/>
      <c r="I387" s="8904"/>
      <c r="J387" s="8904" t="str">
        <f>I380&amp;".1"</f>
        <v>22.1.1.1.1</v>
      </c>
      <c r="K387" s="8881"/>
      <c r="L387" s="1290"/>
      <c r="M387" s="1696"/>
      <c r="N387" s="1696"/>
      <c r="O387" s="1696"/>
      <c r="P387" s="8882"/>
      <c r="Q387" s="8882"/>
      <c r="R387" s="278"/>
      <c r="S387" s="1815"/>
      <c r="T387" s="214"/>
      <c r="U387" s="214"/>
      <c r="V387" s="246"/>
      <c r="W387" s="246"/>
      <c r="X387" s="250" t="str">
        <f>Y386&amp;"-"&amp;AA386</f>
        <v>-</v>
      </c>
      <c r="Y387" s="8887"/>
      <c r="Z387" s="8734"/>
      <c r="AA387" s="8887"/>
      <c r="AB387" s="8734"/>
      <c r="AC387" s="246"/>
      <c r="AD387" s="246"/>
      <c r="AE387" s="250" t="str">
        <f>AF386&amp;"-"&amp;AH386</f>
        <v>45292-45657</v>
      </c>
      <c r="AF387" s="8887"/>
      <c r="AG387" s="8734"/>
      <c r="AH387" s="8906"/>
      <c r="AI387" s="8734"/>
      <c r="AJ387" s="1359"/>
      <c r="AK387" s="8941"/>
      <c r="AL387" s="1562"/>
      <c r="AM387" s="1544"/>
      <c r="AN387" s="1544" t="str">
        <f t="shared" si="6"/>
        <v/>
      </c>
      <c r="AO387" s="1544"/>
      <c r="AP387" s="1544"/>
    </row>
    <row r="388" spans="1:42" s="1818" customFormat="1" ht="21" customHeight="1">
      <c r="A388" s="1284"/>
      <c r="B388" s="1284"/>
      <c r="C388" s="1284"/>
      <c r="D388" s="1284"/>
      <c r="E388" s="8884"/>
      <c r="F388" s="8884"/>
      <c r="G388" s="8884"/>
      <c r="H388" s="8884"/>
      <c r="I388" s="8904"/>
      <c r="J388" s="8881" t="str">
        <f>I380&amp;".1"</f>
        <v>22.1.1.1.1</v>
      </c>
      <c r="K388" s="1284"/>
      <c r="L388" s="1290"/>
      <c r="M388" s="1696"/>
      <c r="N388" s="1696"/>
      <c r="O388" s="1696"/>
      <c r="P388" s="8882"/>
      <c r="Q388" s="8882"/>
      <c r="R388" s="277"/>
      <c r="S388" s="3371"/>
      <c r="T388" s="3372" t="s">
        <v>948</v>
      </c>
      <c r="U388" s="3373"/>
      <c r="V388" s="3374"/>
      <c r="W388" s="3375"/>
      <c r="X388" s="3376"/>
      <c r="Y388" s="3377"/>
      <c r="Z388" s="3378"/>
      <c r="AA388" s="3379"/>
      <c r="AB388" s="3380"/>
      <c r="AC388" s="3381"/>
      <c r="AD388" s="3382"/>
      <c r="AE388" s="3383"/>
      <c r="AF388" s="3384"/>
      <c r="AG388" s="3385"/>
      <c r="AH388" s="3386"/>
      <c r="AI388" s="3387"/>
      <c r="AJ388" s="3388"/>
      <c r="AK388" s="1182" t="s">
        <v>949</v>
      </c>
      <c r="AL388" s="1562"/>
      <c r="AM388" s="1544"/>
      <c r="AN388" s="1544" t="str">
        <f t="shared" si="6"/>
        <v>Добавить значение признака дифференциации</v>
      </c>
      <c r="AO388" s="1544"/>
      <c r="AP388" s="1544"/>
    </row>
    <row r="389" spans="1:42" s="1818" customFormat="1" ht="21" customHeight="1">
      <c r="A389" s="1284"/>
      <c r="B389" s="1284"/>
      <c r="C389" s="1284"/>
      <c r="D389" s="1284"/>
      <c r="E389" s="8884" t="s">
        <v>190</v>
      </c>
      <c r="F389" s="8884"/>
      <c r="G389" s="8884"/>
      <c r="H389" s="8884"/>
      <c r="I389" s="8881"/>
      <c r="J389" s="1284"/>
      <c r="K389" s="1284"/>
      <c r="L389" s="1290"/>
      <c r="M389" s="1696"/>
      <c r="N389" s="1696"/>
      <c r="O389" s="1696"/>
      <c r="P389" s="8882"/>
      <c r="Q389" s="1811"/>
      <c r="R389" s="277"/>
      <c r="S389" s="3389"/>
      <c r="T389" s="3390" t="s">
        <v>877</v>
      </c>
      <c r="U389" s="3391"/>
      <c r="V389" s="3392"/>
      <c r="W389" s="3393"/>
      <c r="X389" s="3394"/>
      <c r="Y389" s="3395"/>
      <c r="Z389" s="3396"/>
      <c r="AA389" s="3397"/>
      <c r="AB389" s="3398"/>
      <c r="AC389" s="3399"/>
      <c r="AD389" s="3400"/>
      <c r="AE389" s="3401"/>
      <c r="AF389" s="3402"/>
      <c r="AG389" s="3403"/>
      <c r="AH389" s="3404"/>
      <c r="AI389" s="3405"/>
      <c r="AJ389" s="3406"/>
      <c r="AK389" s="3407"/>
      <c r="AL389" s="1562"/>
      <c r="AM389" s="1544"/>
      <c r="AN389" s="1544" t="str">
        <f t="shared" si="6"/>
        <v>Добавить группу потребителей</v>
      </c>
      <c r="AO389" s="1544"/>
      <c r="AP389" s="1544"/>
    </row>
    <row r="390" spans="1:42" s="1818" customFormat="1" ht="21" customHeight="1">
      <c r="A390" s="1284"/>
      <c r="B390" s="1284"/>
      <c r="C390" s="1284"/>
      <c r="D390" s="1284"/>
      <c r="E390" s="8884" t="s">
        <v>190</v>
      </c>
      <c r="F390" s="8884"/>
      <c r="G390" s="8884"/>
      <c r="H390" s="8883"/>
      <c r="I390" s="1284"/>
      <c r="J390" s="1284"/>
      <c r="K390" s="1284"/>
      <c r="L390" s="1290"/>
      <c r="M390" s="1286"/>
      <c r="N390" s="1286"/>
      <c r="O390" s="1287"/>
      <c r="P390" s="1742"/>
      <c r="Q390" s="299"/>
      <c r="R390" s="276"/>
      <c r="S390" s="3408"/>
      <c r="T390" s="3409" t="s">
        <v>950</v>
      </c>
      <c r="U390" s="3410"/>
      <c r="V390" s="3411"/>
      <c r="W390" s="3412"/>
      <c r="X390" s="3413"/>
      <c r="Y390" s="3414"/>
      <c r="Z390" s="3415"/>
      <c r="AA390" s="3416"/>
      <c r="AB390" s="3417"/>
      <c r="AC390" s="3418"/>
      <c r="AD390" s="3419"/>
      <c r="AE390" s="3420"/>
      <c r="AF390" s="3421"/>
      <c r="AG390" s="3422"/>
      <c r="AH390" s="3423"/>
      <c r="AI390" s="3424"/>
      <c r="AJ390" s="3425"/>
      <c r="AK390" s="3426"/>
      <c r="AL390" s="1562"/>
      <c r="AM390" s="1544"/>
      <c r="AN390" s="1544" t="str">
        <f t="shared" si="6"/>
        <v>Добавить наименование признака дифференциации</v>
      </c>
      <c r="AO390" s="1544"/>
      <c r="AP390" s="1544"/>
    </row>
    <row r="391" spans="1:42" s="541" customFormat="1" ht="14.25" customHeight="1">
      <c r="A391" s="1265"/>
      <c r="B391" s="1265"/>
      <c r="C391" s="1265"/>
      <c r="D391" s="1265"/>
      <c r="E391" s="8884" t="s">
        <v>190</v>
      </c>
      <c r="F391" s="8883"/>
      <c r="G391" s="1265"/>
      <c r="H391" s="1265"/>
      <c r="I391" s="1265"/>
      <c r="J391" s="1265"/>
      <c r="K391" s="1265"/>
      <c r="L391" s="1466"/>
      <c r="M391" s="1244"/>
      <c r="N391" s="1244"/>
      <c r="O391" s="1562"/>
      <c r="P391" s="1239"/>
      <c r="Q391" s="1266"/>
      <c r="R391" s="1239"/>
      <c r="S391" s="1245"/>
      <c r="T391" s="1248" t="s">
        <v>314</v>
      </c>
      <c r="U391" s="1247"/>
      <c r="V391" s="1247"/>
      <c r="W391" s="1247"/>
      <c r="X391" s="1247"/>
      <c r="Y391" s="1247"/>
      <c r="Z391" s="1247"/>
      <c r="AA391" s="1247"/>
      <c r="AB391" s="1247"/>
      <c r="AC391" s="1247"/>
      <c r="AD391" s="1247"/>
      <c r="AE391" s="1247"/>
      <c r="AF391" s="1247"/>
      <c r="AG391" s="1247"/>
      <c r="AH391" s="1247"/>
      <c r="AI391" s="1247"/>
      <c r="AJ391" s="1247"/>
      <c r="AK391" s="1247"/>
      <c r="AL391" s="1562"/>
      <c r="AM391" s="1544"/>
      <c r="AN391" s="1544" t="str">
        <f t="shared" si="6"/>
        <v>Добавить централизованную систему для дифференциации</v>
      </c>
      <c r="AO391" s="1544"/>
      <c r="AP391" s="1544"/>
    </row>
    <row r="392" spans="1:42" s="541" customFormat="1" ht="14.25" customHeight="1">
      <c r="A392" s="1265"/>
      <c r="B392" s="1265"/>
      <c r="C392" s="1265"/>
      <c r="D392" s="1265"/>
      <c r="E392" s="8883" t="s">
        <v>190</v>
      </c>
      <c r="F392" s="1265"/>
      <c r="G392" s="1265"/>
      <c r="H392" s="1265"/>
      <c r="I392" s="1265"/>
      <c r="J392" s="1265"/>
      <c r="K392" s="1265"/>
      <c r="L392" s="1466"/>
      <c r="M392" s="1244"/>
      <c r="N392" s="1244"/>
      <c r="O392" s="1562"/>
      <c r="P392" s="1239"/>
      <c r="Q392" s="1266"/>
      <c r="R392" s="1239"/>
      <c r="S392" s="1245"/>
      <c r="T392" s="1248" t="s">
        <v>315</v>
      </c>
      <c r="U392" s="1247"/>
      <c r="V392" s="1247"/>
      <c r="W392" s="1247"/>
      <c r="X392" s="1247"/>
      <c r="Y392" s="1247"/>
      <c r="Z392" s="1247"/>
      <c r="AA392" s="1247"/>
      <c r="AB392" s="1247"/>
      <c r="AC392" s="1247"/>
      <c r="AD392" s="1247"/>
      <c r="AE392" s="1247"/>
      <c r="AF392" s="1247"/>
      <c r="AG392" s="1247"/>
      <c r="AH392" s="1247"/>
      <c r="AI392" s="1247"/>
      <c r="AJ392" s="1247"/>
      <c r="AK392" s="1247"/>
      <c r="AL392" s="1562"/>
      <c r="AM392" s="1544"/>
      <c r="AN392" s="1544" t="str">
        <f t="shared" si="6"/>
        <v>Добавить территорию для дифференциации</v>
      </c>
      <c r="AO392" s="1544"/>
      <c r="AP392" s="1544"/>
    </row>
    <row r="393" spans="1:42" s="1818" customFormat="1" ht="23.25" customHeight="1">
      <c r="A393" s="1284" t="s">
        <v>424</v>
      </c>
      <c r="B393" s="1284"/>
      <c r="C393" s="1284"/>
      <c r="D393" s="1284"/>
      <c r="E393" s="8883" t="s">
        <v>422</v>
      </c>
      <c r="F393" s="1284"/>
      <c r="G393" s="1284"/>
      <c r="H393" s="1284"/>
      <c r="I393" s="1284"/>
      <c r="J393" s="1284"/>
      <c r="K393" s="1284"/>
      <c r="L393" s="1290"/>
      <c r="M393" s="1286"/>
      <c r="N393" s="1286"/>
      <c r="O393" s="1286"/>
      <c r="P393" s="1812"/>
      <c r="Q393" s="1742"/>
      <c r="R393" s="276"/>
      <c r="S393" s="1810" t="str">
        <f>INDEX(PT_DIFFERENTIATION_NUM_NTAR,MATCH(A393,PT_DIFFERENTIATION_NTAR_ID,0))</f>
        <v>23</v>
      </c>
      <c r="T393" s="1440" t="s">
        <v>211</v>
      </c>
      <c r="U393" s="214"/>
      <c r="V393" s="8869"/>
      <c r="W393" s="8870"/>
      <c r="X393" s="8870"/>
      <c r="Y393" s="8870"/>
      <c r="Z393" s="8870"/>
      <c r="AA393" s="8870"/>
      <c r="AB393" s="8871"/>
      <c r="AC393" s="8869" t="str">
        <f>INDEX(PT_DIFFERENTIATION_NTAR,MATCH(A393,PT_DIFFERENTIATION_NTAR_ID,0))</f>
        <v>Подвоз воды потребителям поселка Песчаного</v>
      </c>
      <c r="AD393" s="8870"/>
      <c r="AE393" s="8870"/>
      <c r="AF393" s="8870"/>
      <c r="AG393" s="8870"/>
      <c r="AH393" s="8870"/>
      <c r="AI393" s="8870"/>
      <c r="AJ393" s="8871"/>
      <c r="AK39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393" s="1562"/>
      <c r="AM393" s="1544"/>
      <c r="AN393" s="1544" t="str">
        <f t="shared" si="6"/>
        <v>Наименование тарифа</v>
      </c>
      <c r="AO393" s="1544"/>
      <c r="AP393" s="1544"/>
    </row>
    <row r="394" spans="1:42" s="1818" customFormat="1" ht="23.25" customHeight="1">
      <c r="A394" s="1284"/>
      <c r="B394" s="1284" t="s">
        <v>425</v>
      </c>
      <c r="C394" s="1284"/>
      <c r="D394" s="1284"/>
      <c r="E394" s="8884" t="s">
        <v>416</v>
      </c>
      <c r="F394" s="8883">
        <v>1</v>
      </c>
      <c r="G394" s="1284"/>
      <c r="H394" s="1284"/>
      <c r="I394" s="1284"/>
      <c r="J394" s="1284"/>
      <c r="K394" s="1284"/>
      <c r="L394" s="1290"/>
      <c r="M394" s="1286"/>
      <c r="N394" s="1286"/>
      <c r="O394" s="1286"/>
      <c r="P394" s="1807"/>
      <c r="Q394" s="273"/>
      <c r="R394" s="274"/>
      <c r="S394" s="1810" t="str">
        <f>INDEX(PT_DIFFERENTIATION_NUM_TER,MATCH(B394,PT_DIFFERENTIATION_TER_ID,0))</f>
        <v>23.1</v>
      </c>
      <c r="T394" s="1437" t="s">
        <v>862</v>
      </c>
      <c r="U394" s="214"/>
      <c r="V394" s="8869"/>
      <c r="W394" s="8870"/>
      <c r="X394" s="8870"/>
      <c r="Y394" s="8870"/>
      <c r="Z394" s="8870"/>
      <c r="AA394" s="8870"/>
      <c r="AB394" s="8871"/>
      <c r="AC394" s="8869" t="str">
        <f>INDEX(PT_DIFFERENTIATION_TER,MATCH(B394,PT_DIFFERENTIATION_TER_ID,0))</f>
        <v>Территория 7</v>
      </c>
      <c r="AD394" s="8870"/>
      <c r="AE394" s="8870"/>
      <c r="AF394" s="8870"/>
      <c r="AG394" s="8870"/>
      <c r="AH394" s="8870"/>
      <c r="AI394" s="8870"/>
      <c r="AJ394" s="8871"/>
      <c r="AK394" s="1182" t="s">
        <v>863</v>
      </c>
      <c r="AL394" s="1562"/>
      <c r="AM394" s="1544"/>
      <c r="AN394" s="1544" t="str">
        <f t="shared" si="6"/>
        <v>Территория действия тарифа</v>
      </c>
      <c r="AO394" s="1544"/>
      <c r="AP394" s="1544"/>
    </row>
    <row r="395" spans="1:42" s="1818" customFormat="1" ht="23.25" customHeight="1">
      <c r="A395" s="1284"/>
      <c r="B395" s="1284"/>
      <c r="C395" s="1284" t="s">
        <v>426</v>
      </c>
      <c r="D395" s="1284"/>
      <c r="E395" s="8884" t="s">
        <v>416</v>
      </c>
      <c r="F395" s="8884"/>
      <c r="G395" s="8883">
        <v>1</v>
      </c>
      <c r="H395" s="1284"/>
      <c r="I395" s="1284"/>
      <c r="J395" s="1284"/>
      <c r="K395" s="1284"/>
      <c r="L395" s="1290"/>
      <c r="M395" s="1286"/>
      <c r="N395" s="1286"/>
      <c r="O395" s="1286"/>
      <c r="P395" s="275"/>
      <c r="Q395" s="273"/>
      <c r="R395" s="274"/>
      <c r="S395" s="1810" t="str">
        <f>INDEX(PT_DIFFERENTIATION_NUM_CS,MATCH(C395,PT_DIFFERENTIATION_CS_ID,0))</f>
        <v>23.1.1</v>
      </c>
      <c r="T395" s="225" t="s">
        <v>943</v>
      </c>
      <c r="U395" s="214"/>
      <c r="V395" s="8869"/>
      <c r="W395" s="8870"/>
      <c r="X395" s="8870"/>
      <c r="Y395" s="8870"/>
      <c r="Z395" s="8870"/>
      <c r="AA395" s="8870"/>
      <c r="AB395" s="8871"/>
      <c r="AC395" s="8869" t="str">
        <f>INDEX(PT_DIFFERENTIATION_CS,MATCH(C395,PT_DIFFERENTIATION_CS_ID,0))</f>
        <v>без дифференциации</v>
      </c>
      <c r="AD395" s="8870"/>
      <c r="AE395" s="8870"/>
      <c r="AF395" s="8870"/>
      <c r="AG395" s="8870"/>
      <c r="AH395" s="8870"/>
      <c r="AI395" s="8870"/>
      <c r="AJ395" s="8871"/>
      <c r="AK395" s="1182" t="s">
        <v>944</v>
      </c>
      <c r="AL395" s="1562"/>
      <c r="AM395" s="1544"/>
      <c r="AN395" s="1544" t="str">
        <f t="shared" si="6"/>
        <v>Наименование централизованной системы холодного водоснабжения</v>
      </c>
      <c r="AO395" s="1544"/>
      <c r="AP395" s="1544"/>
    </row>
    <row r="396" spans="1:42" s="1818" customFormat="1" ht="23.25" customHeight="1">
      <c r="A396" s="1284"/>
      <c r="B396" s="1284"/>
      <c r="C396" s="1284"/>
      <c r="D396" s="1284"/>
      <c r="E396" s="8884" t="s">
        <v>416</v>
      </c>
      <c r="F396" s="8884"/>
      <c r="G396" s="8884"/>
      <c r="H396" s="8884"/>
      <c r="I396" s="8881" t="str">
        <f>S395&amp;".1"</f>
        <v>23.1.1.1</v>
      </c>
      <c r="J396" s="1284"/>
      <c r="K396" s="1284"/>
      <c r="L396" s="1290"/>
      <c r="M396" s="1696"/>
      <c r="N396" s="1696"/>
      <c r="O396" s="1696"/>
      <c r="P396" s="8882">
        <v>1</v>
      </c>
      <c r="Q396" s="1811"/>
      <c r="R396" s="277"/>
      <c r="S396" s="1810" t="str">
        <f>$I396</f>
        <v>23.1.1.1</v>
      </c>
      <c r="T396" s="200" t="s">
        <v>945</v>
      </c>
      <c r="U396" s="214"/>
      <c r="V396" s="8942"/>
      <c r="W396" s="8943"/>
      <c r="X396" s="8943"/>
      <c r="Y396" s="8943"/>
      <c r="Z396" s="8943"/>
      <c r="AA396" s="8943"/>
      <c r="AB396" s="8944"/>
      <c r="AC396" s="8945"/>
      <c r="AD396" s="8946"/>
      <c r="AE396" s="8946"/>
      <c r="AF396" s="8946"/>
      <c r="AG396" s="8946"/>
      <c r="AH396" s="8946"/>
      <c r="AI396" s="8946"/>
      <c r="AJ396" s="8947"/>
      <c r="AK396" s="1182" t="s">
        <v>946</v>
      </c>
      <c r="AL396" s="1562"/>
      <c r="AM396" s="1544"/>
      <c r="AN396" s="1544" t="str">
        <f t="shared" si="6"/>
        <v>Наименование признака дифференциации</v>
      </c>
      <c r="AO396" s="1544"/>
      <c r="AP396" s="1544"/>
    </row>
    <row r="397" spans="1:42" s="1818" customFormat="1" ht="23.25" customHeight="1">
      <c r="A397" s="1284"/>
      <c r="B397" s="1284"/>
      <c r="C397" s="1284"/>
      <c r="D397" s="1284"/>
      <c r="E397" s="8884" t="s">
        <v>416</v>
      </c>
      <c r="F397" s="8884"/>
      <c r="G397" s="8884"/>
      <c r="H397" s="8884"/>
      <c r="I397" s="8904"/>
      <c r="J397" s="8881" t="str">
        <f>I396&amp;".1"</f>
        <v>23.1.1.1.1</v>
      </c>
      <c r="K397" s="1284"/>
      <c r="L397" s="1290" t="s">
        <v>871</v>
      </c>
      <c r="M397" s="1696"/>
      <c r="N397" s="1696"/>
      <c r="O397" s="1696"/>
      <c r="P397" s="8882"/>
      <c r="Q397" s="8882">
        <v>1</v>
      </c>
      <c r="R397" s="278"/>
      <c r="S397" s="1810" t="str">
        <f>$J397</f>
        <v>23.1.1.1.1</v>
      </c>
      <c r="T397" s="201" t="s">
        <v>872</v>
      </c>
      <c r="U397" s="214"/>
      <c r="V397" s="8872"/>
      <c r="W397" s="8873"/>
      <c r="X397" s="8873"/>
      <c r="Y397" s="8873"/>
      <c r="Z397" s="8873"/>
      <c r="AA397" s="8873"/>
      <c r="AB397" s="8874"/>
      <c r="AC397" s="8872" t="s">
        <v>961</v>
      </c>
      <c r="AD397" s="8873"/>
      <c r="AE397" s="8873"/>
      <c r="AF397" s="8873"/>
      <c r="AG397" s="8873"/>
      <c r="AH397" s="8873"/>
      <c r="AI397" s="8873"/>
      <c r="AJ397" s="8874"/>
      <c r="AK397" s="1231" t="s">
        <v>947</v>
      </c>
      <c r="AL397" s="1562"/>
      <c r="AM397" s="1544"/>
      <c r="AN397" s="1544" t="str">
        <f t="shared" si="6"/>
        <v>Группа потребителей</v>
      </c>
      <c r="AO397" s="1544"/>
      <c r="AP397" s="1544"/>
    </row>
    <row r="398" spans="1:42" s="1818" customFormat="1" ht="23.25" customHeight="1">
      <c r="A398" s="1284"/>
      <c r="B398" s="1284"/>
      <c r="C398" s="1284"/>
      <c r="D398" s="1284"/>
      <c r="E398" s="8884" t="s">
        <v>416</v>
      </c>
      <c r="F398" s="8884"/>
      <c r="G398" s="8884"/>
      <c r="H398" s="8884"/>
      <c r="I398" s="8904"/>
      <c r="J398" s="8904"/>
      <c r="K398" s="8881" t="str">
        <f>J397&amp;".1"</f>
        <v>23.1.1.1.1.1</v>
      </c>
      <c r="L398" s="1290"/>
      <c r="M398" s="1696"/>
      <c r="N398" s="1696"/>
      <c r="O398" s="1696"/>
      <c r="P398" s="8882"/>
      <c r="Q398" s="8882"/>
      <c r="R398" s="278">
        <v>1</v>
      </c>
      <c r="S398" s="1810" t="str">
        <f>$K398</f>
        <v>23.1.1.1.1.1</v>
      </c>
      <c r="T398" s="1357" t="s">
        <v>962</v>
      </c>
      <c r="U398" s="214"/>
      <c r="V398" s="666"/>
      <c r="W398" s="666"/>
      <c r="X398" s="1181"/>
      <c r="Y398" s="8886"/>
      <c r="Z398" s="8734" t="s">
        <v>63</v>
      </c>
      <c r="AA398" s="8886"/>
      <c r="AB398" s="8734" t="s">
        <v>63</v>
      </c>
      <c r="AC398" s="666">
        <v>960.79</v>
      </c>
      <c r="AD398" s="666"/>
      <c r="AE398" s="1181"/>
      <c r="AF398" s="8886">
        <v>45292</v>
      </c>
      <c r="AG398" s="8734" t="s">
        <v>63</v>
      </c>
      <c r="AH398" s="8905">
        <v>45657</v>
      </c>
      <c r="AI398" s="8734" t="s">
        <v>63</v>
      </c>
      <c r="AJ398" s="1358"/>
      <c r="AK39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8" s="1562" t="e">
        <f ca="1">STRCHECKDATE(V399:AJ399)</f>
        <v>#NAME?</v>
      </c>
      <c r="AM398" s="1544"/>
      <c r="AN398" s="1544" t="str">
        <f t="shared" si="6"/>
        <v>Тариф для населения, руб. за 1 куб. метр с НДС</v>
      </c>
      <c r="AO398" s="1544"/>
      <c r="AP398" s="1544"/>
    </row>
    <row r="399" spans="1:42" s="1818" customFormat="1" ht="14.25" customHeight="1">
      <c r="A399" s="1284"/>
      <c r="B399" s="1284"/>
      <c r="C399" s="1284"/>
      <c r="D399" s="1284"/>
      <c r="E399" s="8884" t="s">
        <v>416</v>
      </c>
      <c r="F399" s="8884"/>
      <c r="G399" s="8884"/>
      <c r="H399" s="8884"/>
      <c r="I399" s="8904"/>
      <c r="J399" s="8904"/>
      <c r="K399" s="8881"/>
      <c r="L399" s="1290"/>
      <c r="M399" s="1696"/>
      <c r="N399" s="1696"/>
      <c r="O399" s="1696"/>
      <c r="P399" s="8882"/>
      <c r="Q399" s="8882"/>
      <c r="R399" s="278"/>
      <c r="S399" s="1815"/>
      <c r="T399" s="214"/>
      <c r="U399" s="214"/>
      <c r="V399" s="246"/>
      <c r="W399" s="246"/>
      <c r="X399" s="250" t="str">
        <f>Y398&amp;"-"&amp;AA398</f>
        <v>-</v>
      </c>
      <c r="Y399" s="8887"/>
      <c r="Z399" s="8734"/>
      <c r="AA399" s="8887"/>
      <c r="AB399" s="8734"/>
      <c r="AC399" s="246"/>
      <c r="AD399" s="246"/>
      <c r="AE399" s="250" t="str">
        <f>AF398&amp;"-"&amp;AH398</f>
        <v>45292-45657</v>
      </c>
      <c r="AF399" s="8887"/>
      <c r="AG399" s="8734"/>
      <c r="AH399" s="8906"/>
      <c r="AI399" s="8734"/>
      <c r="AJ399" s="1359"/>
      <c r="AK399" s="8941"/>
      <c r="AL399" s="1562"/>
      <c r="AM399" s="1544"/>
      <c r="AN399" s="1544" t="str">
        <f t="shared" si="6"/>
        <v/>
      </c>
      <c r="AO399" s="1544"/>
      <c r="AP399" s="1544"/>
    </row>
    <row r="400" spans="1:42" s="1818" customFormat="1" ht="21" customHeight="1">
      <c r="A400" s="1284"/>
      <c r="B400" s="1284"/>
      <c r="C400" s="1284"/>
      <c r="D400" s="1284"/>
      <c r="E400" s="8884" t="s">
        <v>416</v>
      </c>
      <c r="F400" s="8884"/>
      <c r="G400" s="8884"/>
      <c r="H400" s="8884"/>
      <c r="I400" s="8904"/>
      <c r="J400" s="8881"/>
      <c r="K400" s="1284"/>
      <c r="L400" s="1290"/>
      <c r="M400" s="1696"/>
      <c r="N400" s="1696"/>
      <c r="O400" s="1696"/>
      <c r="P400" s="8882"/>
      <c r="Q400" s="8882"/>
      <c r="R400" s="277"/>
      <c r="S400" s="3427"/>
      <c r="T400" s="3428" t="s">
        <v>948</v>
      </c>
      <c r="U400" s="3429"/>
      <c r="V400" s="3430"/>
      <c r="W400" s="3431"/>
      <c r="X400" s="3432"/>
      <c r="Y400" s="3433"/>
      <c r="Z400" s="3434"/>
      <c r="AA400" s="3435"/>
      <c r="AB400" s="3436"/>
      <c r="AC400" s="3437"/>
      <c r="AD400" s="3438"/>
      <c r="AE400" s="3439"/>
      <c r="AF400" s="3440"/>
      <c r="AG400" s="3441"/>
      <c r="AH400" s="3442"/>
      <c r="AI400" s="3443"/>
      <c r="AJ400" s="3444"/>
      <c r="AK400" s="1182" t="s">
        <v>949</v>
      </c>
      <c r="AL400" s="1562"/>
      <c r="AM400" s="1544"/>
      <c r="AN400" s="1544" t="str">
        <f t="shared" si="6"/>
        <v>Добавить значение признака дифференциации</v>
      </c>
      <c r="AO400" s="1544"/>
      <c r="AP400" s="1544"/>
    </row>
    <row r="401" spans="1:42" s="1818" customFormat="1" ht="23.25" customHeight="1">
      <c r="A401" s="1284"/>
      <c r="B401" s="1284"/>
      <c r="C401" s="1284"/>
      <c r="D401" s="1284"/>
      <c r="E401" s="8884"/>
      <c r="F401" s="8884"/>
      <c r="G401" s="8884"/>
      <c r="H401" s="8884"/>
      <c r="I401" s="8904"/>
      <c r="J401" s="8881" t="str">
        <f>I396&amp;".2"</f>
        <v>23.1.1.1.2</v>
      </c>
      <c r="K401" s="1284"/>
      <c r="L401" s="1290" t="s">
        <v>871</v>
      </c>
      <c r="M401" s="1696"/>
      <c r="N401" s="1696"/>
      <c r="O401" s="1696"/>
      <c r="P401" s="8882"/>
      <c r="Q401" s="8948" t="s">
        <v>100</v>
      </c>
      <c r="R401" s="278"/>
      <c r="S401" s="1810" t="str">
        <f>$J401</f>
        <v>23.1.1.1.2</v>
      </c>
      <c r="T401" s="201" t="s">
        <v>872</v>
      </c>
      <c r="U401" s="214"/>
      <c r="V401" s="8872"/>
      <c r="W401" s="8873"/>
      <c r="X401" s="8873"/>
      <c r="Y401" s="8873"/>
      <c r="Z401" s="8873"/>
      <c r="AA401" s="8873"/>
      <c r="AB401" s="8874"/>
      <c r="AC401" s="8872" t="s">
        <v>963</v>
      </c>
      <c r="AD401" s="8873"/>
      <c r="AE401" s="8873"/>
      <c r="AF401" s="8873"/>
      <c r="AG401" s="8873"/>
      <c r="AH401" s="8873"/>
      <c r="AI401" s="8873"/>
      <c r="AJ401" s="8874"/>
      <c r="AK401" s="1231" t="s">
        <v>947</v>
      </c>
      <c r="AL401" s="1562"/>
      <c r="AM401" s="1544"/>
      <c r="AN401" s="1544" t="str">
        <f t="shared" si="6"/>
        <v>Группа потребителей</v>
      </c>
      <c r="AO401" s="1544"/>
      <c r="AP401" s="1544"/>
    </row>
    <row r="402" spans="1:42" s="1818" customFormat="1" ht="23.25" customHeight="1">
      <c r="A402" s="1284"/>
      <c r="B402" s="1284"/>
      <c r="C402" s="1284"/>
      <c r="D402" s="1284"/>
      <c r="E402" s="8884"/>
      <c r="F402" s="8884"/>
      <c r="G402" s="8884"/>
      <c r="H402" s="8884"/>
      <c r="I402" s="8904"/>
      <c r="J402" s="8904" t="str">
        <f>I396&amp;".1"</f>
        <v>23.1.1.1.1</v>
      </c>
      <c r="K402" s="8881" t="str">
        <f>J401&amp;".1"</f>
        <v>23.1.1.1.2.1</v>
      </c>
      <c r="L402" s="1290"/>
      <c r="M402" s="1696"/>
      <c r="N402" s="1696"/>
      <c r="O402" s="1696"/>
      <c r="P402" s="8882"/>
      <c r="Q402" s="8882"/>
      <c r="R402" s="278">
        <v>1</v>
      </c>
      <c r="S402" s="1810" t="str">
        <f>$K402</f>
        <v>23.1.1.1.2.1</v>
      </c>
      <c r="T402" s="1357" t="s">
        <v>964</v>
      </c>
      <c r="U402" s="214"/>
      <c r="V402" s="666"/>
      <c r="W402" s="666"/>
      <c r="X402" s="1181"/>
      <c r="Y402" s="8886"/>
      <c r="Z402" s="8734" t="s">
        <v>63</v>
      </c>
      <c r="AA402" s="8886"/>
      <c r="AB402" s="8734" t="s">
        <v>63</v>
      </c>
      <c r="AC402" s="666">
        <v>800.66</v>
      </c>
      <c r="AD402" s="666"/>
      <c r="AE402" s="1181"/>
      <c r="AF402" s="8886">
        <v>45292</v>
      </c>
      <c r="AG402" s="8734" t="s">
        <v>63</v>
      </c>
      <c r="AH402" s="8905">
        <v>45657</v>
      </c>
      <c r="AI402" s="8734" t="s">
        <v>63</v>
      </c>
      <c r="AJ402" s="1358"/>
      <c r="AK40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02" s="1562" t="e">
        <f ca="1">STRCHECKDATE(V403:AJ403)</f>
        <v>#NAME?</v>
      </c>
      <c r="AM402" s="1544"/>
      <c r="AN402" s="1544" t="str">
        <f t="shared" si="6"/>
        <v>Тариф, руб. за 1 куб. метр без НДС</v>
      </c>
      <c r="AO402" s="1544"/>
      <c r="AP402" s="1544"/>
    </row>
    <row r="403" spans="1:42" s="1818" customFormat="1" ht="14.25" customHeight="1">
      <c r="A403" s="1284"/>
      <c r="B403" s="1284"/>
      <c r="C403" s="1284"/>
      <c r="D403" s="1284"/>
      <c r="E403" s="8884"/>
      <c r="F403" s="8884"/>
      <c r="G403" s="8884"/>
      <c r="H403" s="8884"/>
      <c r="I403" s="8904"/>
      <c r="J403" s="8904" t="str">
        <f>I396&amp;".1"</f>
        <v>23.1.1.1.1</v>
      </c>
      <c r="K403" s="8881"/>
      <c r="L403" s="1290"/>
      <c r="M403" s="1696"/>
      <c r="N403" s="1696"/>
      <c r="O403" s="1696"/>
      <c r="P403" s="8882"/>
      <c r="Q403" s="8882"/>
      <c r="R403" s="278"/>
      <c r="S403" s="1815"/>
      <c r="T403" s="214"/>
      <c r="U403" s="214"/>
      <c r="V403" s="246"/>
      <c r="W403" s="246"/>
      <c r="X403" s="250" t="str">
        <f>Y402&amp;"-"&amp;AA402</f>
        <v>-</v>
      </c>
      <c r="Y403" s="8887"/>
      <c r="Z403" s="8734"/>
      <c r="AA403" s="8887"/>
      <c r="AB403" s="8734"/>
      <c r="AC403" s="246"/>
      <c r="AD403" s="246"/>
      <c r="AE403" s="250" t="str">
        <f>AF402&amp;"-"&amp;AH402</f>
        <v>45292-45657</v>
      </c>
      <c r="AF403" s="8887"/>
      <c r="AG403" s="8734"/>
      <c r="AH403" s="8906"/>
      <c r="AI403" s="8734"/>
      <c r="AJ403" s="1359"/>
      <c r="AK403" s="8941"/>
      <c r="AL403" s="1562"/>
      <c r="AM403" s="1544"/>
      <c r="AN403" s="1544" t="str">
        <f t="shared" si="6"/>
        <v/>
      </c>
      <c r="AO403" s="1544"/>
      <c r="AP403" s="1544"/>
    </row>
    <row r="404" spans="1:42" s="1818" customFormat="1" ht="21" customHeight="1">
      <c r="A404" s="1284"/>
      <c r="B404" s="1284"/>
      <c r="C404" s="1284"/>
      <c r="D404" s="1284"/>
      <c r="E404" s="8884"/>
      <c r="F404" s="8884"/>
      <c r="G404" s="8884"/>
      <c r="H404" s="8884"/>
      <c r="I404" s="8904"/>
      <c r="J404" s="8881" t="str">
        <f>I396&amp;".1"</f>
        <v>23.1.1.1.1</v>
      </c>
      <c r="K404" s="1284"/>
      <c r="L404" s="1290"/>
      <c r="M404" s="1696"/>
      <c r="N404" s="1696"/>
      <c r="O404" s="1696"/>
      <c r="P404" s="8882"/>
      <c r="Q404" s="8882"/>
      <c r="R404" s="277"/>
      <c r="S404" s="3445"/>
      <c r="T404" s="3446" t="s">
        <v>948</v>
      </c>
      <c r="U404" s="3447"/>
      <c r="V404" s="3448"/>
      <c r="W404" s="3449"/>
      <c r="X404" s="3450"/>
      <c r="Y404" s="3451"/>
      <c r="Z404" s="3452"/>
      <c r="AA404" s="3453"/>
      <c r="AB404" s="3454"/>
      <c r="AC404" s="3455"/>
      <c r="AD404" s="3456"/>
      <c r="AE404" s="3457"/>
      <c r="AF404" s="3458"/>
      <c r="AG404" s="3459"/>
      <c r="AH404" s="3460"/>
      <c r="AI404" s="3461"/>
      <c r="AJ404" s="3462"/>
      <c r="AK404" s="1182" t="s">
        <v>949</v>
      </c>
      <c r="AL404" s="1562"/>
      <c r="AM404" s="1544"/>
      <c r="AN404" s="1544" t="str">
        <f t="shared" si="6"/>
        <v>Добавить значение признака дифференциации</v>
      </c>
      <c r="AO404" s="1544"/>
      <c r="AP404" s="1544"/>
    </row>
    <row r="405" spans="1:42" s="1818" customFormat="1" ht="21" customHeight="1">
      <c r="A405" s="1284"/>
      <c r="B405" s="1284"/>
      <c r="C405" s="1284"/>
      <c r="D405" s="1284"/>
      <c r="E405" s="8884" t="s">
        <v>416</v>
      </c>
      <c r="F405" s="8884"/>
      <c r="G405" s="8884"/>
      <c r="H405" s="8884"/>
      <c r="I405" s="8881"/>
      <c r="J405" s="1284"/>
      <c r="K405" s="1284"/>
      <c r="L405" s="1290"/>
      <c r="M405" s="1696"/>
      <c r="N405" s="1696"/>
      <c r="O405" s="1696"/>
      <c r="P405" s="8882"/>
      <c r="Q405" s="1811"/>
      <c r="R405" s="277"/>
      <c r="S405" s="3463"/>
      <c r="T405" s="3464" t="s">
        <v>877</v>
      </c>
      <c r="U405" s="3465"/>
      <c r="V405" s="3466"/>
      <c r="W405" s="3467"/>
      <c r="X405" s="3468"/>
      <c r="Y405" s="3469"/>
      <c r="Z405" s="3470"/>
      <c r="AA405" s="3471"/>
      <c r="AB405" s="3472"/>
      <c r="AC405" s="3473"/>
      <c r="AD405" s="3474"/>
      <c r="AE405" s="3475"/>
      <c r="AF405" s="3476"/>
      <c r="AG405" s="3477"/>
      <c r="AH405" s="3478"/>
      <c r="AI405" s="3479"/>
      <c r="AJ405" s="3480"/>
      <c r="AK405" s="3481"/>
      <c r="AL405" s="1562"/>
      <c r="AM405" s="1544"/>
      <c r="AN405" s="1544" t="str">
        <f t="shared" si="6"/>
        <v>Добавить группу потребителей</v>
      </c>
      <c r="AO405" s="1544"/>
      <c r="AP405" s="1544"/>
    </row>
    <row r="406" spans="1:42" s="1818" customFormat="1" ht="21" customHeight="1">
      <c r="A406" s="1284"/>
      <c r="B406" s="1284"/>
      <c r="C406" s="1284"/>
      <c r="D406" s="1284"/>
      <c r="E406" s="8884" t="s">
        <v>416</v>
      </c>
      <c r="F406" s="8884"/>
      <c r="G406" s="8884"/>
      <c r="H406" s="8883"/>
      <c r="I406" s="1284"/>
      <c r="J406" s="1284"/>
      <c r="K406" s="1284"/>
      <c r="L406" s="1290"/>
      <c r="M406" s="1286"/>
      <c r="N406" s="1286"/>
      <c r="O406" s="1287"/>
      <c r="P406" s="1742"/>
      <c r="Q406" s="299"/>
      <c r="R406" s="276"/>
      <c r="S406" s="3482"/>
      <c r="T406" s="3483" t="s">
        <v>950</v>
      </c>
      <c r="U406" s="3484"/>
      <c r="V406" s="3485"/>
      <c r="W406" s="3486"/>
      <c r="X406" s="3487"/>
      <c r="Y406" s="3488"/>
      <c r="Z406" s="3489"/>
      <c r="AA406" s="3490"/>
      <c r="AB406" s="3491"/>
      <c r="AC406" s="3492"/>
      <c r="AD406" s="3493"/>
      <c r="AE406" s="3494"/>
      <c r="AF406" s="3495"/>
      <c r="AG406" s="3496"/>
      <c r="AH406" s="3497"/>
      <c r="AI406" s="3498"/>
      <c r="AJ406" s="3499"/>
      <c r="AK406" s="3500"/>
      <c r="AL406" s="1562"/>
      <c r="AM406" s="1544"/>
      <c r="AN406" s="1544" t="str">
        <f t="shared" si="6"/>
        <v>Добавить наименование признака дифференциации</v>
      </c>
      <c r="AO406" s="1544"/>
      <c r="AP406" s="1544"/>
    </row>
    <row r="407" spans="1:42" s="541" customFormat="1" ht="14.25" customHeight="1">
      <c r="A407" s="1265"/>
      <c r="B407" s="1265"/>
      <c r="C407" s="1265"/>
      <c r="D407" s="1265"/>
      <c r="E407" s="8884" t="s">
        <v>416</v>
      </c>
      <c r="F407" s="8883"/>
      <c r="G407" s="1265"/>
      <c r="H407" s="1265"/>
      <c r="I407" s="1265"/>
      <c r="J407" s="1265"/>
      <c r="K407" s="1265"/>
      <c r="L407" s="1466"/>
      <c r="M407" s="1244"/>
      <c r="N407" s="1244"/>
      <c r="O407" s="1562"/>
      <c r="P407" s="1239"/>
      <c r="Q407" s="1266"/>
      <c r="R407" s="1239"/>
      <c r="S407" s="1245"/>
      <c r="T407" s="1248" t="s">
        <v>314</v>
      </c>
      <c r="U407" s="1247"/>
      <c r="V407" s="1247"/>
      <c r="W407" s="1247"/>
      <c r="X407" s="1247"/>
      <c r="Y407" s="1247"/>
      <c r="Z407" s="1247"/>
      <c r="AA407" s="1247"/>
      <c r="AB407" s="1247"/>
      <c r="AC407" s="1247"/>
      <c r="AD407" s="1247"/>
      <c r="AE407" s="1247"/>
      <c r="AF407" s="1247"/>
      <c r="AG407" s="1247"/>
      <c r="AH407" s="1247"/>
      <c r="AI407" s="1247"/>
      <c r="AJ407" s="1247"/>
      <c r="AK407" s="1247"/>
      <c r="AL407" s="1562"/>
      <c r="AM407" s="1544"/>
      <c r="AN407" s="1544" t="str">
        <f t="shared" si="6"/>
        <v>Добавить централизованную систему для дифференциации</v>
      </c>
      <c r="AO407" s="1544"/>
      <c r="AP407" s="1544"/>
    </row>
    <row r="408" spans="1:42" s="541" customFormat="1" ht="14.25" customHeight="1">
      <c r="A408" s="1265"/>
      <c r="B408" s="1265"/>
      <c r="C408" s="1265"/>
      <c r="D408" s="1265"/>
      <c r="E408" s="8883" t="s">
        <v>416</v>
      </c>
      <c r="F408" s="1265"/>
      <c r="G408" s="1265"/>
      <c r="H408" s="1265"/>
      <c r="I408" s="1265"/>
      <c r="J408" s="1265"/>
      <c r="K408" s="1265"/>
      <c r="L408" s="1466"/>
      <c r="M408" s="1244"/>
      <c r="N408" s="1244"/>
      <c r="O408" s="1562"/>
      <c r="P408" s="1239"/>
      <c r="Q408" s="1266"/>
      <c r="R408" s="1239"/>
      <c r="S408" s="1245"/>
      <c r="T408" s="1248" t="s">
        <v>315</v>
      </c>
      <c r="U408" s="1247"/>
      <c r="V408" s="1247"/>
      <c r="W408" s="1247"/>
      <c r="X408" s="1247"/>
      <c r="Y408" s="1247"/>
      <c r="Z408" s="1247"/>
      <c r="AA408" s="1247"/>
      <c r="AB408" s="1247"/>
      <c r="AC408" s="1247"/>
      <c r="AD408" s="1247"/>
      <c r="AE408" s="1247"/>
      <c r="AF408" s="1247"/>
      <c r="AG408" s="1247"/>
      <c r="AH408" s="1247"/>
      <c r="AI408" s="1247"/>
      <c r="AJ408" s="1247"/>
      <c r="AK408" s="1247"/>
      <c r="AL408" s="1562"/>
      <c r="AM408" s="1544"/>
      <c r="AN408" s="1544" t="str">
        <f t="shared" si="6"/>
        <v>Добавить территорию для дифференциации</v>
      </c>
      <c r="AO408" s="1544"/>
      <c r="AP408" s="1544"/>
    </row>
    <row r="409" spans="1:42" s="1818" customFormat="1" ht="23.25" customHeight="1">
      <c r="A409" s="1284" t="s">
        <v>429</v>
      </c>
      <c r="B409" s="1284"/>
      <c r="C409" s="1284"/>
      <c r="D409" s="1284"/>
      <c r="E409" s="8883" t="s">
        <v>106</v>
      </c>
      <c r="F409" s="1284"/>
      <c r="G409" s="1284"/>
      <c r="H409" s="1284"/>
      <c r="I409" s="1284"/>
      <c r="J409" s="1284"/>
      <c r="K409" s="1284"/>
      <c r="L409" s="1290"/>
      <c r="M409" s="1286"/>
      <c r="N409" s="1286"/>
      <c r="O409" s="1286"/>
      <c r="P409" s="1812"/>
      <c r="Q409" s="1742"/>
      <c r="R409" s="276"/>
      <c r="S409" s="1810" t="str">
        <f>INDEX(PT_DIFFERENTIATION_NUM_NTAR,MATCH(A409,PT_DIFFERENTIATION_NTAR_ID,0))</f>
        <v>24</v>
      </c>
      <c r="T409" s="1440" t="s">
        <v>211</v>
      </c>
      <c r="U409" s="214"/>
      <c r="V409" s="8869"/>
      <c r="W409" s="8870"/>
      <c r="X409" s="8870"/>
      <c r="Y409" s="8870"/>
      <c r="Z409" s="8870"/>
      <c r="AA409" s="8870"/>
      <c r="AB409" s="8871"/>
      <c r="AC409" s="8869" t="str">
        <f>INDEX(PT_DIFFERENTIATION_NTAR,MATCH(A409,PT_DIFFERENTIATION_NTAR_ID,0))</f>
        <v>Подвоз воды потребителям аула Али-Кую</v>
      </c>
      <c r="AD409" s="8870"/>
      <c r="AE409" s="8870"/>
      <c r="AF409" s="8870"/>
      <c r="AG409" s="8870"/>
      <c r="AH409" s="8870"/>
      <c r="AI409" s="8870"/>
      <c r="AJ409" s="8871"/>
      <c r="AK40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409" s="1562"/>
      <c r="AM409" s="1544"/>
      <c r="AN409" s="1544" t="str">
        <f t="shared" si="6"/>
        <v>Наименование тарифа</v>
      </c>
      <c r="AO409" s="1544"/>
      <c r="AP409" s="1544"/>
    </row>
    <row r="410" spans="1:42" s="1818" customFormat="1" ht="23.25" customHeight="1">
      <c r="A410" s="1284"/>
      <c r="B410" s="1284" t="s">
        <v>430</v>
      </c>
      <c r="C410" s="1284"/>
      <c r="D410" s="1284"/>
      <c r="E410" s="8884" t="s">
        <v>422</v>
      </c>
      <c r="F410" s="8883">
        <v>1</v>
      </c>
      <c r="G410" s="1284"/>
      <c r="H410" s="1284"/>
      <c r="I410" s="1284"/>
      <c r="J410" s="1284"/>
      <c r="K410" s="1284"/>
      <c r="L410" s="1290"/>
      <c r="M410" s="1286"/>
      <c r="N410" s="1286"/>
      <c r="O410" s="1286"/>
      <c r="P410" s="1807"/>
      <c r="Q410" s="273"/>
      <c r="R410" s="274"/>
      <c r="S410" s="1810" t="str">
        <f>INDEX(PT_DIFFERENTIATION_NUM_TER,MATCH(B410,PT_DIFFERENTIATION_TER_ID,0))</f>
        <v>24.1</v>
      </c>
      <c r="T410" s="1437" t="s">
        <v>862</v>
      </c>
      <c r="U410" s="214"/>
      <c r="V410" s="8869"/>
      <c r="W410" s="8870"/>
      <c r="X410" s="8870"/>
      <c r="Y410" s="8870"/>
      <c r="Z410" s="8870"/>
      <c r="AA410" s="8870"/>
      <c r="AB410" s="8871"/>
      <c r="AC410" s="8869" t="str">
        <f>INDEX(PT_DIFFERENTIATION_TER,MATCH(B410,PT_DIFFERENTIATION_TER_ID,0))</f>
        <v>Территория 7</v>
      </c>
      <c r="AD410" s="8870"/>
      <c r="AE410" s="8870"/>
      <c r="AF410" s="8870"/>
      <c r="AG410" s="8870"/>
      <c r="AH410" s="8870"/>
      <c r="AI410" s="8870"/>
      <c r="AJ410" s="8871"/>
      <c r="AK410" s="1182" t="s">
        <v>863</v>
      </c>
      <c r="AL410" s="1562"/>
      <c r="AM410" s="1544"/>
      <c r="AN410" s="1544" t="str">
        <f t="shared" si="6"/>
        <v>Территория действия тарифа</v>
      </c>
      <c r="AO410" s="1544"/>
      <c r="AP410" s="1544"/>
    </row>
    <row r="411" spans="1:42" s="1818" customFormat="1" ht="23.25" customHeight="1">
      <c r="A411" s="1284"/>
      <c r="B411" s="1284"/>
      <c r="C411" s="1284" t="s">
        <v>431</v>
      </c>
      <c r="D411" s="1284"/>
      <c r="E411" s="8884" t="s">
        <v>422</v>
      </c>
      <c r="F411" s="8884"/>
      <c r="G411" s="8883">
        <v>1</v>
      </c>
      <c r="H411" s="1284"/>
      <c r="I411" s="1284"/>
      <c r="J411" s="1284"/>
      <c r="K411" s="1284"/>
      <c r="L411" s="1290"/>
      <c r="M411" s="1286"/>
      <c r="N411" s="1286"/>
      <c r="O411" s="1286"/>
      <c r="P411" s="275"/>
      <c r="Q411" s="273"/>
      <c r="R411" s="274"/>
      <c r="S411" s="1810" t="str">
        <f>INDEX(PT_DIFFERENTIATION_NUM_CS,MATCH(C411,PT_DIFFERENTIATION_CS_ID,0))</f>
        <v>24.1.1</v>
      </c>
      <c r="T411" s="225" t="s">
        <v>943</v>
      </c>
      <c r="U411" s="214"/>
      <c r="V411" s="8869"/>
      <c r="W411" s="8870"/>
      <c r="X411" s="8870"/>
      <c r="Y411" s="8870"/>
      <c r="Z411" s="8870"/>
      <c r="AA411" s="8870"/>
      <c r="AB411" s="8871"/>
      <c r="AC411" s="8869" t="str">
        <f>INDEX(PT_DIFFERENTIATION_CS,MATCH(C411,PT_DIFFERENTIATION_CS_ID,0))</f>
        <v>без дифференциации</v>
      </c>
      <c r="AD411" s="8870"/>
      <c r="AE411" s="8870"/>
      <c r="AF411" s="8870"/>
      <c r="AG411" s="8870"/>
      <c r="AH411" s="8870"/>
      <c r="AI411" s="8870"/>
      <c r="AJ411" s="8871"/>
      <c r="AK411" s="1182" t="s">
        <v>944</v>
      </c>
      <c r="AL411" s="1562"/>
      <c r="AM411" s="1544"/>
      <c r="AN411" s="1544" t="str">
        <f t="shared" si="6"/>
        <v>Наименование централизованной системы холодного водоснабжения</v>
      </c>
      <c r="AO411" s="1544"/>
      <c r="AP411" s="1544"/>
    </row>
    <row r="412" spans="1:42" s="1818" customFormat="1" ht="23.25" customHeight="1">
      <c r="A412" s="1284"/>
      <c r="B412" s="1284"/>
      <c r="C412" s="1284"/>
      <c r="D412" s="1284"/>
      <c r="E412" s="8884" t="s">
        <v>422</v>
      </c>
      <c r="F412" s="8884"/>
      <c r="G412" s="8884"/>
      <c r="H412" s="8884"/>
      <c r="I412" s="8881" t="str">
        <f>S411&amp;".1"</f>
        <v>24.1.1.1</v>
      </c>
      <c r="J412" s="1284"/>
      <c r="K412" s="1284"/>
      <c r="L412" s="1290"/>
      <c r="M412" s="1696"/>
      <c r="N412" s="1696"/>
      <c r="O412" s="1696"/>
      <c r="P412" s="8882">
        <v>1</v>
      </c>
      <c r="Q412" s="1811"/>
      <c r="R412" s="277"/>
      <c r="S412" s="1810" t="str">
        <f>$I412</f>
        <v>24.1.1.1</v>
      </c>
      <c r="T412" s="200" t="s">
        <v>945</v>
      </c>
      <c r="U412" s="214"/>
      <c r="V412" s="8942"/>
      <c r="W412" s="8943"/>
      <c r="X412" s="8943"/>
      <c r="Y412" s="8943"/>
      <c r="Z412" s="8943"/>
      <c r="AA412" s="8943"/>
      <c r="AB412" s="8944"/>
      <c r="AC412" s="8945"/>
      <c r="AD412" s="8946"/>
      <c r="AE412" s="8946"/>
      <c r="AF412" s="8946"/>
      <c r="AG412" s="8946"/>
      <c r="AH412" s="8946"/>
      <c r="AI412" s="8946"/>
      <c r="AJ412" s="8947"/>
      <c r="AK412" s="1182" t="s">
        <v>946</v>
      </c>
      <c r="AL412" s="1562"/>
      <c r="AM412" s="1544"/>
      <c r="AN412" s="1544" t="str">
        <f t="shared" si="6"/>
        <v>Наименование признака дифференциации</v>
      </c>
      <c r="AO412" s="1544"/>
      <c r="AP412" s="1544"/>
    </row>
    <row r="413" spans="1:42" s="1818" customFormat="1" ht="23.25" customHeight="1">
      <c r="A413" s="1284"/>
      <c r="B413" s="1284"/>
      <c r="C413" s="1284"/>
      <c r="D413" s="1284"/>
      <c r="E413" s="8884" t="s">
        <v>422</v>
      </c>
      <c r="F413" s="8884"/>
      <c r="G413" s="8884"/>
      <c r="H413" s="8884"/>
      <c r="I413" s="8904"/>
      <c r="J413" s="8881" t="str">
        <f>I412&amp;".1"</f>
        <v>24.1.1.1.1</v>
      </c>
      <c r="K413" s="1284"/>
      <c r="L413" s="1290" t="s">
        <v>871</v>
      </c>
      <c r="M413" s="1696"/>
      <c r="N413" s="1696"/>
      <c r="O413" s="1696"/>
      <c r="P413" s="8882"/>
      <c r="Q413" s="8882">
        <v>1</v>
      </c>
      <c r="R413" s="278"/>
      <c r="S413" s="1810" t="str">
        <f>$J413</f>
        <v>24.1.1.1.1</v>
      </c>
      <c r="T413" s="201" t="s">
        <v>872</v>
      </c>
      <c r="U413" s="214"/>
      <c r="V413" s="8872"/>
      <c r="W413" s="8873"/>
      <c r="X413" s="8873"/>
      <c r="Y413" s="8873"/>
      <c r="Z413" s="8873"/>
      <c r="AA413" s="8873"/>
      <c r="AB413" s="8874"/>
      <c r="AC413" s="8872" t="s">
        <v>961</v>
      </c>
      <c r="AD413" s="8873"/>
      <c r="AE413" s="8873"/>
      <c r="AF413" s="8873"/>
      <c r="AG413" s="8873"/>
      <c r="AH413" s="8873"/>
      <c r="AI413" s="8873"/>
      <c r="AJ413" s="8874"/>
      <c r="AK413" s="1231" t="s">
        <v>947</v>
      </c>
      <c r="AL413" s="1562"/>
      <c r="AM413" s="1544"/>
      <c r="AN413" s="1544" t="str">
        <f t="shared" si="6"/>
        <v>Группа потребителей</v>
      </c>
      <c r="AO413" s="1544"/>
      <c r="AP413" s="1544"/>
    </row>
    <row r="414" spans="1:42" s="1818" customFormat="1" ht="23.25" customHeight="1">
      <c r="A414" s="1284"/>
      <c r="B414" s="1284"/>
      <c r="C414" s="1284"/>
      <c r="D414" s="1284"/>
      <c r="E414" s="8884" t="s">
        <v>422</v>
      </c>
      <c r="F414" s="8884"/>
      <c r="G414" s="8884"/>
      <c r="H414" s="8884"/>
      <c r="I414" s="8904"/>
      <c r="J414" s="8904"/>
      <c r="K414" s="8881" t="str">
        <f>J413&amp;".1"</f>
        <v>24.1.1.1.1.1</v>
      </c>
      <c r="L414" s="1290"/>
      <c r="M414" s="1696"/>
      <c r="N414" s="1696"/>
      <c r="O414" s="1696"/>
      <c r="P414" s="8882"/>
      <c r="Q414" s="8882"/>
      <c r="R414" s="278">
        <v>1</v>
      </c>
      <c r="S414" s="1810" t="str">
        <f>$K414</f>
        <v>24.1.1.1.1.1</v>
      </c>
      <c r="T414" s="1357" t="s">
        <v>962</v>
      </c>
      <c r="U414" s="214"/>
      <c r="V414" s="666"/>
      <c r="W414" s="666"/>
      <c r="X414" s="1181"/>
      <c r="Y414" s="8886"/>
      <c r="Z414" s="8734" t="s">
        <v>63</v>
      </c>
      <c r="AA414" s="8886"/>
      <c r="AB414" s="8734" t="s">
        <v>63</v>
      </c>
      <c r="AC414" s="666">
        <v>840.24</v>
      </c>
      <c r="AD414" s="666"/>
      <c r="AE414" s="1181"/>
      <c r="AF414" s="8886">
        <v>45292</v>
      </c>
      <c r="AG414" s="8734" t="s">
        <v>63</v>
      </c>
      <c r="AH414" s="8905">
        <v>45657</v>
      </c>
      <c r="AI414" s="8734" t="s">
        <v>63</v>
      </c>
      <c r="AJ414" s="1358"/>
      <c r="AK41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4" s="1562" t="e">
        <f ca="1">STRCHECKDATE(V415:AJ415)</f>
        <v>#NAME?</v>
      </c>
      <c r="AM414" s="1544"/>
      <c r="AN414" s="1544" t="str">
        <f t="shared" si="6"/>
        <v>Тариф для населения, руб. за 1 куб. метр с НДС</v>
      </c>
      <c r="AO414" s="1544"/>
      <c r="AP414" s="1544"/>
    </row>
    <row r="415" spans="1:42" s="1818" customFormat="1" ht="14.25" customHeight="1">
      <c r="A415" s="1284"/>
      <c r="B415" s="1284"/>
      <c r="C415" s="1284"/>
      <c r="D415" s="1284"/>
      <c r="E415" s="8884" t="s">
        <v>422</v>
      </c>
      <c r="F415" s="8884"/>
      <c r="G415" s="8884"/>
      <c r="H415" s="8884"/>
      <c r="I415" s="8904"/>
      <c r="J415" s="8904"/>
      <c r="K415" s="8881"/>
      <c r="L415" s="1290"/>
      <c r="M415" s="1696"/>
      <c r="N415" s="1696"/>
      <c r="O415" s="1696"/>
      <c r="P415" s="8882"/>
      <c r="Q415" s="8882"/>
      <c r="R415" s="278"/>
      <c r="S415" s="1815"/>
      <c r="T415" s="214"/>
      <c r="U415" s="214"/>
      <c r="V415" s="246"/>
      <c r="W415" s="246"/>
      <c r="X415" s="250" t="str">
        <f>Y414&amp;"-"&amp;AA414</f>
        <v>-</v>
      </c>
      <c r="Y415" s="8887"/>
      <c r="Z415" s="8734"/>
      <c r="AA415" s="8887"/>
      <c r="AB415" s="8734"/>
      <c r="AC415" s="246"/>
      <c r="AD415" s="246"/>
      <c r="AE415" s="250" t="str">
        <f>AF414&amp;"-"&amp;AH414</f>
        <v>45292-45657</v>
      </c>
      <c r="AF415" s="8887"/>
      <c r="AG415" s="8734"/>
      <c r="AH415" s="8906"/>
      <c r="AI415" s="8734"/>
      <c r="AJ415" s="1359"/>
      <c r="AK415" s="8941"/>
      <c r="AL415" s="1562"/>
      <c r="AM415" s="1544"/>
      <c r="AN415" s="1544" t="str">
        <f t="shared" si="6"/>
        <v/>
      </c>
      <c r="AO415" s="1544"/>
      <c r="AP415" s="1544"/>
    </row>
    <row r="416" spans="1:42" s="1818" customFormat="1" ht="21" customHeight="1">
      <c r="A416" s="1284"/>
      <c r="B416" s="1284"/>
      <c r="C416" s="1284"/>
      <c r="D416" s="1284"/>
      <c r="E416" s="8884" t="s">
        <v>422</v>
      </c>
      <c r="F416" s="8884"/>
      <c r="G416" s="8884"/>
      <c r="H416" s="8884"/>
      <c r="I416" s="8904"/>
      <c r="J416" s="8881"/>
      <c r="K416" s="1284"/>
      <c r="L416" s="1290"/>
      <c r="M416" s="1696"/>
      <c r="N416" s="1696"/>
      <c r="O416" s="1696"/>
      <c r="P416" s="8882"/>
      <c r="Q416" s="8882"/>
      <c r="R416" s="277"/>
      <c r="S416" s="3501"/>
      <c r="T416" s="3502" t="s">
        <v>948</v>
      </c>
      <c r="U416" s="3503"/>
      <c r="V416" s="3504"/>
      <c r="W416" s="3505"/>
      <c r="X416" s="3506"/>
      <c r="Y416" s="3507"/>
      <c r="Z416" s="3508"/>
      <c r="AA416" s="3509"/>
      <c r="AB416" s="3510"/>
      <c r="AC416" s="3511"/>
      <c r="AD416" s="3512"/>
      <c r="AE416" s="3513"/>
      <c r="AF416" s="3514"/>
      <c r="AG416" s="3515"/>
      <c r="AH416" s="3516"/>
      <c r="AI416" s="3517"/>
      <c r="AJ416" s="3518"/>
      <c r="AK416" s="1182" t="s">
        <v>949</v>
      </c>
      <c r="AL416" s="1562"/>
      <c r="AM416" s="1544"/>
      <c r="AN416" s="1544" t="str">
        <f t="shared" si="6"/>
        <v>Добавить значение признака дифференциации</v>
      </c>
      <c r="AO416" s="1544"/>
      <c r="AP416" s="1544"/>
    </row>
    <row r="417" spans="1:42" s="1818" customFormat="1" ht="23.25" customHeight="1">
      <c r="A417" s="1284"/>
      <c r="B417" s="1284"/>
      <c r="C417" s="1284"/>
      <c r="D417" s="1284"/>
      <c r="E417" s="8884"/>
      <c r="F417" s="8884"/>
      <c r="G417" s="8884"/>
      <c r="H417" s="8884"/>
      <c r="I417" s="8904"/>
      <c r="J417" s="8881" t="str">
        <f>I412&amp;".2"</f>
        <v>24.1.1.1.2</v>
      </c>
      <c r="K417" s="1284"/>
      <c r="L417" s="1290" t="s">
        <v>871</v>
      </c>
      <c r="M417" s="1696"/>
      <c r="N417" s="1696"/>
      <c r="O417" s="1696"/>
      <c r="P417" s="8882"/>
      <c r="Q417" s="8948" t="s">
        <v>100</v>
      </c>
      <c r="R417" s="278"/>
      <c r="S417" s="1810" t="str">
        <f>$J417</f>
        <v>24.1.1.1.2</v>
      </c>
      <c r="T417" s="201" t="s">
        <v>872</v>
      </c>
      <c r="U417" s="214"/>
      <c r="V417" s="8872"/>
      <c r="W417" s="8873"/>
      <c r="X417" s="8873"/>
      <c r="Y417" s="8873"/>
      <c r="Z417" s="8873"/>
      <c r="AA417" s="8873"/>
      <c r="AB417" s="8874"/>
      <c r="AC417" s="8872" t="s">
        <v>963</v>
      </c>
      <c r="AD417" s="8873"/>
      <c r="AE417" s="8873"/>
      <c r="AF417" s="8873"/>
      <c r="AG417" s="8873"/>
      <c r="AH417" s="8873"/>
      <c r="AI417" s="8873"/>
      <c r="AJ417" s="8874"/>
      <c r="AK417" s="1231" t="s">
        <v>947</v>
      </c>
      <c r="AL417" s="1562"/>
      <c r="AM417" s="1544"/>
      <c r="AN417" s="1544" t="str">
        <f t="shared" si="6"/>
        <v>Группа потребителей</v>
      </c>
      <c r="AO417" s="1544"/>
      <c r="AP417" s="1544"/>
    </row>
    <row r="418" spans="1:42" s="1818" customFormat="1" ht="23.25" customHeight="1">
      <c r="A418" s="1284"/>
      <c r="B418" s="1284"/>
      <c r="C418" s="1284"/>
      <c r="D418" s="1284"/>
      <c r="E418" s="8884"/>
      <c r="F418" s="8884"/>
      <c r="G418" s="8884"/>
      <c r="H418" s="8884"/>
      <c r="I418" s="8904"/>
      <c r="J418" s="8904" t="str">
        <f>I412&amp;".1"</f>
        <v>24.1.1.1.1</v>
      </c>
      <c r="K418" s="8881" t="str">
        <f>J417&amp;".1"</f>
        <v>24.1.1.1.2.1</v>
      </c>
      <c r="L418" s="1290"/>
      <c r="M418" s="1696"/>
      <c r="N418" s="1696"/>
      <c r="O418" s="1696"/>
      <c r="P418" s="8882"/>
      <c r="Q418" s="8882"/>
      <c r="R418" s="278">
        <v>1</v>
      </c>
      <c r="S418" s="1810" t="str">
        <f>$K418</f>
        <v>24.1.1.1.2.1</v>
      </c>
      <c r="T418" s="1357" t="s">
        <v>964</v>
      </c>
      <c r="U418" s="214"/>
      <c r="V418" s="666"/>
      <c r="W418" s="666"/>
      <c r="X418" s="1181"/>
      <c r="Y418" s="8886"/>
      <c r="Z418" s="8734" t="s">
        <v>63</v>
      </c>
      <c r="AA418" s="8886"/>
      <c r="AB418" s="8734" t="s">
        <v>63</v>
      </c>
      <c r="AC418" s="666">
        <v>700.2</v>
      </c>
      <c r="AD418" s="666"/>
      <c r="AE418" s="1181"/>
      <c r="AF418" s="8886">
        <v>45292</v>
      </c>
      <c r="AG418" s="8734" t="s">
        <v>63</v>
      </c>
      <c r="AH418" s="8905">
        <v>45657</v>
      </c>
      <c r="AI418" s="8734" t="s">
        <v>63</v>
      </c>
      <c r="AJ418" s="1358"/>
      <c r="AK41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8" s="1562" t="e">
        <f ca="1">STRCHECKDATE(V419:AJ419)</f>
        <v>#NAME?</v>
      </c>
      <c r="AM418" s="1544"/>
      <c r="AN418" s="1544" t="str">
        <f t="shared" si="6"/>
        <v>Тариф, руб. за 1 куб. метр без НДС</v>
      </c>
      <c r="AO418" s="1544"/>
      <c r="AP418" s="1544"/>
    </row>
    <row r="419" spans="1:42" s="1818" customFormat="1" ht="14.25" customHeight="1">
      <c r="A419" s="1284"/>
      <c r="B419" s="1284"/>
      <c r="C419" s="1284"/>
      <c r="D419" s="1284"/>
      <c r="E419" s="8884"/>
      <c r="F419" s="8884"/>
      <c r="G419" s="8884"/>
      <c r="H419" s="8884"/>
      <c r="I419" s="8904"/>
      <c r="J419" s="8904" t="str">
        <f>I412&amp;".1"</f>
        <v>24.1.1.1.1</v>
      </c>
      <c r="K419" s="8881"/>
      <c r="L419" s="1290"/>
      <c r="M419" s="1696"/>
      <c r="N419" s="1696"/>
      <c r="O419" s="1696"/>
      <c r="P419" s="8882"/>
      <c r="Q419" s="8882"/>
      <c r="R419" s="278"/>
      <c r="S419" s="1815"/>
      <c r="T419" s="214"/>
      <c r="U419" s="214"/>
      <c r="V419" s="246"/>
      <c r="W419" s="246"/>
      <c r="X419" s="250" t="str">
        <f>Y418&amp;"-"&amp;AA418</f>
        <v>-</v>
      </c>
      <c r="Y419" s="8887"/>
      <c r="Z419" s="8734"/>
      <c r="AA419" s="8887"/>
      <c r="AB419" s="8734"/>
      <c r="AC419" s="246"/>
      <c r="AD419" s="246"/>
      <c r="AE419" s="250" t="str">
        <f>AF418&amp;"-"&amp;AH418</f>
        <v>45292-45657</v>
      </c>
      <c r="AF419" s="8887"/>
      <c r="AG419" s="8734"/>
      <c r="AH419" s="8906"/>
      <c r="AI419" s="8734"/>
      <c r="AJ419" s="1359"/>
      <c r="AK419" s="8941"/>
      <c r="AL419" s="1562"/>
      <c r="AM419" s="1544"/>
      <c r="AN419" s="1544" t="str">
        <f t="shared" si="6"/>
        <v/>
      </c>
      <c r="AO419" s="1544"/>
      <c r="AP419" s="1544"/>
    </row>
    <row r="420" spans="1:42" s="1818" customFormat="1" ht="21" customHeight="1">
      <c r="A420" s="1284"/>
      <c r="B420" s="1284"/>
      <c r="C420" s="1284"/>
      <c r="D420" s="1284"/>
      <c r="E420" s="8884"/>
      <c r="F420" s="8884"/>
      <c r="G420" s="8884"/>
      <c r="H420" s="8884"/>
      <c r="I420" s="8904"/>
      <c r="J420" s="8881" t="str">
        <f>I412&amp;".1"</f>
        <v>24.1.1.1.1</v>
      </c>
      <c r="K420" s="1284"/>
      <c r="L420" s="1290"/>
      <c r="M420" s="1696"/>
      <c r="N420" s="1696"/>
      <c r="O420" s="1696"/>
      <c r="P420" s="8882"/>
      <c r="Q420" s="8882"/>
      <c r="R420" s="277"/>
      <c r="S420" s="3519"/>
      <c r="T420" s="3520" t="s">
        <v>948</v>
      </c>
      <c r="U420" s="3521"/>
      <c r="V420" s="3522"/>
      <c r="W420" s="3523"/>
      <c r="X420" s="3524"/>
      <c r="Y420" s="3525"/>
      <c r="Z420" s="3526"/>
      <c r="AA420" s="3527"/>
      <c r="AB420" s="3528"/>
      <c r="AC420" s="3529"/>
      <c r="AD420" s="3530"/>
      <c r="AE420" s="3531"/>
      <c r="AF420" s="3532"/>
      <c r="AG420" s="3533"/>
      <c r="AH420" s="3534"/>
      <c r="AI420" s="3535"/>
      <c r="AJ420" s="3536"/>
      <c r="AK420" s="1182" t="s">
        <v>949</v>
      </c>
      <c r="AL420" s="1562"/>
      <c r="AM420" s="1544"/>
      <c r="AN420" s="1544" t="str">
        <f t="shared" si="6"/>
        <v>Добавить значение признака дифференциации</v>
      </c>
      <c r="AO420" s="1544"/>
      <c r="AP420" s="1544"/>
    </row>
    <row r="421" spans="1:42" s="1818" customFormat="1" ht="21" customHeight="1">
      <c r="A421" s="1284"/>
      <c r="B421" s="1284"/>
      <c r="C421" s="1284"/>
      <c r="D421" s="1284"/>
      <c r="E421" s="8884" t="s">
        <v>422</v>
      </c>
      <c r="F421" s="8884"/>
      <c r="G421" s="8884"/>
      <c r="H421" s="8884"/>
      <c r="I421" s="8881"/>
      <c r="J421" s="1284"/>
      <c r="K421" s="1284"/>
      <c r="L421" s="1290"/>
      <c r="M421" s="1696"/>
      <c r="N421" s="1696"/>
      <c r="O421" s="1696"/>
      <c r="P421" s="8882"/>
      <c r="Q421" s="1811"/>
      <c r="R421" s="277"/>
      <c r="S421" s="3537"/>
      <c r="T421" s="3538" t="s">
        <v>877</v>
      </c>
      <c r="U421" s="3539"/>
      <c r="V421" s="3540"/>
      <c r="W421" s="3541"/>
      <c r="X421" s="3542"/>
      <c r="Y421" s="3543"/>
      <c r="Z421" s="3544"/>
      <c r="AA421" s="3545"/>
      <c r="AB421" s="3546"/>
      <c r="AC421" s="3547"/>
      <c r="AD421" s="3548"/>
      <c r="AE421" s="3549"/>
      <c r="AF421" s="3550"/>
      <c r="AG421" s="3551"/>
      <c r="AH421" s="3552"/>
      <c r="AI421" s="3553"/>
      <c r="AJ421" s="3554"/>
      <c r="AK421" s="3555"/>
      <c r="AL421" s="1562"/>
      <c r="AM421" s="1544"/>
      <c r="AN421" s="1544" t="str">
        <f t="shared" si="6"/>
        <v>Добавить группу потребителей</v>
      </c>
      <c r="AO421" s="1544"/>
      <c r="AP421" s="1544"/>
    </row>
    <row r="422" spans="1:42" s="1818" customFormat="1" ht="21" customHeight="1">
      <c r="A422" s="1284"/>
      <c r="B422" s="1284"/>
      <c r="C422" s="1284"/>
      <c r="D422" s="1284"/>
      <c r="E422" s="8884" t="s">
        <v>422</v>
      </c>
      <c r="F422" s="8884"/>
      <c r="G422" s="8884"/>
      <c r="H422" s="8883"/>
      <c r="I422" s="1284"/>
      <c r="J422" s="1284"/>
      <c r="K422" s="1284"/>
      <c r="L422" s="1290"/>
      <c r="M422" s="1286"/>
      <c r="N422" s="1286"/>
      <c r="O422" s="1287"/>
      <c r="P422" s="1742"/>
      <c r="Q422" s="299"/>
      <c r="R422" s="276"/>
      <c r="S422" s="3556"/>
      <c r="T422" s="3557" t="s">
        <v>950</v>
      </c>
      <c r="U422" s="3558"/>
      <c r="V422" s="3559"/>
      <c r="W422" s="3560"/>
      <c r="X422" s="3561"/>
      <c r="Y422" s="3562"/>
      <c r="Z422" s="3563"/>
      <c r="AA422" s="3564"/>
      <c r="AB422" s="3565"/>
      <c r="AC422" s="3566"/>
      <c r="AD422" s="3567"/>
      <c r="AE422" s="3568"/>
      <c r="AF422" s="3569"/>
      <c r="AG422" s="3570"/>
      <c r="AH422" s="3571"/>
      <c r="AI422" s="3572"/>
      <c r="AJ422" s="3573"/>
      <c r="AK422" s="3574"/>
      <c r="AL422" s="1562"/>
      <c r="AM422" s="1544"/>
      <c r="AN422" s="1544" t="str">
        <f t="shared" si="6"/>
        <v>Добавить наименование признака дифференциации</v>
      </c>
      <c r="AO422" s="1544"/>
      <c r="AP422" s="1544"/>
    </row>
    <row r="423" spans="1:42" s="541" customFormat="1" ht="14.25" customHeight="1">
      <c r="A423" s="1265"/>
      <c r="B423" s="1265"/>
      <c r="C423" s="1265"/>
      <c r="D423" s="1265"/>
      <c r="E423" s="8884" t="s">
        <v>422</v>
      </c>
      <c r="F423" s="8883"/>
      <c r="G423" s="1265"/>
      <c r="H423" s="1265"/>
      <c r="I423" s="1265"/>
      <c r="J423" s="1265"/>
      <c r="K423" s="1265"/>
      <c r="L423" s="1466"/>
      <c r="M423" s="1244"/>
      <c r="N423" s="1244"/>
      <c r="O423" s="1562"/>
      <c r="P423" s="1239"/>
      <c r="Q423" s="1266"/>
      <c r="R423" s="1239"/>
      <c r="S423" s="1245"/>
      <c r="T423" s="1248" t="s">
        <v>314</v>
      </c>
      <c r="U423" s="1247"/>
      <c r="V423" s="1247"/>
      <c r="W423" s="1247"/>
      <c r="X423" s="1247"/>
      <c r="Y423" s="1247"/>
      <c r="Z423" s="1247"/>
      <c r="AA423" s="1247"/>
      <c r="AB423" s="1247"/>
      <c r="AC423" s="1247"/>
      <c r="AD423" s="1247"/>
      <c r="AE423" s="1247"/>
      <c r="AF423" s="1247"/>
      <c r="AG423" s="1247"/>
      <c r="AH423" s="1247"/>
      <c r="AI423" s="1247"/>
      <c r="AJ423" s="1247"/>
      <c r="AK423" s="1247"/>
      <c r="AL423" s="1562"/>
      <c r="AM423" s="1544"/>
      <c r="AN423" s="1544" t="str">
        <f t="shared" si="6"/>
        <v>Добавить централизованную систему для дифференциации</v>
      </c>
      <c r="AO423" s="1544"/>
      <c r="AP423" s="1544"/>
    </row>
    <row r="424" spans="1:42" s="541" customFormat="1" ht="14.25" customHeight="1">
      <c r="A424" s="1265"/>
      <c r="B424" s="1265"/>
      <c r="C424" s="1265"/>
      <c r="D424" s="1265"/>
      <c r="E424" s="8883" t="s">
        <v>422</v>
      </c>
      <c r="F424" s="1265"/>
      <c r="G424" s="1265"/>
      <c r="H424" s="1265"/>
      <c r="I424" s="1265"/>
      <c r="J424" s="1265"/>
      <c r="K424" s="1265"/>
      <c r="L424" s="1466"/>
      <c r="M424" s="1244"/>
      <c r="N424" s="1244"/>
      <c r="O424" s="1562"/>
      <c r="P424" s="1239"/>
      <c r="Q424" s="1266"/>
      <c r="R424" s="1239"/>
      <c r="S424" s="1245"/>
      <c r="T424" s="1248" t="s">
        <v>315</v>
      </c>
      <c r="U424" s="1247"/>
      <c r="V424" s="1247"/>
      <c r="W424" s="1247"/>
      <c r="X424" s="1247"/>
      <c r="Y424" s="1247"/>
      <c r="Z424" s="1247"/>
      <c r="AA424" s="1247"/>
      <c r="AB424" s="1247"/>
      <c r="AC424" s="1247"/>
      <c r="AD424" s="1247"/>
      <c r="AE424" s="1247"/>
      <c r="AF424" s="1247"/>
      <c r="AG424" s="1247"/>
      <c r="AH424" s="1247"/>
      <c r="AI424" s="1247"/>
      <c r="AJ424" s="1247"/>
      <c r="AK424" s="1247"/>
      <c r="AL424" s="1562"/>
      <c r="AM424" s="1544"/>
      <c r="AN424" s="1544" t="str">
        <f t="shared" si="6"/>
        <v>Добавить территорию для дифференциации</v>
      </c>
      <c r="AO424" s="1544"/>
      <c r="AP424" s="1544"/>
    </row>
    <row r="425" spans="1:42" s="1818" customFormat="1" ht="23.25" customHeight="1">
      <c r="A425" s="1284" t="s">
        <v>435</v>
      </c>
      <c r="B425" s="1284"/>
      <c r="C425" s="1284"/>
      <c r="D425" s="1284"/>
      <c r="E425" s="8883" t="s">
        <v>433</v>
      </c>
      <c r="F425" s="1284"/>
      <c r="G425" s="1284"/>
      <c r="H425" s="1284"/>
      <c r="I425" s="1284"/>
      <c r="J425" s="1284"/>
      <c r="K425" s="1284"/>
      <c r="L425" s="1290"/>
      <c r="M425" s="1286"/>
      <c r="N425" s="1286"/>
      <c r="O425" s="1286"/>
      <c r="P425" s="1812"/>
      <c r="Q425" s="1742"/>
      <c r="R425" s="276"/>
      <c r="S425" s="1810" t="str">
        <f>INDEX(PT_DIFFERENTIATION_NUM_NTAR,MATCH(A425,PT_DIFFERENTIATION_NTAR_ID,0))</f>
        <v>25</v>
      </c>
      <c r="T425" s="1440" t="s">
        <v>211</v>
      </c>
      <c r="U425" s="214"/>
      <c r="V425" s="8869"/>
      <c r="W425" s="8870"/>
      <c r="X425" s="8870"/>
      <c r="Y425" s="8870"/>
      <c r="Z425" s="8870"/>
      <c r="AA425" s="8870"/>
      <c r="AB425" s="8871"/>
      <c r="AC425" s="8869" t="str">
        <f>INDEX(PT_DIFFERENTIATION_NTAR,MATCH(A425,PT_DIFFERENTIATION_NTAR_ID,0))</f>
        <v>Подвоз воды потребителям села Серноводского</v>
      </c>
      <c r="AD425" s="8870"/>
      <c r="AE425" s="8870"/>
      <c r="AF425" s="8870"/>
      <c r="AG425" s="8870"/>
      <c r="AH425" s="8870"/>
      <c r="AI425" s="8870"/>
      <c r="AJ425" s="8871"/>
      <c r="AK42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425" s="1562"/>
      <c r="AM425" s="1544"/>
      <c r="AN425" s="1544" t="str">
        <f t="shared" ref="AN425:AN488" si="7">IF(T425="","",T425)</f>
        <v>Наименование тарифа</v>
      </c>
      <c r="AO425" s="1544"/>
      <c r="AP425" s="1544"/>
    </row>
    <row r="426" spans="1:42" s="1818" customFormat="1" ht="23.25" customHeight="1">
      <c r="A426" s="1284"/>
      <c r="B426" s="1284" t="s">
        <v>436</v>
      </c>
      <c r="C426" s="1284"/>
      <c r="D426" s="1284"/>
      <c r="E426" s="8884" t="s">
        <v>106</v>
      </c>
      <c r="F426" s="8883">
        <v>1</v>
      </c>
      <c r="G426" s="1284"/>
      <c r="H426" s="1284"/>
      <c r="I426" s="1284"/>
      <c r="J426" s="1284"/>
      <c r="K426" s="1284"/>
      <c r="L426" s="1290"/>
      <c r="M426" s="1286"/>
      <c r="N426" s="1286"/>
      <c r="O426" s="1286"/>
      <c r="P426" s="1807"/>
      <c r="Q426" s="273"/>
      <c r="R426" s="274"/>
      <c r="S426" s="1810" t="str">
        <f>INDEX(PT_DIFFERENTIATION_NUM_TER,MATCH(B426,PT_DIFFERENTIATION_TER_ID,0))</f>
        <v>25.1</v>
      </c>
      <c r="T426" s="1437" t="s">
        <v>862</v>
      </c>
      <c r="U426" s="214"/>
      <c r="V426" s="8869"/>
      <c r="W426" s="8870"/>
      <c r="X426" s="8870"/>
      <c r="Y426" s="8870"/>
      <c r="Z426" s="8870"/>
      <c r="AA426" s="8870"/>
      <c r="AB426" s="8871"/>
      <c r="AC426" s="8869" t="str">
        <f>INDEX(PT_DIFFERENTIATION_TER,MATCH(B426,PT_DIFFERENTIATION_TER_ID,0))</f>
        <v>Территория 7</v>
      </c>
      <c r="AD426" s="8870"/>
      <c r="AE426" s="8870"/>
      <c r="AF426" s="8870"/>
      <c r="AG426" s="8870"/>
      <c r="AH426" s="8870"/>
      <c r="AI426" s="8870"/>
      <c r="AJ426" s="8871"/>
      <c r="AK426" s="1182" t="s">
        <v>863</v>
      </c>
      <c r="AL426" s="1562"/>
      <c r="AM426" s="1544"/>
      <c r="AN426" s="1544" t="str">
        <f t="shared" si="7"/>
        <v>Территория действия тарифа</v>
      </c>
      <c r="AO426" s="1544"/>
      <c r="AP426" s="1544"/>
    </row>
    <row r="427" spans="1:42" s="1818" customFormat="1" ht="23.25" customHeight="1">
      <c r="A427" s="1284"/>
      <c r="B427" s="1284"/>
      <c r="C427" s="1284" t="s">
        <v>437</v>
      </c>
      <c r="D427" s="1284"/>
      <c r="E427" s="8884" t="s">
        <v>106</v>
      </c>
      <c r="F427" s="8884"/>
      <c r="G427" s="8883">
        <v>1</v>
      </c>
      <c r="H427" s="1284"/>
      <c r="I427" s="1284"/>
      <c r="J427" s="1284"/>
      <c r="K427" s="1284"/>
      <c r="L427" s="1290"/>
      <c r="M427" s="1286"/>
      <c r="N427" s="1286"/>
      <c r="O427" s="1286"/>
      <c r="P427" s="275"/>
      <c r="Q427" s="273"/>
      <c r="R427" s="274"/>
      <c r="S427" s="1810" t="str">
        <f>INDEX(PT_DIFFERENTIATION_NUM_CS,MATCH(C427,PT_DIFFERENTIATION_CS_ID,0))</f>
        <v>25.1.1</v>
      </c>
      <c r="T427" s="225" t="s">
        <v>943</v>
      </c>
      <c r="U427" s="214"/>
      <c r="V427" s="8869"/>
      <c r="W427" s="8870"/>
      <c r="X427" s="8870"/>
      <c r="Y427" s="8870"/>
      <c r="Z427" s="8870"/>
      <c r="AA427" s="8870"/>
      <c r="AB427" s="8871"/>
      <c r="AC427" s="8869" t="str">
        <f>INDEX(PT_DIFFERENTIATION_CS,MATCH(C427,PT_DIFFERENTIATION_CS_ID,0))</f>
        <v>без дифференциации</v>
      </c>
      <c r="AD427" s="8870"/>
      <c r="AE427" s="8870"/>
      <c r="AF427" s="8870"/>
      <c r="AG427" s="8870"/>
      <c r="AH427" s="8870"/>
      <c r="AI427" s="8870"/>
      <c r="AJ427" s="8871"/>
      <c r="AK427" s="1182" t="s">
        <v>944</v>
      </c>
      <c r="AL427" s="1562"/>
      <c r="AM427" s="1544"/>
      <c r="AN427" s="1544" t="str">
        <f t="shared" si="7"/>
        <v>Наименование централизованной системы холодного водоснабжения</v>
      </c>
      <c r="AO427" s="1544"/>
      <c r="AP427" s="1544"/>
    </row>
    <row r="428" spans="1:42" s="1818" customFormat="1" ht="23.25" customHeight="1">
      <c r="A428" s="1284"/>
      <c r="B428" s="1284"/>
      <c r="C428" s="1284"/>
      <c r="D428" s="1284"/>
      <c r="E428" s="8884" t="s">
        <v>106</v>
      </c>
      <c r="F428" s="8884"/>
      <c r="G428" s="8884"/>
      <c r="H428" s="8884"/>
      <c r="I428" s="8881" t="str">
        <f>S427&amp;".1"</f>
        <v>25.1.1.1</v>
      </c>
      <c r="J428" s="1284"/>
      <c r="K428" s="1284"/>
      <c r="L428" s="1290"/>
      <c r="M428" s="1696"/>
      <c r="N428" s="1696"/>
      <c r="O428" s="1696"/>
      <c r="P428" s="8882">
        <v>1</v>
      </c>
      <c r="Q428" s="1811"/>
      <c r="R428" s="277"/>
      <c r="S428" s="1810" t="str">
        <f>$I428</f>
        <v>25.1.1.1</v>
      </c>
      <c r="T428" s="200" t="s">
        <v>945</v>
      </c>
      <c r="U428" s="214"/>
      <c r="V428" s="8942"/>
      <c r="W428" s="8943"/>
      <c r="X428" s="8943"/>
      <c r="Y428" s="8943"/>
      <c r="Z428" s="8943"/>
      <c r="AA428" s="8943"/>
      <c r="AB428" s="8944"/>
      <c r="AC428" s="8945"/>
      <c r="AD428" s="8946"/>
      <c r="AE428" s="8946"/>
      <c r="AF428" s="8946"/>
      <c r="AG428" s="8946"/>
      <c r="AH428" s="8946"/>
      <c r="AI428" s="8946"/>
      <c r="AJ428" s="8947"/>
      <c r="AK428" s="1182" t="s">
        <v>946</v>
      </c>
      <c r="AL428" s="1562"/>
      <c r="AM428" s="1544"/>
      <c r="AN428" s="1544" t="str">
        <f t="shared" si="7"/>
        <v>Наименование признака дифференциации</v>
      </c>
      <c r="AO428" s="1544"/>
      <c r="AP428" s="1544"/>
    </row>
    <row r="429" spans="1:42" s="1818" customFormat="1" ht="23.25" customHeight="1">
      <c r="A429" s="1284"/>
      <c r="B429" s="1284"/>
      <c r="C429" s="1284"/>
      <c r="D429" s="1284"/>
      <c r="E429" s="8884" t="s">
        <v>106</v>
      </c>
      <c r="F429" s="8884"/>
      <c r="G429" s="8884"/>
      <c r="H429" s="8884"/>
      <c r="I429" s="8904"/>
      <c r="J429" s="8881" t="str">
        <f>I428&amp;".1"</f>
        <v>25.1.1.1.1</v>
      </c>
      <c r="K429" s="1284"/>
      <c r="L429" s="1290" t="s">
        <v>871</v>
      </c>
      <c r="M429" s="1696"/>
      <c r="N429" s="1696"/>
      <c r="O429" s="1696"/>
      <c r="P429" s="8882"/>
      <c r="Q429" s="8882">
        <v>1</v>
      </c>
      <c r="R429" s="278"/>
      <c r="S429" s="1810" t="str">
        <f>$J429</f>
        <v>25.1.1.1.1</v>
      </c>
      <c r="T429" s="201" t="s">
        <v>872</v>
      </c>
      <c r="U429" s="214"/>
      <c r="V429" s="8872"/>
      <c r="W429" s="8873"/>
      <c r="X429" s="8873"/>
      <c r="Y429" s="8873"/>
      <c r="Z429" s="8873"/>
      <c r="AA429" s="8873"/>
      <c r="AB429" s="8874"/>
      <c r="AC429" s="8872" t="s">
        <v>961</v>
      </c>
      <c r="AD429" s="8873"/>
      <c r="AE429" s="8873"/>
      <c r="AF429" s="8873"/>
      <c r="AG429" s="8873"/>
      <c r="AH429" s="8873"/>
      <c r="AI429" s="8873"/>
      <c r="AJ429" s="8874"/>
      <c r="AK429" s="1231" t="s">
        <v>947</v>
      </c>
      <c r="AL429" s="1562"/>
      <c r="AM429" s="1544"/>
      <c r="AN429" s="1544" t="str">
        <f t="shared" si="7"/>
        <v>Группа потребителей</v>
      </c>
      <c r="AO429" s="1544"/>
      <c r="AP429" s="1544"/>
    </row>
    <row r="430" spans="1:42" s="1818" customFormat="1" ht="23.25" customHeight="1">
      <c r="A430" s="1284"/>
      <c r="B430" s="1284"/>
      <c r="C430" s="1284"/>
      <c r="D430" s="1284"/>
      <c r="E430" s="8884" t="s">
        <v>106</v>
      </c>
      <c r="F430" s="8884"/>
      <c r="G430" s="8884"/>
      <c r="H430" s="8884"/>
      <c r="I430" s="8904"/>
      <c r="J430" s="8904"/>
      <c r="K430" s="8881" t="str">
        <f>J429&amp;".1"</f>
        <v>25.1.1.1.1.1</v>
      </c>
      <c r="L430" s="1290"/>
      <c r="M430" s="1696"/>
      <c r="N430" s="1696"/>
      <c r="O430" s="1696"/>
      <c r="P430" s="8882"/>
      <c r="Q430" s="8882"/>
      <c r="R430" s="278">
        <v>1</v>
      </c>
      <c r="S430" s="1810" t="str">
        <f>$K430</f>
        <v>25.1.1.1.1.1</v>
      </c>
      <c r="T430" s="1357" t="s">
        <v>962</v>
      </c>
      <c r="U430" s="214"/>
      <c r="V430" s="666"/>
      <c r="W430" s="666"/>
      <c r="X430" s="1181"/>
      <c r="Y430" s="8886"/>
      <c r="Z430" s="8734" t="s">
        <v>63</v>
      </c>
      <c r="AA430" s="8886"/>
      <c r="AB430" s="8734" t="s">
        <v>63</v>
      </c>
      <c r="AC430" s="666">
        <v>795.64</v>
      </c>
      <c r="AD430" s="666"/>
      <c r="AE430" s="1181"/>
      <c r="AF430" s="8886">
        <v>45292</v>
      </c>
      <c r="AG430" s="8734" t="s">
        <v>63</v>
      </c>
      <c r="AH430" s="8905">
        <v>45657</v>
      </c>
      <c r="AI430" s="8734" t="s">
        <v>63</v>
      </c>
      <c r="AJ430" s="1358"/>
      <c r="AK43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30" s="1562" t="e">
        <f ca="1">STRCHECKDATE(V431:AJ431)</f>
        <v>#NAME?</v>
      </c>
      <c r="AM430" s="1544"/>
      <c r="AN430" s="1544" t="str">
        <f t="shared" si="7"/>
        <v>Тариф для населения, руб. за 1 куб. метр с НДС</v>
      </c>
      <c r="AO430" s="1544"/>
      <c r="AP430" s="1544"/>
    </row>
    <row r="431" spans="1:42" s="1818" customFormat="1" ht="14.25" customHeight="1">
      <c r="A431" s="1284"/>
      <c r="B431" s="1284"/>
      <c r="C431" s="1284"/>
      <c r="D431" s="1284"/>
      <c r="E431" s="8884" t="s">
        <v>106</v>
      </c>
      <c r="F431" s="8884"/>
      <c r="G431" s="8884"/>
      <c r="H431" s="8884"/>
      <c r="I431" s="8904"/>
      <c r="J431" s="8904"/>
      <c r="K431" s="8881"/>
      <c r="L431" s="1290"/>
      <c r="M431" s="1696"/>
      <c r="N431" s="1696"/>
      <c r="O431" s="1696"/>
      <c r="P431" s="8882"/>
      <c r="Q431" s="8882"/>
      <c r="R431" s="278"/>
      <c r="S431" s="1815"/>
      <c r="T431" s="214"/>
      <c r="U431" s="214"/>
      <c r="V431" s="246"/>
      <c r="W431" s="246"/>
      <c r="X431" s="250" t="str">
        <f>Y430&amp;"-"&amp;AA430</f>
        <v>-</v>
      </c>
      <c r="Y431" s="8887"/>
      <c r="Z431" s="8734"/>
      <c r="AA431" s="8887"/>
      <c r="AB431" s="8734"/>
      <c r="AC431" s="246"/>
      <c r="AD431" s="246"/>
      <c r="AE431" s="250" t="str">
        <f>AF430&amp;"-"&amp;AH430</f>
        <v>45292-45657</v>
      </c>
      <c r="AF431" s="8887"/>
      <c r="AG431" s="8734"/>
      <c r="AH431" s="8906"/>
      <c r="AI431" s="8734"/>
      <c r="AJ431" s="1359"/>
      <c r="AK431" s="8941"/>
      <c r="AL431" s="1562"/>
      <c r="AM431" s="1544"/>
      <c r="AN431" s="1544" t="str">
        <f t="shared" si="7"/>
        <v/>
      </c>
      <c r="AO431" s="1544"/>
      <c r="AP431" s="1544"/>
    </row>
    <row r="432" spans="1:42" s="1818" customFormat="1" ht="21" customHeight="1">
      <c r="A432" s="1284"/>
      <c r="B432" s="1284"/>
      <c r="C432" s="1284"/>
      <c r="D432" s="1284"/>
      <c r="E432" s="8884" t="s">
        <v>106</v>
      </c>
      <c r="F432" s="8884"/>
      <c r="G432" s="8884"/>
      <c r="H432" s="8884"/>
      <c r="I432" s="8904"/>
      <c r="J432" s="8881"/>
      <c r="K432" s="1284"/>
      <c r="L432" s="1290"/>
      <c r="M432" s="1696"/>
      <c r="N432" s="1696"/>
      <c r="O432" s="1696"/>
      <c r="P432" s="8882"/>
      <c r="Q432" s="8882"/>
      <c r="R432" s="277"/>
      <c r="S432" s="3575"/>
      <c r="T432" s="3576" t="s">
        <v>948</v>
      </c>
      <c r="U432" s="3577"/>
      <c r="V432" s="3578"/>
      <c r="W432" s="3579"/>
      <c r="X432" s="3580"/>
      <c r="Y432" s="3581"/>
      <c r="Z432" s="3582"/>
      <c r="AA432" s="3583"/>
      <c r="AB432" s="3584"/>
      <c r="AC432" s="3585"/>
      <c r="AD432" s="3586"/>
      <c r="AE432" s="3587"/>
      <c r="AF432" s="3588"/>
      <c r="AG432" s="3589"/>
      <c r="AH432" s="3590"/>
      <c r="AI432" s="3591"/>
      <c r="AJ432" s="3592"/>
      <c r="AK432" s="1182" t="s">
        <v>949</v>
      </c>
      <c r="AL432" s="1562"/>
      <c r="AM432" s="1544"/>
      <c r="AN432" s="1544" t="str">
        <f t="shared" si="7"/>
        <v>Добавить значение признака дифференциации</v>
      </c>
      <c r="AO432" s="1544"/>
      <c r="AP432" s="1544"/>
    </row>
    <row r="433" spans="1:42" s="1818" customFormat="1" ht="23.25" customHeight="1">
      <c r="A433" s="1284"/>
      <c r="B433" s="1284"/>
      <c r="C433" s="1284"/>
      <c r="D433" s="1284"/>
      <c r="E433" s="8884"/>
      <c r="F433" s="8884"/>
      <c r="G433" s="8884"/>
      <c r="H433" s="8884"/>
      <c r="I433" s="8904"/>
      <c r="J433" s="8881" t="str">
        <f>I428&amp;".2"</f>
        <v>25.1.1.1.2</v>
      </c>
      <c r="K433" s="1284"/>
      <c r="L433" s="1290" t="s">
        <v>871</v>
      </c>
      <c r="M433" s="1696"/>
      <c r="N433" s="1696"/>
      <c r="O433" s="1696"/>
      <c r="P433" s="8882"/>
      <c r="Q433" s="8948" t="s">
        <v>100</v>
      </c>
      <c r="R433" s="278"/>
      <c r="S433" s="1810" t="str">
        <f>$J433</f>
        <v>25.1.1.1.2</v>
      </c>
      <c r="T433" s="201" t="s">
        <v>872</v>
      </c>
      <c r="U433" s="214"/>
      <c r="V433" s="8872"/>
      <c r="W433" s="8873"/>
      <c r="X433" s="8873"/>
      <c r="Y433" s="8873"/>
      <c r="Z433" s="8873"/>
      <c r="AA433" s="8873"/>
      <c r="AB433" s="8874"/>
      <c r="AC433" s="8872" t="s">
        <v>963</v>
      </c>
      <c r="AD433" s="8873"/>
      <c r="AE433" s="8873"/>
      <c r="AF433" s="8873"/>
      <c r="AG433" s="8873"/>
      <c r="AH433" s="8873"/>
      <c r="AI433" s="8873"/>
      <c r="AJ433" s="8874"/>
      <c r="AK433" s="1231" t="s">
        <v>947</v>
      </c>
      <c r="AL433" s="1562"/>
      <c r="AM433" s="1544"/>
      <c r="AN433" s="1544" t="str">
        <f t="shared" si="7"/>
        <v>Группа потребителей</v>
      </c>
      <c r="AO433" s="1544"/>
      <c r="AP433" s="1544"/>
    </row>
    <row r="434" spans="1:42" s="1818" customFormat="1" ht="23.25" customHeight="1">
      <c r="A434" s="1284"/>
      <c r="B434" s="1284"/>
      <c r="C434" s="1284"/>
      <c r="D434" s="1284"/>
      <c r="E434" s="8884"/>
      <c r="F434" s="8884"/>
      <c r="G434" s="8884"/>
      <c r="H434" s="8884"/>
      <c r="I434" s="8904"/>
      <c r="J434" s="8904" t="str">
        <f>I428&amp;".1"</f>
        <v>25.1.1.1.1</v>
      </c>
      <c r="K434" s="8881" t="str">
        <f>J433&amp;".1"</f>
        <v>25.1.1.1.2.1</v>
      </c>
      <c r="L434" s="1290"/>
      <c r="M434" s="1696"/>
      <c r="N434" s="1696"/>
      <c r="O434" s="1696"/>
      <c r="P434" s="8882"/>
      <c r="Q434" s="8882"/>
      <c r="R434" s="278">
        <v>1</v>
      </c>
      <c r="S434" s="1810" t="str">
        <f>$K434</f>
        <v>25.1.1.1.2.1</v>
      </c>
      <c r="T434" s="1357" t="s">
        <v>964</v>
      </c>
      <c r="U434" s="214"/>
      <c r="V434" s="666"/>
      <c r="W434" s="666"/>
      <c r="X434" s="1181"/>
      <c r="Y434" s="8886"/>
      <c r="Z434" s="8734" t="s">
        <v>63</v>
      </c>
      <c r="AA434" s="8886"/>
      <c r="AB434" s="8734" t="s">
        <v>63</v>
      </c>
      <c r="AC434" s="666">
        <v>663.03</v>
      </c>
      <c r="AD434" s="666"/>
      <c r="AE434" s="1181"/>
      <c r="AF434" s="8886">
        <v>45292</v>
      </c>
      <c r="AG434" s="8734" t="s">
        <v>63</v>
      </c>
      <c r="AH434" s="8905">
        <v>45657</v>
      </c>
      <c r="AI434" s="8734" t="s">
        <v>63</v>
      </c>
      <c r="AJ434" s="1358"/>
      <c r="AK43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34" s="1562" t="e">
        <f ca="1">STRCHECKDATE(V435:AJ435)</f>
        <v>#NAME?</v>
      </c>
      <c r="AM434" s="1544"/>
      <c r="AN434" s="1544" t="str">
        <f t="shared" si="7"/>
        <v>Тариф, руб. за 1 куб. метр без НДС</v>
      </c>
      <c r="AO434" s="1544"/>
      <c r="AP434" s="1544"/>
    </row>
    <row r="435" spans="1:42" s="1818" customFormat="1" ht="14.25" customHeight="1">
      <c r="A435" s="1284"/>
      <c r="B435" s="1284"/>
      <c r="C435" s="1284"/>
      <c r="D435" s="1284"/>
      <c r="E435" s="8884"/>
      <c r="F435" s="8884"/>
      <c r="G435" s="8884"/>
      <c r="H435" s="8884"/>
      <c r="I435" s="8904"/>
      <c r="J435" s="8904" t="str">
        <f>I428&amp;".1"</f>
        <v>25.1.1.1.1</v>
      </c>
      <c r="K435" s="8881"/>
      <c r="L435" s="1290"/>
      <c r="M435" s="1696"/>
      <c r="N435" s="1696"/>
      <c r="O435" s="1696"/>
      <c r="P435" s="8882"/>
      <c r="Q435" s="8882"/>
      <c r="R435" s="278"/>
      <c r="S435" s="1815"/>
      <c r="T435" s="214"/>
      <c r="U435" s="214"/>
      <c r="V435" s="246"/>
      <c r="W435" s="246"/>
      <c r="X435" s="250" t="str">
        <f>Y434&amp;"-"&amp;AA434</f>
        <v>-</v>
      </c>
      <c r="Y435" s="8887"/>
      <c r="Z435" s="8734"/>
      <c r="AA435" s="8887"/>
      <c r="AB435" s="8734"/>
      <c r="AC435" s="246"/>
      <c r="AD435" s="246"/>
      <c r="AE435" s="250" t="str">
        <f>AF434&amp;"-"&amp;AH434</f>
        <v>45292-45657</v>
      </c>
      <c r="AF435" s="8887"/>
      <c r="AG435" s="8734"/>
      <c r="AH435" s="8906"/>
      <c r="AI435" s="8734"/>
      <c r="AJ435" s="1359"/>
      <c r="AK435" s="8941"/>
      <c r="AL435" s="1562"/>
      <c r="AM435" s="1544"/>
      <c r="AN435" s="1544" t="str">
        <f t="shared" si="7"/>
        <v/>
      </c>
      <c r="AO435" s="1544"/>
      <c r="AP435" s="1544"/>
    </row>
    <row r="436" spans="1:42" s="1818" customFormat="1" ht="21" customHeight="1">
      <c r="A436" s="1284"/>
      <c r="B436" s="1284"/>
      <c r="C436" s="1284"/>
      <c r="D436" s="1284"/>
      <c r="E436" s="8884"/>
      <c r="F436" s="8884"/>
      <c r="G436" s="8884"/>
      <c r="H436" s="8884"/>
      <c r="I436" s="8904"/>
      <c r="J436" s="8881" t="str">
        <f>I428&amp;".1"</f>
        <v>25.1.1.1.1</v>
      </c>
      <c r="K436" s="1284"/>
      <c r="L436" s="1290"/>
      <c r="M436" s="1696"/>
      <c r="N436" s="1696"/>
      <c r="O436" s="1696"/>
      <c r="P436" s="8882"/>
      <c r="Q436" s="8882"/>
      <c r="R436" s="277"/>
      <c r="S436" s="3593"/>
      <c r="T436" s="3594" t="s">
        <v>948</v>
      </c>
      <c r="U436" s="3595"/>
      <c r="V436" s="3596"/>
      <c r="W436" s="3597"/>
      <c r="X436" s="3598"/>
      <c r="Y436" s="3599"/>
      <c r="Z436" s="3600"/>
      <c r="AA436" s="3601"/>
      <c r="AB436" s="3602"/>
      <c r="AC436" s="3603"/>
      <c r="AD436" s="3604"/>
      <c r="AE436" s="3605"/>
      <c r="AF436" s="3606"/>
      <c r="AG436" s="3607"/>
      <c r="AH436" s="3608"/>
      <c r="AI436" s="3609"/>
      <c r="AJ436" s="3610"/>
      <c r="AK436" s="1182" t="s">
        <v>949</v>
      </c>
      <c r="AL436" s="1562"/>
      <c r="AM436" s="1544"/>
      <c r="AN436" s="1544" t="str">
        <f t="shared" si="7"/>
        <v>Добавить значение признака дифференциации</v>
      </c>
      <c r="AO436" s="1544"/>
      <c r="AP436" s="1544"/>
    </row>
    <row r="437" spans="1:42" s="1818" customFormat="1" ht="21" customHeight="1">
      <c r="A437" s="1284"/>
      <c r="B437" s="1284"/>
      <c r="C437" s="1284"/>
      <c r="D437" s="1284"/>
      <c r="E437" s="8884" t="s">
        <v>106</v>
      </c>
      <c r="F437" s="8884"/>
      <c r="G437" s="8884"/>
      <c r="H437" s="8884"/>
      <c r="I437" s="8881"/>
      <c r="J437" s="1284"/>
      <c r="K437" s="1284"/>
      <c r="L437" s="1290"/>
      <c r="M437" s="1696"/>
      <c r="N437" s="1696"/>
      <c r="O437" s="1696"/>
      <c r="P437" s="8882"/>
      <c r="Q437" s="1811"/>
      <c r="R437" s="277"/>
      <c r="S437" s="3611"/>
      <c r="T437" s="3612" t="s">
        <v>877</v>
      </c>
      <c r="U437" s="3613"/>
      <c r="V437" s="3614"/>
      <c r="W437" s="3615"/>
      <c r="X437" s="3616"/>
      <c r="Y437" s="3617"/>
      <c r="Z437" s="3618"/>
      <c r="AA437" s="3619"/>
      <c r="AB437" s="3620"/>
      <c r="AC437" s="3621"/>
      <c r="AD437" s="3622"/>
      <c r="AE437" s="3623"/>
      <c r="AF437" s="3624"/>
      <c r="AG437" s="3625"/>
      <c r="AH437" s="3626"/>
      <c r="AI437" s="3627"/>
      <c r="AJ437" s="3628"/>
      <c r="AK437" s="3629"/>
      <c r="AL437" s="1562"/>
      <c r="AM437" s="1544"/>
      <c r="AN437" s="1544" t="str">
        <f t="shared" si="7"/>
        <v>Добавить группу потребителей</v>
      </c>
      <c r="AO437" s="1544"/>
      <c r="AP437" s="1544"/>
    </row>
    <row r="438" spans="1:42" s="1818" customFormat="1" ht="21" customHeight="1">
      <c r="A438" s="1284"/>
      <c r="B438" s="1284"/>
      <c r="C438" s="1284"/>
      <c r="D438" s="1284"/>
      <c r="E438" s="8884" t="s">
        <v>106</v>
      </c>
      <c r="F438" s="8884"/>
      <c r="G438" s="8884"/>
      <c r="H438" s="8883"/>
      <c r="I438" s="1284"/>
      <c r="J438" s="1284"/>
      <c r="K438" s="1284"/>
      <c r="L438" s="1290"/>
      <c r="M438" s="1286"/>
      <c r="N438" s="1286"/>
      <c r="O438" s="1287"/>
      <c r="P438" s="1742"/>
      <c r="Q438" s="299"/>
      <c r="R438" s="276"/>
      <c r="S438" s="3630"/>
      <c r="T438" s="3631" t="s">
        <v>950</v>
      </c>
      <c r="U438" s="3632"/>
      <c r="V438" s="3633"/>
      <c r="W438" s="3634"/>
      <c r="X438" s="3635"/>
      <c r="Y438" s="3636"/>
      <c r="Z438" s="3637"/>
      <c r="AA438" s="3638"/>
      <c r="AB438" s="3639"/>
      <c r="AC438" s="3640"/>
      <c r="AD438" s="3641"/>
      <c r="AE438" s="3642"/>
      <c r="AF438" s="3643"/>
      <c r="AG438" s="3644"/>
      <c r="AH438" s="3645"/>
      <c r="AI438" s="3646"/>
      <c r="AJ438" s="3647"/>
      <c r="AK438" s="3648"/>
      <c r="AL438" s="1562"/>
      <c r="AM438" s="1544"/>
      <c r="AN438" s="1544" t="str">
        <f t="shared" si="7"/>
        <v>Добавить наименование признака дифференциации</v>
      </c>
      <c r="AO438" s="1544"/>
      <c r="AP438" s="1544"/>
    </row>
    <row r="439" spans="1:42" s="541" customFormat="1" ht="14.25" customHeight="1">
      <c r="A439" s="1265"/>
      <c r="B439" s="1265"/>
      <c r="C439" s="1265"/>
      <c r="D439" s="1265"/>
      <c r="E439" s="8884" t="s">
        <v>106</v>
      </c>
      <c r="F439" s="8883"/>
      <c r="G439" s="1265"/>
      <c r="H439" s="1265"/>
      <c r="I439" s="1265"/>
      <c r="J439" s="1265"/>
      <c r="K439" s="1265"/>
      <c r="L439" s="1466"/>
      <c r="M439" s="1244"/>
      <c r="N439" s="1244"/>
      <c r="O439" s="1562"/>
      <c r="P439" s="1239"/>
      <c r="Q439" s="1266"/>
      <c r="R439" s="1239"/>
      <c r="S439" s="1245"/>
      <c r="T439" s="1248" t="s">
        <v>314</v>
      </c>
      <c r="U439" s="1247"/>
      <c r="V439" s="1247"/>
      <c r="W439" s="1247"/>
      <c r="X439" s="1247"/>
      <c r="Y439" s="1247"/>
      <c r="Z439" s="1247"/>
      <c r="AA439" s="1247"/>
      <c r="AB439" s="1247"/>
      <c r="AC439" s="1247"/>
      <c r="AD439" s="1247"/>
      <c r="AE439" s="1247"/>
      <c r="AF439" s="1247"/>
      <c r="AG439" s="1247"/>
      <c r="AH439" s="1247"/>
      <c r="AI439" s="1247"/>
      <c r="AJ439" s="1247"/>
      <c r="AK439" s="1247"/>
      <c r="AL439" s="1562"/>
      <c r="AM439" s="1544"/>
      <c r="AN439" s="1544" t="str">
        <f t="shared" si="7"/>
        <v>Добавить централизованную систему для дифференциации</v>
      </c>
      <c r="AO439" s="1544"/>
      <c r="AP439" s="1544"/>
    </row>
    <row r="440" spans="1:42" s="541" customFormat="1" ht="14.25" customHeight="1">
      <c r="A440" s="1265"/>
      <c r="B440" s="1265"/>
      <c r="C440" s="1265"/>
      <c r="D440" s="1265"/>
      <c r="E440" s="8883" t="s">
        <v>106</v>
      </c>
      <c r="F440" s="1265"/>
      <c r="G440" s="1265"/>
      <c r="H440" s="1265"/>
      <c r="I440" s="1265"/>
      <c r="J440" s="1265"/>
      <c r="K440" s="1265"/>
      <c r="L440" s="1466"/>
      <c r="M440" s="1244"/>
      <c r="N440" s="1244"/>
      <c r="O440" s="1562"/>
      <c r="P440" s="1239"/>
      <c r="Q440" s="1266"/>
      <c r="R440" s="1239"/>
      <c r="S440" s="1245"/>
      <c r="T440" s="1248" t="s">
        <v>315</v>
      </c>
      <c r="U440" s="1247"/>
      <c r="V440" s="1247"/>
      <c r="W440" s="1247"/>
      <c r="X440" s="1247"/>
      <c r="Y440" s="1247"/>
      <c r="Z440" s="1247"/>
      <c r="AA440" s="1247"/>
      <c r="AB440" s="1247"/>
      <c r="AC440" s="1247"/>
      <c r="AD440" s="1247"/>
      <c r="AE440" s="1247"/>
      <c r="AF440" s="1247"/>
      <c r="AG440" s="1247"/>
      <c r="AH440" s="1247"/>
      <c r="AI440" s="1247"/>
      <c r="AJ440" s="1247"/>
      <c r="AK440" s="1247"/>
      <c r="AL440" s="1562"/>
      <c r="AM440" s="1544"/>
      <c r="AN440" s="1544" t="str">
        <f t="shared" si="7"/>
        <v>Добавить территорию для дифференциации</v>
      </c>
      <c r="AO440" s="1544"/>
      <c r="AP440" s="1544"/>
    </row>
    <row r="441" spans="1:42" s="1818" customFormat="1" ht="23.25" customHeight="1">
      <c r="A441" s="1284" t="s">
        <v>441</v>
      </c>
      <c r="B441" s="1284"/>
      <c r="C441" s="1284"/>
      <c r="D441" s="1284"/>
      <c r="E441" s="8883" t="s">
        <v>439</v>
      </c>
      <c r="F441" s="1284"/>
      <c r="G441" s="1284"/>
      <c r="H441" s="1284"/>
      <c r="I441" s="1284"/>
      <c r="J441" s="1284"/>
      <c r="K441" s="1284"/>
      <c r="L441" s="1290"/>
      <c r="M441" s="1286"/>
      <c r="N441" s="1286"/>
      <c r="O441" s="1286"/>
      <c r="P441" s="1812"/>
      <c r="Q441" s="1742"/>
      <c r="R441" s="276"/>
      <c r="S441" s="1810" t="str">
        <f>INDEX(PT_DIFFERENTIATION_NUM_NTAR,MATCH(A441,PT_DIFFERENTIATION_NTAR_ID,0))</f>
        <v>26</v>
      </c>
      <c r="T441" s="1440" t="s">
        <v>211</v>
      </c>
      <c r="U441" s="214"/>
      <c r="V441" s="8869"/>
      <c r="W441" s="8870"/>
      <c r="X441" s="8870"/>
      <c r="Y441" s="8870"/>
      <c r="Z441" s="8870"/>
      <c r="AA441" s="8870"/>
      <c r="AB441" s="8871"/>
      <c r="AC441" s="8869" t="str">
        <f>INDEX(PT_DIFFERENTIATION_NTAR,MATCH(A441,PT_DIFFERENTIATION_NTAR_ID,0))</f>
        <v>Подвоз воды потребителям хутора Медведева</v>
      </c>
      <c r="AD441" s="8870"/>
      <c r="AE441" s="8870"/>
      <c r="AF441" s="8870"/>
      <c r="AG441" s="8870"/>
      <c r="AH441" s="8870"/>
      <c r="AI441" s="8870"/>
      <c r="AJ441" s="8871"/>
      <c r="AK4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441" s="1562"/>
      <c r="AM441" s="1544"/>
      <c r="AN441" s="1544" t="str">
        <f t="shared" si="7"/>
        <v>Наименование тарифа</v>
      </c>
      <c r="AO441" s="1544"/>
      <c r="AP441" s="1544"/>
    </row>
    <row r="442" spans="1:42" s="1818" customFormat="1" ht="23.25" customHeight="1">
      <c r="A442" s="1284"/>
      <c r="B442" s="1284" t="s">
        <v>442</v>
      </c>
      <c r="C442" s="1284"/>
      <c r="D442" s="1284"/>
      <c r="E442" s="8884" t="s">
        <v>433</v>
      </c>
      <c r="F442" s="8883">
        <v>1</v>
      </c>
      <c r="G442" s="1284"/>
      <c r="H442" s="1284"/>
      <c r="I442" s="1284"/>
      <c r="J442" s="1284"/>
      <c r="K442" s="1284"/>
      <c r="L442" s="1290"/>
      <c r="M442" s="1286"/>
      <c r="N442" s="1286"/>
      <c r="O442" s="1286"/>
      <c r="P442" s="1807"/>
      <c r="Q442" s="273"/>
      <c r="R442" s="274"/>
      <c r="S442" s="1810" t="str">
        <f>INDEX(PT_DIFFERENTIATION_NUM_TER,MATCH(B442,PT_DIFFERENTIATION_TER_ID,0))</f>
        <v>26.1</v>
      </c>
      <c r="T442" s="1437" t="s">
        <v>862</v>
      </c>
      <c r="U442" s="214"/>
      <c r="V442" s="8869"/>
      <c r="W442" s="8870"/>
      <c r="X442" s="8870"/>
      <c r="Y442" s="8870"/>
      <c r="Z442" s="8870"/>
      <c r="AA442" s="8870"/>
      <c r="AB442" s="8871"/>
      <c r="AC442" s="8869" t="str">
        <f>INDEX(PT_DIFFERENTIATION_TER,MATCH(B442,PT_DIFFERENTIATION_TER_ID,0))</f>
        <v>Территория 7</v>
      </c>
      <c r="AD442" s="8870"/>
      <c r="AE442" s="8870"/>
      <c r="AF442" s="8870"/>
      <c r="AG442" s="8870"/>
      <c r="AH442" s="8870"/>
      <c r="AI442" s="8870"/>
      <c r="AJ442" s="8871"/>
      <c r="AK442" s="1182" t="s">
        <v>863</v>
      </c>
      <c r="AL442" s="1562"/>
      <c r="AM442" s="1544"/>
      <c r="AN442" s="1544" t="str">
        <f t="shared" si="7"/>
        <v>Территория действия тарифа</v>
      </c>
      <c r="AO442" s="1544"/>
      <c r="AP442" s="1544"/>
    </row>
    <row r="443" spans="1:42" s="1818" customFormat="1" ht="23.25" customHeight="1">
      <c r="A443" s="1284"/>
      <c r="B443" s="1284"/>
      <c r="C443" s="1284" t="s">
        <v>443</v>
      </c>
      <c r="D443" s="1284"/>
      <c r="E443" s="8884" t="s">
        <v>433</v>
      </c>
      <c r="F443" s="8884"/>
      <c r="G443" s="8883">
        <v>1</v>
      </c>
      <c r="H443" s="1284"/>
      <c r="I443" s="1284"/>
      <c r="J443" s="1284"/>
      <c r="K443" s="1284"/>
      <c r="L443" s="1290"/>
      <c r="M443" s="1286"/>
      <c r="N443" s="1286"/>
      <c r="O443" s="1286"/>
      <c r="P443" s="275"/>
      <c r="Q443" s="273"/>
      <c r="R443" s="274"/>
      <c r="S443" s="1810" t="str">
        <f>INDEX(PT_DIFFERENTIATION_NUM_CS,MATCH(C443,PT_DIFFERENTIATION_CS_ID,0))</f>
        <v>26.1.1</v>
      </c>
      <c r="T443" s="225" t="s">
        <v>943</v>
      </c>
      <c r="U443" s="214"/>
      <c r="V443" s="8869"/>
      <c r="W443" s="8870"/>
      <c r="X443" s="8870"/>
      <c r="Y443" s="8870"/>
      <c r="Z443" s="8870"/>
      <c r="AA443" s="8870"/>
      <c r="AB443" s="8871"/>
      <c r="AC443" s="8869" t="str">
        <f>INDEX(PT_DIFFERENTIATION_CS,MATCH(C443,PT_DIFFERENTIATION_CS_ID,0))</f>
        <v>без дифференциации</v>
      </c>
      <c r="AD443" s="8870"/>
      <c r="AE443" s="8870"/>
      <c r="AF443" s="8870"/>
      <c r="AG443" s="8870"/>
      <c r="AH443" s="8870"/>
      <c r="AI443" s="8870"/>
      <c r="AJ443" s="8871"/>
      <c r="AK443" s="1182" t="s">
        <v>944</v>
      </c>
      <c r="AL443" s="1562"/>
      <c r="AM443" s="1544"/>
      <c r="AN443" s="1544" t="str">
        <f t="shared" si="7"/>
        <v>Наименование централизованной системы холодного водоснабжения</v>
      </c>
      <c r="AO443" s="1544"/>
      <c r="AP443" s="1544"/>
    </row>
    <row r="444" spans="1:42" s="1818" customFormat="1" ht="23.25" customHeight="1">
      <c r="A444" s="1284"/>
      <c r="B444" s="1284"/>
      <c r="C444" s="1284"/>
      <c r="D444" s="1284"/>
      <c r="E444" s="8884" t="s">
        <v>433</v>
      </c>
      <c r="F444" s="8884"/>
      <c r="G444" s="8884"/>
      <c r="H444" s="8884"/>
      <c r="I444" s="8881" t="str">
        <f>S443&amp;".1"</f>
        <v>26.1.1.1</v>
      </c>
      <c r="J444" s="1284"/>
      <c r="K444" s="1284"/>
      <c r="L444" s="1290"/>
      <c r="M444" s="1696"/>
      <c r="N444" s="1696"/>
      <c r="O444" s="1696"/>
      <c r="P444" s="8882">
        <v>1</v>
      </c>
      <c r="Q444" s="1811"/>
      <c r="R444" s="277"/>
      <c r="S444" s="1810" t="str">
        <f>$I444</f>
        <v>26.1.1.1</v>
      </c>
      <c r="T444" s="200" t="s">
        <v>945</v>
      </c>
      <c r="U444" s="214"/>
      <c r="V444" s="8942"/>
      <c r="W444" s="8943"/>
      <c r="X444" s="8943"/>
      <c r="Y444" s="8943"/>
      <c r="Z444" s="8943"/>
      <c r="AA444" s="8943"/>
      <c r="AB444" s="8944"/>
      <c r="AC444" s="8945"/>
      <c r="AD444" s="8946"/>
      <c r="AE444" s="8946"/>
      <c r="AF444" s="8946"/>
      <c r="AG444" s="8946"/>
      <c r="AH444" s="8946"/>
      <c r="AI444" s="8946"/>
      <c r="AJ444" s="8947"/>
      <c r="AK444" s="1182" t="s">
        <v>946</v>
      </c>
      <c r="AL444" s="1562"/>
      <c r="AM444" s="1544"/>
      <c r="AN444" s="1544" t="str">
        <f t="shared" si="7"/>
        <v>Наименование признака дифференциации</v>
      </c>
      <c r="AO444" s="1544"/>
      <c r="AP444" s="1544"/>
    </row>
    <row r="445" spans="1:42" s="1818" customFormat="1" ht="23.25" customHeight="1">
      <c r="A445" s="1284"/>
      <c r="B445" s="1284"/>
      <c r="C445" s="1284"/>
      <c r="D445" s="1284"/>
      <c r="E445" s="8884" t="s">
        <v>433</v>
      </c>
      <c r="F445" s="8884"/>
      <c r="G445" s="8884"/>
      <c r="H445" s="8884"/>
      <c r="I445" s="8904"/>
      <c r="J445" s="8881" t="str">
        <f>I444&amp;".1"</f>
        <v>26.1.1.1.1</v>
      </c>
      <c r="K445" s="1284"/>
      <c r="L445" s="1290" t="s">
        <v>871</v>
      </c>
      <c r="M445" s="1696"/>
      <c r="N445" s="1696"/>
      <c r="O445" s="1696"/>
      <c r="P445" s="8882"/>
      <c r="Q445" s="8882">
        <v>1</v>
      </c>
      <c r="R445" s="278"/>
      <c r="S445" s="1810" t="str">
        <f>$J445</f>
        <v>26.1.1.1.1</v>
      </c>
      <c r="T445" s="201" t="s">
        <v>872</v>
      </c>
      <c r="U445" s="214"/>
      <c r="V445" s="8872"/>
      <c r="W445" s="8873"/>
      <c r="X445" s="8873"/>
      <c r="Y445" s="8873"/>
      <c r="Z445" s="8873"/>
      <c r="AA445" s="8873"/>
      <c r="AB445" s="8874"/>
      <c r="AC445" s="8872" t="s">
        <v>961</v>
      </c>
      <c r="AD445" s="8873"/>
      <c r="AE445" s="8873"/>
      <c r="AF445" s="8873"/>
      <c r="AG445" s="8873"/>
      <c r="AH445" s="8873"/>
      <c r="AI445" s="8873"/>
      <c r="AJ445" s="8874"/>
      <c r="AK445" s="1231" t="s">
        <v>947</v>
      </c>
      <c r="AL445" s="1562"/>
      <c r="AM445" s="1544"/>
      <c r="AN445" s="1544" t="str">
        <f t="shared" si="7"/>
        <v>Группа потребителей</v>
      </c>
      <c r="AO445" s="1544"/>
      <c r="AP445" s="1544"/>
    </row>
    <row r="446" spans="1:42" s="1818" customFormat="1" ht="23.25" customHeight="1">
      <c r="A446" s="1284"/>
      <c r="B446" s="1284"/>
      <c r="C446" s="1284"/>
      <c r="D446" s="1284"/>
      <c r="E446" s="8884" t="s">
        <v>433</v>
      </c>
      <c r="F446" s="8884"/>
      <c r="G446" s="8884"/>
      <c r="H446" s="8884"/>
      <c r="I446" s="8904"/>
      <c r="J446" s="8904"/>
      <c r="K446" s="8881" t="str">
        <f>J445&amp;".1"</f>
        <v>26.1.1.1.1.1</v>
      </c>
      <c r="L446" s="1290"/>
      <c r="M446" s="1696"/>
      <c r="N446" s="1696"/>
      <c r="O446" s="1696"/>
      <c r="P446" s="8882"/>
      <c r="Q446" s="8882"/>
      <c r="R446" s="278">
        <v>1</v>
      </c>
      <c r="S446" s="1810" t="str">
        <f>$K446</f>
        <v>26.1.1.1.1.1</v>
      </c>
      <c r="T446" s="1357" t="s">
        <v>962</v>
      </c>
      <c r="U446" s="214"/>
      <c r="V446" s="666"/>
      <c r="W446" s="666"/>
      <c r="X446" s="1181"/>
      <c r="Y446" s="8886"/>
      <c r="Z446" s="8734" t="s">
        <v>63</v>
      </c>
      <c r="AA446" s="8886"/>
      <c r="AB446" s="8734" t="s">
        <v>63</v>
      </c>
      <c r="AC446" s="666">
        <v>663.5</v>
      </c>
      <c r="AD446" s="666"/>
      <c r="AE446" s="1181"/>
      <c r="AF446" s="8886">
        <v>45292</v>
      </c>
      <c r="AG446" s="8734" t="s">
        <v>63</v>
      </c>
      <c r="AH446" s="8905">
        <v>45657</v>
      </c>
      <c r="AI446" s="8734" t="s">
        <v>63</v>
      </c>
      <c r="AJ446" s="1358"/>
      <c r="AK4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46" s="1562" t="e">
        <f ca="1">STRCHECKDATE(V447:AJ447)</f>
        <v>#NAME?</v>
      </c>
      <c r="AM446" s="1544"/>
      <c r="AN446" s="1544" t="str">
        <f t="shared" si="7"/>
        <v>Тариф для населения, руб. за 1 куб. метр с НДС</v>
      </c>
      <c r="AO446" s="1544"/>
      <c r="AP446" s="1544"/>
    </row>
    <row r="447" spans="1:42" s="1818" customFormat="1" ht="14.25" customHeight="1">
      <c r="A447" s="1284"/>
      <c r="B447" s="1284"/>
      <c r="C447" s="1284"/>
      <c r="D447" s="1284"/>
      <c r="E447" s="8884" t="s">
        <v>433</v>
      </c>
      <c r="F447" s="8884"/>
      <c r="G447" s="8884"/>
      <c r="H447" s="8884"/>
      <c r="I447" s="8904"/>
      <c r="J447" s="8904"/>
      <c r="K447" s="8881"/>
      <c r="L447" s="1290"/>
      <c r="M447" s="1696"/>
      <c r="N447" s="1696"/>
      <c r="O447" s="1696"/>
      <c r="P447" s="8882"/>
      <c r="Q447" s="8882"/>
      <c r="R447" s="278"/>
      <c r="S447" s="1815"/>
      <c r="T447" s="214"/>
      <c r="U447" s="214"/>
      <c r="V447" s="246"/>
      <c r="W447" s="246"/>
      <c r="X447" s="250" t="str">
        <f>Y446&amp;"-"&amp;AA446</f>
        <v>-</v>
      </c>
      <c r="Y447" s="8887"/>
      <c r="Z447" s="8734"/>
      <c r="AA447" s="8887"/>
      <c r="AB447" s="8734"/>
      <c r="AC447" s="246"/>
      <c r="AD447" s="246"/>
      <c r="AE447" s="250" t="str">
        <f>AF446&amp;"-"&amp;AH446</f>
        <v>45292-45657</v>
      </c>
      <c r="AF447" s="8887"/>
      <c r="AG447" s="8734"/>
      <c r="AH447" s="8906"/>
      <c r="AI447" s="8734"/>
      <c r="AJ447" s="1359"/>
      <c r="AK447" s="8941"/>
      <c r="AL447" s="1562"/>
      <c r="AM447" s="1544"/>
      <c r="AN447" s="1544" t="str">
        <f t="shared" si="7"/>
        <v/>
      </c>
      <c r="AO447" s="1544"/>
      <c r="AP447" s="1544"/>
    </row>
    <row r="448" spans="1:42" s="1818" customFormat="1" ht="21" customHeight="1">
      <c r="A448" s="1284"/>
      <c r="B448" s="1284"/>
      <c r="C448" s="1284"/>
      <c r="D448" s="1284"/>
      <c r="E448" s="8884" t="s">
        <v>433</v>
      </c>
      <c r="F448" s="8884"/>
      <c r="G448" s="8884"/>
      <c r="H448" s="8884"/>
      <c r="I448" s="8904"/>
      <c r="J448" s="8881"/>
      <c r="K448" s="1284"/>
      <c r="L448" s="1290"/>
      <c r="M448" s="1696"/>
      <c r="N448" s="1696"/>
      <c r="O448" s="1696"/>
      <c r="P448" s="8882"/>
      <c r="Q448" s="8882"/>
      <c r="R448" s="277"/>
      <c r="S448" s="3649"/>
      <c r="T448" s="3650" t="s">
        <v>948</v>
      </c>
      <c r="U448" s="3651"/>
      <c r="V448" s="3652"/>
      <c r="W448" s="3653"/>
      <c r="X448" s="3654"/>
      <c r="Y448" s="3655"/>
      <c r="Z448" s="3656"/>
      <c r="AA448" s="3657"/>
      <c r="AB448" s="3658"/>
      <c r="AC448" s="3659"/>
      <c r="AD448" s="3660"/>
      <c r="AE448" s="3661"/>
      <c r="AF448" s="3662"/>
      <c r="AG448" s="3663"/>
      <c r="AH448" s="3664"/>
      <c r="AI448" s="3665"/>
      <c r="AJ448" s="3666"/>
      <c r="AK448" s="1182" t="s">
        <v>949</v>
      </c>
      <c r="AL448" s="1562"/>
      <c r="AM448" s="1544"/>
      <c r="AN448" s="1544" t="str">
        <f t="shared" si="7"/>
        <v>Добавить значение признака дифференциации</v>
      </c>
      <c r="AO448" s="1544"/>
      <c r="AP448" s="1544"/>
    </row>
    <row r="449" spans="1:42" s="1818" customFormat="1" ht="23.25" customHeight="1">
      <c r="A449" s="1284"/>
      <c r="B449" s="1284"/>
      <c r="C449" s="1284"/>
      <c r="D449" s="1284"/>
      <c r="E449" s="8884"/>
      <c r="F449" s="8884"/>
      <c r="G449" s="8884"/>
      <c r="H449" s="8884"/>
      <c r="I449" s="8904"/>
      <c r="J449" s="8881" t="str">
        <f>I444&amp;".2"</f>
        <v>26.1.1.1.2</v>
      </c>
      <c r="K449" s="1284"/>
      <c r="L449" s="1290" t="s">
        <v>871</v>
      </c>
      <c r="M449" s="1696"/>
      <c r="N449" s="1696"/>
      <c r="O449" s="1696"/>
      <c r="P449" s="8882"/>
      <c r="Q449" s="8948" t="s">
        <v>100</v>
      </c>
      <c r="R449" s="278"/>
      <c r="S449" s="1810" t="str">
        <f>$J449</f>
        <v>26.1.1.1.2</v>
      </c>
      <c r="T449" s="201" t="s">
        <v>872</v>
      </c>
      <c r="U449" s="214"/>
      <c r="V449" s="8872"/>
      <c r="W449" s="8873"/>
      <c r="X449" s="8873"/>
      <c r="Y449" s="8873"/>
      <c r="Z449" s="8873"/>
      <c r="AA449" s="8873"/>
      <c r="AB449" s="8874"/>
      <c r="AC449" s="8872" t="s">
        <v>963</v>
      </c>
      <c r="AD449" s="8873"/>
      <c r="AE449" s="8873"/>
      <c r="AF449" s="8873"/>
      <c r="AG449" s="8873"/>
      <c r="AH449" s="8873"/>
      <c r="AI449" s="8873"/>
      <c r="AJ449" s="8874"/>
      <c r="AK449" s="1231" t="s">
        <v>947</v>
      </c>
      <c r="AL449" s="1562"/>
      <c r="AM449" s="1544"/>
      <c r="AN449" s="1544" t="str">
        <f t="shared" si="7"/>
        <v>Группа потребителей</v>
      </c>
      <c r="AO449" s="1544"/>
      <c r="AP449" s="1544"/>
    </row>
    <row r="450" spans="1:42" s="1818" customFormat="1" ht="23.25" customHeight="1">
      <c r="A450" s="1284"/>
      <c r="B450" s="1284"/>
      <c r="C450" s="1284"/>
      <c r="D450" s="1284"/>
      <c r="E450" s="8884"/>
      <c r="F450" s="8884"/>
      <c r="G450" s="8884"/>
      <c r="H450" s="8884"/>
      <c r="I450" s="8904"/>
      <c r="J450" s="8904" t="str">
        <f>I444&amp;".1"</f>
        <v>26.1.1.1.1</v>
      </c>
      <c r="K450" s="8881" t="str">
        <f>J449&amp;".1"</f>
        <v>26.1.1.1.2.1</v>
      </c>
      <c r="L450" s="1290"/>
      <c r="M450" s="1696"/>
      <c r="N450" s="1696"/>
      <c r="O450" s="1696"/>
      <c r="P450" s="8882"/>
      <c r="Q450" s="8882"/>
      <c r="R450" s="278">
        <v>1</v>
      </c>
      <c r="S450" s="1810" t="str">
        <f>$K450</f>
        <v>26.1.1.1.2.1</v>
      </c>
      <c r="T450" s="1357" t="s">
        <v>964</v>
      </c>
      <c r="U450" s="214"/>
      <c r="V450" s="666"/>
      <c r="W450" s="666"/>
      <c r="X450" s="1181"/>
      <c r="Y450" s="8886"/>
      <c r="Z450" s="8734" t="s">
        <v>63</v>
      </c>
      <c r="AA450" s="8886"/>
      <c r="AB450" s="8734" t="s">
        <v>63</v>
      </c>
      <c r="AC450" s="666">
        <v>552.91999999999996</v>
      </c>
      <c r="AD450" s="666"/>
      <c r="AE450" s="1181"/>
      <c r="AF450" s="8886">
        <v>45292</v>
      </c>
      <c r="AG450" s="8734" t="s">
        <v>63</v>
      </c>
      <c r="AH450" s="8905">
        <v>45657</v>
      </c>
      <c r="AI450" s="8734" t="s">
        <v>63</v>
      </c>
      <c r="AJ450" s="1358"/>
      <c r="AK45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50" s="1562" t="e">
        <f ca="1">STRCHECKDATE(V451:AJ451)</f>
        <v>#NAME?</v>
      </c>
      <c r="AM450" s="1544"/>
      <c r="AN450" s="1544" t="str">
        <f t="shared" si="7"/>
        <v>Тариф, руб. за 1 куб. метр без НДС</v>
      </c>
      <c r="AO450" s="1544"/>
      <c r="AP450" s="1544"/>
    </row>
    <row r="451" spans="1:42" s="1818" customFormat="1" ht="14.25" customHeight="1">
      <c r="A451" s="1284"/>
      <c r="B451" s="1284"/>
      <c r="C451" s="1284"/>
      <c r="D451" s="1284"/>
      <c r="E451" s="8884"/>
      <c r="F451" s="8884"/>
      <c r="G451" s="8884"/>
      <c r="H451" s="8884"/>
      <c r="I451" s="8904"/>
      <c r="J451" s="8904" t="str">
        <f>I444&amp;".1"</f>
        <v>26.1.1.1.1</v>
      </c>
      <c r="K451" s="8881"/>
      <c r="L451" s="1290"/>
      <c r="M451" s="1696"/>
      <c r="N451" s="1696"/>
      <c r="O451" s="1696"/>
      <c r="P451" s="8882"/>
      <c r="Q451" s="8882"/>
      <c r="R451" s="278"/>
      <c r="S451" s="1815"/>
      <c r="T451" s="214"/>
      <c r="U451" s="214"/>
      <c r="V451" s="246"/>
      <c r="W451" s="246"/>
      <c r="X451" s="250" t="str">
        <f>Y450&amp;"-"&amp;AA450</f>
        <v>-</v>
      </c>
      <c r="Y451" s="8887"/>
      <c r="Z451" s="8734"/>
      <c r="AA451" s="8887"/>
      <c r="AB451" s="8734"/>
      <c r="AC451" s="246"/>
      <c r="AD451" s="246"/>
      <c r="AE451" s="250" t="str">
        <f>AF450&amp;"-"&amp;AH450</f>
        <v>45292-45657</v>
      </c>
      <c r="AF451" s="8887"/>
      <c r="AG451" s="8734"/>
      <c r="AH451" s="8906"/>
      <c r="AI451" s="8734"/>
      <c r="AJ451" s="1359"/>
      <c r="AK451" s="8941"/>
      <c r="AL451" s="1562"/>
      <c r="AM451" s="1544"/>
      <c r="AN451" s="1544" t="str">
        <f t="shared" si="7"/>
        <v/>
      </c>
      <c r="AO451" s="1544"/>
      <c r="AP451" s="1544"/>
    </row>
    <row r="452" spans="1:42" s="1818" customFormat="1" ht="21" customHeight="1">
      <c r="A452" s="1284"/>
      <c r="B452" s="1284"/>
      <c r="C452" s="1284"/>
      <c r="D452" s="1284"/>
      <c r="E452" s="8884"/>
      <c r="F452" s="8884"/>
      <c r="G452" s="8884"/>
      <c r="H452" s="8884"/>
      <c r="I452" s="8904"/>
      <c r="J452" s="8881" t="str">
        <f>I444&amp;".1"</f>
        <v>26.1.1.1.1</v>
      </c>
      <c r="K452" s="1284"/>
      <c r="L452" s="1290"/>
      <c r="M452" s="1696"/>
      <c r="N452" s="1696"/>
      <c r="O452" s="1696"/>
      <c r="P452" s="8882"/>
      <c r="Q452" s="8882"/>
      <c r="R452" s="277"/>
      <c r="S452" s="3667"/>
      <c r="T452" s="3668" t="s">
        <v>948</v>
      </c>
      <c r="U452" s="3669"/>
      <c r="V452" s="3670"/>
      <c r="W452" s="3671"/>
      <c r="X452" s="3672"/>
      <c r="Y452" s="3673"/>
      <c r="Z452" s="3674"/>
      <c r="AA452" s="3675"/>
      <c r="AB452" s="3676"/>
      <c r="AC452" s="3677"/>
      <c r="AD452" s="3678"/>
      <c r="AE452" s="3679"/>
      <c r="AF452" s="3680"/>
      <c r="AG452" s="3681"/>
      <c r="AH452" s="3682"/>
      <c r="AI452" s="3683"/>
      <c r="AJ452" s="3684"/>
      <c r="AK452" s="1182" t="s">
        <v>949</v>
      </c>
      <c r="AL452" s="1562"/>
      <c r="AM452" s="1544"/>
      <c r="AN452" s="1544" t="str">
        <f t="shared" si="7"/>
        <v>Добавить значение признака дифференциации</v>
      </c>
      <c r="AO452" s="1544"/>
      <c r="AP452" s="1544"/>
    </row>
    <row r="453" spans="1:42" s="1818" customFormat="1" ht="21" customHeight="1">
      <c r="A453" s="1284"/>
      <c r="B453" s="1284"/>
      <c r="C453" s="1284"/>
      <c r="D453" s="1284"/>
      <c r="E453" s="8884" t="s">
        <v>433</v>
      </c>
      <c r="F453" s="8884"/>
      <c r="G453" s="8884"/>
      <c r="H453" s="8884"/>
      <c r="I453" s="8881"/>
      <c r="J453" s="1284"/>
      <c r="K453" s="1284"/>
      <c r="L453" s="1290"/>
      <c r="M453" s="1696"/>
      <c r="N453" s="1696"/>
      <c r="O453" s="1696"/>
      <c r="P453" s="8882"/>
      <c r="Q453" s="1811"/>
      <c r="R453" s="277"/>
      <c r="S453" s="3685"/>
      <c r="T453" s="3686" t="s">
        <v>877</v>
      </c>
      <c r="U453" s="3687"/>
      <c r="V453" s="3688"/>
      <c r="W453" s="3689"/>
      <c r="X453" s="3690"/>
      <c r="Y453" s="3691"/>
      <c r="Z453" s="3692"/>
      <c r="AA453" s="3693"/>
      <c r="AB453" s="3694"/>
      <c r="AC453" s="3695"/>
      <c r="AD453" s="3696"/>
      <c r="AE453" s="3697"/>
      <c r="AF453" s="3698"/>
      <c r="AG453" s="3699"/>
      <c r="AH453" s="3700"/>
      <c r="AI453" s="3701"/>
      <c r="AJ453" s="3702"/>
      <c r="AK453" s="3703"/>
      <c r="AL453" s="1562"/>
      <c r="AM453" s="1544"/>
      <c r="AN453" s="1544" t="str">
        <f t="shared" si="7"/>
        <v>Добавить группу потребителей</v>
      </c>
      <c r="AO453" s="1544"/>
      <c r="AP453" s="1544"/>
    </row>
    <row r="454" spans="1:42" s="1818" customFormat="1" ht="21" customHeight="1">
      <c r="A454" s="1284"/>
      <c r="B454" s="1284"/>
      <c r="C454" s="1284"/>
      <c r="D454" s="1284"/>
      <c r="E454" s="8884" t="s">
        <v>433</v>
      </c>
      <c r="F454" s="8884"/>
      <c r="G454" s="8884"/>
      <c r="H454" s="8883"/>
      <c r="I454" s="1284"/>
      <c r="J454" s="1284"/>
      <c r="K454" s="1284"/>
      <c r="L454" s="1290"/>
      <c r="M454" s="1286"/>
      <c r="N454" s="1286"/>
      <c r="O454" s="1287"/>
      <c r="P454" s="1742"/>
      <c r="Q454" s="299"/>
      <c r="R454" s="276"/>
      <c r="S454" s="3704"/>
      <c r="T454" s="3705" t="s">
        <v>950</v>
      </c>
      <c r="U454" s="3706"/>
      <c r="V454" s="3707"/>
      <c r="W454" s="3708"/>
      <c r="X454" s="3709"/>
      <c r="Y454" s="3710"/>
      <c r="Z454" s="3711"/>
      <c r="AA454" s="3712"/>
      <c r="AB454" s="3713"/>
      <c r="AC454" s="3714"/>
      <c r="AD454" s="3715"/>
      <c r="AE454" s="3716"/>
      <c r="AF454" s="3717"/>
      <c r="AG454" s="3718"/>
      <c r="AH454" s="3719"/>
      <c r="AI454" s="3720"/>
      <c r="AJ454" s="3721"/>
      <c r="AK454" s="3722"/>
      <c r="AL454" s="1562"/>
      <c r="AM454" s="1544"/>
      <c r="AN454" s="1544" t="str">
        <f t="shared" si="7"/>
        <v>Добавить наименование признака дифференциации</v>
      </c>
      <c r="AO454" s="1544"/>
      <c r="AP454" s="1544"/>
    </row>
    <row r="455" spans="1:42" s="541" customFormat="1" ht="14.25" customHeight="1">
      <c r="A455" s="1265"/>
      <c r="B455" s="1265"/>
      <c r="C455" s="1265"/>
      <c r="D455" s="1265"/>
      <c r="E455" s="8884" t="s">
        <v>433</v>
      </c>
      <c r="F455" s="8883"/>
      <c r="G455" s="1265"/>
      <c r="H455" s="1265"/>
      <c r="I455" s="1265"/>
      <c r="J455" s="1265"/>
      <c r="K455" s="1265"/>
      <c r="L455" s="1466"/>
      <c r="M455" s="1244"/>
      <c r="N455" s="1244"/>
      <c r="O455" s="1562"/>
      <c r="P455" s="1239"/>
      <c r="Q455" s="1266"/>
      <c r="R455" s="1239"/>
      <c r="S455" s="1245"/>
      <c r="T455" s="1248" t="s">
        <v>314</v>
      </c>
      <c r="U455" s="1247"/>
      <c r="V455" s="1247"/>
      <c r="W455" s="1247"/>
      <c r="X455" s="1247"/>
      <c r="Y455" s="1247"/>
      <c r="Z455" s="1247"/>
      <c r="AA455" s="1247"/>
      <c r="AB455" s="1247"/>
      <c r="AC455" s="1247"/>
      <c r="AD455" s="1247"/>
      <c r="AE455" s="1247"/>
      <c r="AF455" s="1247"/>
      <c r="AG455" s="1247"/>
      <c r="AH455" s="1247"/>
      <c r="AI455" s="1247"/>
      <c r="AJ455" s="1247"/>
      <c r="AK455" s="1247"/>
      <c r="AL455" s="1562"/>
      <c r="AM455" s="1544"/>
      <c r="AN455" s="1544" t="str">
        <f t="shared" si="7"/>
        <v>Добавить централизованную систему для дифференциации</v>
      </c>
      <c r="AO455" s="1544"/>
      <c r="AP455" s="1544"/>
    </row>
    <row r="456" spans="1:42" s="541" customFormat="1" ht="14.25" customHeight="1">
      <c r="A456" s="1265"/>
      <c r="B456" s="1265"/>
      <c r="C456" s="1265"/>
      <c r="D456" s="1265"/>
      <c r="E456" s="8883" t="s">
        <v>433</v>
      </c>
      <c r="F456" s="1265"/>
      <c r="G456" s="1265"/>
      <c r="H456" s="1265"/>
      <c r="I456" s="1265"/>
      <c r="J456" s="1265"/>
      <c r="K456" s="1265"/>
      <c r="L456" s="1466"/>
      <c r="M456" s="1244"/>
      <c r="N456" s="1244"/>
      <c r="O456" s="1562"/>
      <c r="P456" s="1239"/>
      <c r="Q456" s="1266"/>
      <c r="R456" s="1239"/>
      <c r="S456" s="1245"/>
      <c r="T456" s="1248" t="s">
        <v>315</v>
      </c>
      <c r="U456" s="1247"/>
      <c r="V456" s="1247"/>
      <c r="W456" s="1247"/>
      <c r="X456" s="1247"/>
      <c r="Y456" s="1247"/>
      <c r="Z456" s="1247"/>
      <c r="AA456" s="1247"/>
      <c r="AB456" s="1247"/>
      <c r="AC456" s="1247"/>
      <c r="AD456" s="1247"/>
      <c r="AE456" s="1247"/>
      <c r="AF456" s="1247"/>
      <c r="AG456" s="1247"/>
      <c r="AH456" s="1247"/>
      <c r="AI456" s="1247"/>
      <c r="AJ456" s="1247"/>
      <c r="AK456" s="1247"/>
      <c r="AL456" s="1562"/>
      <c r="AM456" s="1544"/>
      <c r="AN456" s="1544" t="str">
        <f t="shared" si="7"/>
        <v>Добавить территорию для дифференциации</v>
      </c>
      <c r="AO456" s="1544"/>
      <c r="AP456" s="1544"/>
    </row>
    <row r="457" spans="1:42" s="1818" customFormat="1" ht="23.25" customHeight="1">
      <c r="A457" s="1284" t="s">
        <v>447</v>
      </c>
      <c r="B457" s="1284"/>
      <c r="C457" s="1284"/>
      <c r="D457" s="1284"/>
      <c r="E457" s="8883" t="s">
        <v>445</v>
      </c>
      <c r="F457" s="1284"/>
      <c r="G457" s="1284"/>
      <c r="H457" s="1284"/>
      <c r="I457" s="1284"/>
      <c r="J457" s="1284"/>
      <c r="K457" s="1284"/>
      <c r="L457" s="1290"/>
      <c r="M457" s="1286"/>
      <c r="N457" s="1286"/>
      <c r="O457" s="1286"/>
      <c r="P457" s="1812"/>
      <c r="Q457" s="1742"/>
      <c r="R457" s="276"/>
      <c r="S457" s="1810" t="str">
        <f>INDEX(PT_DIFFERENTIATION_NUM_NTAR,MATCH(A457,PT_DIFFERENTIATION_NTAR_ID,0))</f>
        <v>27</v>
      </c>
      <c r="T457" s="1440" t="s">
        <v>211</v>
      </c>
      <c r="U457" s="214"/>
      <c r="V457" s="8869"/>
      <c r="W457" s="8870"/>
      <c r="X457" s="8870"/>
      <c r="Y457" s="8870"/>
      <c r="Z457" s="8870"/>
      <c r="AA457" s="8870"/>
      <c r="AB457" s="8871"/>
      <c r="AC457" s="8869" t="str">
        <f>INDEX(PT_DIFFERENTIATION_NTAR,MATCH(A457,PT_DIFFERENTIATION_NTAR_ID,0))</f>
        <v>Подвоз воды потребителям хутора Графского</v>
      </c>
      <c r="AD457" s="8870"/>
      <c r="AE457" s="8870"/>
      <c r="AF457" s="8870"/>
      <c r="AG457" s="8870"/>
      <c r="AH457" s="8870"/>
      <c r="AI457" s="8870"/>
      <c r="AJ457" s="8871"/>
      <c r="AK45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457" s="1562"/>
      <c r="AM457" s="1544"/>
      <c r="AN457" s="1544" t="str">
        <f t="shared" si="7"/>
        <v>Наименование тарифа</v>
      </c>
      <c r="AO457" s="1544"/>
      <c r="AP457" s="1544"/>
    </row>
    <row r="458" spans="1:42" s="1818" customFormat="1" ht="23.25" customHeight="1">
      <c r="A458" s="1284"/>
      <c r="B458" s="1284" t="s">
        <v>448</v>
      </c>
      <c r="C458" s="1284"/>
      <c r="D458" s="1284"/>
      <c r="E458" s="8884" t="s">
        <v>439</v>
      </c>
      <c r="F458" s="8883">
        <v>1</v>
      </c>
      <c r="G458" s="1284"/>
      <c r="H458" s="1284"/>
      <c r="I458" s="1284"/>
      <c r="J458" s="1284"/>
      <c r="K458" s="1284"/>
      <c r="L458" s="1290"/>
      <c r="M458" s="1286"/>
      <c r="N458" s="1286"/>
      <c r="O458" s="1286"/>
      <c r="P458" s="1807"/>
      <c r="Q458" s="273"/>
      <c r="R458" s="274"/>
      <c r="S458" s="1810" t="str">
        <f>INDEX(PT_DIFFERENTIATION_NUM_TER,MATCH(B458,PT_DIFFERENTIATION_TER_ID,0))</f>
        <v>27.1</v>
      </c>
      <c r="T458" s="1437" t="s">
        <v>862</v>
      </c>
      <c r="U458" s="214"/>
      <c r="V458" s="8869"/>
      <c r="W458" s="8870"/>
      <c r="X458" s="8870"/>
      <c r="Y458" s="8870"/>
      <c r="Z458" s="8870"/>
      <c r="AA458" s="8870"/>
      <c r="AB458" s="8871"/>
      <c r="AC458" s="8869" t="str">
        <f>INDEX(PT_DIFFERENTIATION_TER,MATCH(B458,PT_DIFFERENTIATION_TER_ID,0))</f>
        <v>Территория 7</v>
      </c>
      <c r="AD458" s="8870"/>
      <c r="AE458" s="8870"/>
      <c r="AF458" s="8870"/>
      <c r="AG458" s="8870"/>
      <c r="AH458" s="8870"/>
      <c r="AI458" s="8870"/>
      <c r="AJ458" s="8871"/>
      <c r="AK458" s="1182" t="s">
        <v>863</v>
      </c>
      <c r="AL458" s="1562"/>
      <c r="AM458" s="1544"/>
      <c r="AN458" s="1544" t="str">
        <f t="shared" si="7"/>
        <v>Территория действия тарифа</v>
      </c>
      <c r="AO458" s="1544"/>
      <c r="AP458" s="1544"/>
    </row>
    <row r="459" spans="1:42" s="1818" customFormat="1" ht="23.25" customHeight="1">
      <c r="A459" s="1284"/>
      <c r="B459" s="1284"/>
      <c r="C459" s="1284" t="s">
        <v>449</v>
      </c>
      <c r="D459" s="1284"/>
      <c r="E459" s="8884" t="s">
        <v>439</v>
      </c>
      <c r="F459" s="8884"/>
      <c r="G459" s="8883">
        <v>1</v>
      </c>
      <c r="H459" s="1284"/>
      <c r="I459" s="1284"/>
      <c r="J459" s="1284"/>
      <c r="K459" s="1284"/>
      <c r="L459" s="1290"/>
      <c r="M459" s="1286"/>
      <c r="N459" s="1286"/>
      <c r="O459" s="1286"/>
      <c r="P459" s="275"/>
      <c r="Q459" s="273"/>
      <c r="R459" s="274"/>
      <c r="S459" s="1810" t="str">
        <f>INDEX(PT_DIFFERENTIATION_NUM_CS,MATCH(C459,PT_DIFFERENTIATION_CS_ID,0))</f>
        <v>27.1.1</v>
      </c>
      <c r="T459" s="225" t="s">
        <v>943</v>
      </c>
      <c r="U459" s="214"/>
      <c r="V459" s="8869"/>
      <c r="W459" s="8870"/>
      <c r="X459" s="8870"/>
      <c r="Y459" s="8870"/>
      <c r="Z459" s="8870"/>
      <c r="AA459" s="8870"/>
      <c r="AB459" s="8871"/>
      <c r="AC459" s="8869" t="str">
        <f>INDEX(PT_DIFFERENTIATION_CS,MATCH(C459,PT_DIFFERENTIATION_CS_ID,0))</f>
        <v>без дифференциации</v>
      </c>
      <c r="AD459" s="8870"/>
      <c r="AE459" s="8870"/>
      <c r="AF459" s="8870"/>
      <c r="AG459" s="8870"/>
      <c r="AH459" s="8870"/>
      <c r="AI459" s="8870"/>
      <c r="AJ459" s="8871"/>
      <c r="AK459" s="1182" t="s">
        <v>944</v>
      </c>
      <c r="AL459" s="1562"/>
      <c r="AM459" s="1544"/>
      <c r="AN459" s="1544" t="str">
        <f t="shared" si="7"/>
        <v>Наименование централизованной системы холодного водоснабжения</v>
      </c>
      <c r="AO459" s="1544"/>
      <c r="AP459" s="1544"/>
    </row>
    <row r="460" spans="1:42" s="1818" customFormat="1" ht="23.25" customHeight="1">
      <c r="A460" s="1284"/>
      <c r="B460" s="1284"/>
      <c r="C460" s="1284"/>
      <c r="D460" s="1284"/>
      <c r="E460" s="8884" t="s">
        <v>439</v>
      </c>
      <c r="F460" s="8884"/>
      <c r="G460" s="8884"/>
      <c r="H460" s="8884"/>
      <c r="I460" s="8881" t="str">
        <f>S459&amp;".1"</f>
        <v>27.1.1.1</v>
      </c>
      <c r="J460" s="1284"/>
      <c r="K460" s="1284"/>
      <c r="L460" s="1290"/>
      <c r="M460" s="1696"/>
      <c r="N460" s="1696"/>
      <c r="O460" s="1696"/>
      <c r="P460" s="8882">
        <v>1</v>
      </c>
      <c r="Q460" s="1811"/>
      <c r="R460" s="277"/>
      <c r="S460" s="1810" t="str">
        <f>$I460</f>
        <v>27.1.1.1</v>
      </c>
      <c r="T460" s="200" t="s">
        <v>945</v>
      </c>
      <c r="U460" s="214"/>
      <c r="V460" s="8942"/>
      <c r="W460" s="8943"/>
      <c r="X460" s="8943"/>
      <c r="Y460" s="8943"/>
      <c r="Z460" s="8943"/>
      <c r="AA460" s="8943"/>
      <c r="AB460" s="8944"/>
      <c r="AC460" s="8945"/>
      <c r="AD460" s="8946"/>
      <c r="AE460" s="8946"/>
      <c r="AF460" s="8946"/>
      <c r="AG460" s="8946"/>
      <c r="AH460" s="8946"/>
      <c r="AI460" s="8946"/>
      <c r="AJ460" s="8947"/>
      <c r="AK460" s="1182" t="s">
        <v>946</v>
      </c>
      <c r="AL460" s="1562"/>
      <c r="AM460" s="1544"/>
      <c r="AN460" s="1544" t="str">
        <f t="shared" si="7"/>
        <v>Наименование признака дифференциации</v>
      </c>
      <c r="AO460" s="1544"/>
      <c r="AP460" s="1544"/>
    </row>
    <row r="461" spans="1:42" s="1818" customFormat="1" ht="23.25" customHeight="1">
      <c r="A461" s="1284"/>
      <c r="B461" s="1284"/>
      <c r="C461" s="1284"/>
      <c r="D461" s="1284"/>
      <c r="E461" s="8884" t="s">
        <v>439</v>
      </c>
      <c r="F461" s="8884"/>
      <c r="G461" s="8884"/>
      <c r="H461" s="8884"/>
      <c r="I461" s="8904"/>
      <c r="J461" s="8881" t="str">
        <f>I460&amp;".1"</f>
        <v>27.1.1.1.1</v>
      </c>
      <c r="K461" s="1284"/>
      <c r="L461" s="1290" t="s">
        <v>871</v>
      </c>
      <c r="M461" s="1696"/>
      <c r="N461" s="1696"/>
      <c r="O461" s="1696"/>
      <c r="P461" s="8882"/>
      <c r="Q461" s="8882">
        <v>1</v>
      </c>
      <c r="R461" s="278"/>
      <c r="S461" s="1810" t="str">
        <f>$J461</f>
        <v>27.1.1.1.1</v>
      </c>
      <c r="T461" s="201" t="s">
        <v>872</v>
      </c>
      <c r="U461" s="214"/>
      <c r="V461" s="8872"/>
      <c r="W461" s="8873"/>
      <c r="X461" s="8873"/>
      <c r="Y461" s="8873"/>
      <c r="Z461" s="8873"/>
      <c r="AA461" s="8873"/>
      <c r="AB461" s="8874"/>
      <c r="AC461" s="8872" t="s">
        <v>961</v>
      </c>
      <c r="AD461" s="8873"/>
      <c r="AE461" s="8873"/>
      <c r="AF461" s="8873"/>
      <c r="AG461" s="8873"/>
      <c r="AH461" s="8873"/>
      <c r="AI461" s="8873"/>
      <c r="AJ461" s="8874"/>
      <c r="AK461" s="1231" t="s">
        <v>947</v>
      </c>
      <c r="AL461" s="1562"/>
      <c r="AM461" s="1544"/>
      <c r="AN461" s="1544" t="str">
        <f t="shared" si="7"/>
        <v>Группа потребителей</v>
      </c>
      <c r="AO461" s="1544"/>
      <c r="AP461" s="1544"/>
    </row>
    <row r="462" spans="1:42" s="1818" customFormat="1" ht="23.25" customHeight="1">
      <c r="A462" s="1284"/>
      <c r="B462" s="1284"/>
      <c r="C462" s="1284"/>
      <c r="D462" s="1284"/>
      <c r="E462" s="8884" t="s">
        <v>439</v>
      </c>
      <c r="F462" s="8884"/>
      <c r="G462" s="8884"/>
      <c r="H462" s="8884"/>
      <c r="I462" s="8904"/>
      <c r="J462" s="8904"/>
      <c r="K462" s="8881" t="str">
        <f>J461&amp;".1"</f>
        <v>27.1.1.1.1.1</v>
      </c>
      <c r="L462" s="1290"/>
      <c r="M462" s="1696"/>
      <c r="N462" s="1696"/>
      <c r="O462" s="1696"/>
      <c r="P462" s="8882"/>
      <c r="Q462" s="8882"/>
      <c r="R462" s="278">
        <v>1</v>
      </c>
      <c r="S462" s="1810" t="str">
        <f>$K462</f>
        <v>27.1.1.1.1.1</v>
      </c>
      <c r="T462" s="1357" t="s">
        <v>962</v>
      </c>
      <c r="U462" s="214"/>
      <c r="V462" s="666"/>
      <c r="W462" s="666"/>
      <c r="X462" s="1181"/>
      <c r="Y462" s="8886"/>
      <c r="Z462" s="8734" t="s">
        <v>63</v>
      </c>
      <c r="AA462" s="8886"/>
      <c r="AB462" s="8734" t="s">
        <v>63</v>
      </c>
      <c r="AC462" s="666">
        <v>704.8</v>
      </c>
      <c r="AD462" s="666"/>
      <c r="AE462" s="1181"/>
      <c r="AF462" s="8886">
        <v>45292</v>
      </c>
      <c r="AG462" s="8734" t="s">
        <v>63</v>
      </c>
      <c r="AH462" s="8905">
        <v>45657</v>
      </c>
      <c r="AI462" s="8734" t="s">
        <v>63</v>
      </c>
      <c r="AJ462" s="1358"/>
      <c r="AK46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2" s="1562" t="e">
        <f ca="1">STRCHECKDATE(V463:AJ463)</f>
        <v>#NAME?</v>
      </c>
      <c r="AM462" s="1544"/>
      <c r="AN462" s="1544" t="str">
        <f t="shared" si="7"/>
        <v>Тариф для населения, руб. за 1 куб. метр с НДС</v>
      </c>
      <c r="AO462" s="1544"/>
      <c r="AP462" s="1544"/>
    </row>
    <row r="463" spans="1:42" s="1818" customFormat="1" ht="14.25" customHeight="1">
      <c r="A463" s="1284"/>
      <c r="B463" s="1284"/>
      <c r="C463" s="1284"/>
      <c r="D463" s="1284"/>
      <c r="E463" s="8884" t="s">
        <v>439</v>
      </c>
      <c r="F463" s="8884"/>
      <c r="G463" s="8884"/>
      <c r="H463" s="8884"/>
      <c r="I463" s="8904"/>
      <c r="J463" s="8904"/>
      <c r="K463" s="8881"/>
      <c r="L463" s="1290"/>
      <c r="M463" s="1696"/>
      <c r="N463" s="1696"/>
      <c r="O463" s="1696"/>
      <c r="P463" s="8882"/>
      <c r="Q463" s="8882"/>
      <c r="R463" s="278"/>
      <c r="S463" s="1815"/>
      <c r="T463" s="214"/>
      <c r="U463" s="214"/>
      <c r="V463" s="246"/>
      <c r="W463" s="246"/>
      <c r="X463" s="250" t="str">
        <f>Y462&amp;"-"&amp;AA462</f>
        <v>-</v>
      </c>
      <c r="Y463" s="8887"/>
      <c r="Z463" s="8734"/>
      <c r="AA463" s="8887"/>
      <c r="AB463" s="8734"/>
      <c r="AC463" s="246"/>
      <c r="AD463" s="246"/>
      <c r="AE463" s="250" t="str">
        <f>AF462&amp;"-"&amp;AH462</f>
        <v>45292-45657</v>
      </c>
      <c r="AF463" s="8887"/>
      <c r="AG463" s="8734"/>
      <c r="AH463" s="8906"/>
      <c r="AI463" s="8734"/>
      <c r="AJ463" s="1359"/>
      <c r="AK463" s="8941"/>
      <c r="AL463" s="1562"/>
      <c r="AM463" s="1544"/>
      <c r="AN463" s="1544" t="str">
        <f t="shared" si="7"/>
        <v/>
      </c>
      <c r="AO463" s="1544"/>
      <c r="AP463" s="1544"/>
    </row>
    <row r="464" spans="1:42" s="1818" customFormat="1" ht="21" customHeight="1">
      <c r="A464" s="1284"/>
      <c r="B464" s="1284"/>
      <c r="C464" s="1284"/>
      <c r="D464" s="1284"/>
      <c r="E464" s="8884" t="s">
        <v>439</v>
      </c>
      <c r="F464" s="8884"/>
      <c r="G464" s="8884"/>
      <c r="H464" s="8884"/>
      <c r="I464" s="8904"/>
      <c r="J464" s="8881"/>
      <c r="K464" s="1284"/>
      <c r="L464" s="1290"/>
      <c r="M464" s="1696"/>
      <c r="N464" s="1696"/>
      <c r="O464" s="1696"/>
      <c r="P464" s="8882"/>
      <c r="Q464" s="8882"/>
      <c r="R464" s="277"/>
      <c r="S464" s="3723"/>
      <c r="T464" s="3724" t="s">
        <v>948</v>
      </c>
      <c r="U464" s="3725"/>
      <c r="V464" s="3726"/>
      <c r="W464" s="3727"/>
      <c r="X464" s="3728"/>
      <c r="Y464" s="3729"/>
      <c r="Z464" s="3730"/>
      <c r="AA464" s="3731"/>
      <c r="AB464" s="3732"/>
      <c r="AC464" s="3733"/>
      <c r="AD464" s="3734"/>
      <c r="AE464" s="3735"/>
      <c r="AF464" s="3736"/>
      <c r="AG464" s="3737"/>
      <c r="AH464" s="3738"/>
      <c r="AI464" s="3739"/>
      <c r="AJ464" s="3740"/>
      <c r="AK464" s="1182" t="s">
        <v>949</v>
      </c>
      <c r="AL464" s="1562"/>
      <c r="AM464" s="1544"/>
      <c r="AN464" s="1544" t="str">
        <f t="shared" si="7"/>
        <v>Добавить значение признака дифференциации</v>
      </c>
      <c r="AO464" s="1544"/>
      <c r="AP464" s="1544"/>
    </row>
    <row r="465" spans="1:42" s="1818" customFormat="1" ht="23.25" customHeight="1">
      <c r="A465" s="1284"/>
      <c r="B465" s="1284"/>
      <c r="C465" s="1284"/>
      <c r="D465" s="1284"/>
      <c r="E465" s="8884"/>
      <c r="F465" s="8884"/>
      <c r="G465" s="8884"/>
      <c r="H465" s="8884"/>
      <c r="I465" s="8904"/>
      <c r="J465" s="8881" t="str">
        <f>I460&amp;".2"</f>
        <v>27.1.1.1.2</v>
      </c>
      <c r="K465" s="1284"/>
      <c r="L465" s="1290" t="s">
        <v>871</v>
      </c>
      <c r="M465" s="1696"/>
      <c r="N465" s="1696"/>
      <c r="O465" s="1696"/>
      <c r="P465" s="8882"/>
      <c r="Q465" s="8948" t="s">
        <v>100</v>
      </c>
      <c r="R465" s="278"/>
      <c r="S465" s="1810" t="str">
        <f>$J465</f>
        <v>27.1.1.1.2</v>
      </c>
      <c r="T465" s="201" t="s">
        <v>872</v>
      </c>
      <c r="U465" s="214"/>
      <c r="V465" s="8872"/>
      <c r="W465" s="8873"/>
      <c r="X465" s="8873"/>
      <c r="Y465" s="8873"/>
      <c r="Z465" s="8873"/>
      <c r="AA465" s="8873"/>
      <c r="AB465" s="8874"/>
      <c r="AC465" s="8872" t="s">
        <v>963</v>
      </c>
      <c r="AD465" s="8873"/>
      <c r="AE465" s="8873"/>
      <c r="AF465" s="8873"/>
      <c r="AG465" s="8873"/>
      <c r="AH465" s="8873"/>
      <c r="AI465" s="8873"/>
      <c r="AJ465" s="8874"/>
      <c r="AK465" s="1231" t="s">
        <v>947</v>
      </c>
      <c r="AL465" s="1562"/>
      <c r="AM465" s="1544"/>
      <c r="AN465" s="1544" t="str">
        <f t="shared" si="7"/>
        <v>Группа потребителей</v>
      </c>
      <c r="AO465" s="1544"/>
      <c r="AP465" s="1544"/>
    </row>
    <row r="466" spans="1:42" s="1818" customFormat="1" ht="23.25" customHeight="1">
      <c r="A466" s="1284"/>
      <c r="B466" s="1284"/>
      <c r="C466" s="1284"/>
      <c r="D466" s="1284"/>
      <c r="E466" s="8884"/>
      <c r="F466" s="8884"/>
      <c r="G466" s="8884"/>
      <c r="H466" s="8884"/>
      <c r="I466" s="8904"/>
      <c r="J466" s="8904" t="str">
        <f>I460&amp;".1"</f>
        <v>27.1.1.1.1</v>
      </c>
      <c r="K466" s="8881" t="str">
        <f>J465&amp;".1"</f>
        <v>27.1.1.1.2.1</v>
      </c>
      <c r="L466" s="1290"/>
      <c r="M466" s="1696"/>
      <c r="N466" s="1696"/>
      <c r="O466" s="1696"/>
      <c r="P466" s="8882"/>
      <c r="Q466" s="8882"/>
      <c r="R466" s="278">
        <v>1</v>
      </c>
      <c r="S466" s="1810" t="str">
        <f>$K466</f>
        <v>27.1.1.1.2.1</v>
      </c>
      <c r="T466" s="1357" t="s">
        <v>964</v>
      </c>
      <c r="U466" s="214"/>
      <c r="V466" s="666"/>
      <c r="W466" s="666"/>
      <c r="X466" s="1181"/>
      <c r="Y466" s="8886"/>
      <c r="Z466" s="8734" t="s">
        <v>63</v>
      </c>
      <c r="AA466" s="8886"/>
      <c r="AB466" s="8734" t="s">
        <v>63</v>
      </c>
      <c r="AC466" s="666">
        <v>587.33000000000004</v>
      </c>
      <c r="AD466" s="666"/>
      <c r="AE466" s="1181"/>
      <c r="AF466" s="8886">
        <v>45292</v>
      </c>
      <c r="AG466" s="8734" t="s">
        <v>63</v>
      </c>
      <c r="AH466" s="8905">
        <v>45657</v>
      </c>
      <c r="AI466" s="8734" t="s">
        <v>63</v>
      </c>
      <c r="AJ466" s="1358"/>
      <c r="AK46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6" s="1562" t="e">
        <f ca="1">STRCHECKDATE(V467:AJ467)</f>
        <v>#NAME?</v>
      </c>
      <c r="AM466" s="1544"/>
      <c r="AN466" s="1544" t="str">
        <f t="shared" si="7"/>
        <v>Тариф, руб. за 1 куб. метр без НДС</v>
      </c>
      <c r="AO466" s="1544"/>
      <c r="AP466" s="1544"/>
    </row>
    <row r="467" spans="1:42" s="1818" customFormat="1" ht="14.25" customHeight="1">
      <c r="A467" s="1284"/>
      <c r="B467" s="1284"/>
      <c r="C467" s="1284"/>
      <c r="D467" s="1284"/>
      <c r="E467" s="8884"/>
      <c r="F467" s="8884"/>
      <c r="G467" s="8884"/>
      <c r="H467" s="8884"/>
      <c r="I467" s="8904"/>
      <c r="J467" s="8904" t="str">
        <f>I460&amp;".1"</f>
        <v>27.1.1.1.1</v>
      </c>
      <c r="K467" s="8881"/>
      <c r="L467" s="1290"/>
      <c r="M467" s="1696"/>
      <c r="N467" s="1696"/>
      <c r="O467" s="1696"/>
      <c r="P467" s="8882"/>
      <c r="Q467" s="8882"/>
      <c r="R467" s="278"/>
      <c r="S467" s="1815"/>
      <c r="T467" s="214"/>
      <c r="U467" s="214"/>
      <c r="V467" s="246"/>
      <c r="W467" s="246"/>
      <c r="X467" s="250" t="str">
        <f>Y466&amp;"-"&amp;AA466</f>
        <v>-</v>
      </c>
      <c r="Y467" s="8887"/>
      <c r="Z467" s="8734"/>
      <c r="AA467" s="8887"/>
      <c r="AB467" s="8734"/>
      <c r="AC467" s="246"/>
      <c r="AD467" s="246"/>
      <c r="AE467" s="250" t="str">
        <f>AF466&amp;"-"&amp;AH466</f>
        <v>45292-45657</v>
      </c>
      <c r="AF467" s="8887"/>
      <c r="AG467" s="8734"/>
      <c r="AH467" s="8906"/>
      <c r="AI467" s="8734"/>
      <c r="AJ467" s="1359"/>
      <c r="AK467" s="8941"/>
      <c r="AL467" s="1562"/>
      <c r="AM467" s="1544"/>
      <c r="AN467" s="1544" t="str">
        <f t="shared" si="7"/>
        <v/>
      </c>
      <c r="AO467" s="1544"/>
      <c r="AP467" s="1544"/>
    </row>
    <row r="468" spans="1:42" s="1818" customFormat="1" ht="21" customHeight="1">
      <c r="A468" s="1284"/>
      <c r="B468" s="1284"/>
      <c r="C468" s="1284"/>
      <c r="D468" s="1284"/>
      <c r="E468" s="8884"/>
      <c r="F468" s="8884"/>
      <c r="G468" s="8884"/>
      <c r="H468" s="8884"/>
      <c r="I468" s="8904"/>
      <c r="J468" s="8881" t="str">
        <f>I460&amp;".1"</f>
        <v>27.1.1.1.1</v>
      </c>
      <c r="K468" s="1284"/>
      <c r="L468" s="1290"/>
      <c r="M468" s="1696"/>
      <c r="N468" s="1696"/>
      <c r="O468" s="1696"/>
      <c r="P468" s="8882"/>
      <c r="Q468" s="8882"/>
      <c r="R468" s="277"/>
      <c r="S468" s="3741"/>
      <c r="T468" s="3742" t="s">
        <v>948</v>
      </c>
      <c r="U468" s="3743"/>
      <c r="V468" s="3744"/>
      <c r="W468" s="3745"/>
      <c r="X468" s="3746"/>
      <c r="Y468" s="3747"/>
      <c r="Z468" s="3748"/>
      <c r="AA468" s="3749"/>
      <c r="AB468" s="3750"/>
      <c r="AC468" s="3751"/>
      <c r="AD468" s="3752"/>
      <c r="AE468" s="3753"/>
      <c r="AF468" s="3754"/>
      <c r="AG468" s="3755"/>
      <c r="AH468" s="3756"/>
      <c r="AI468" s="3757"/>
      <c r="AJ468" s="3758"/>
      <c r="AK468" s="1182" t="s">
        <v>949</v>
      </c>
      <c r="AL468" s="1562"/>
      <c r="AM468" s="1544"/>
      <c r="AN468" s="1544" t="str">
        <f t="shared" si="7"/>
        <v>Добавить значение признака дифференциации</v>
      </c>
      <c r="AO468" s="1544"/>
      <c r="AP468" s="1544"/>
    </row>
    <row r="469" spans="1:42" s="1818" customFormat="1" ht="21" customHeight="1">
      <c r="A469" s="1284"/>
      <c r="B469" s="1284"/>
      <c r="C469" s="1284"/>
      <c r="D469" s="1284"/>
      <c r="E469" s="8884" t="s">
        <v>439</v>
      </c>
      <c r="F469" s="8884"/>
      <c r="G469" s="8884"/>
      <c r="H469" s="8884"/>
      <c r="I469" s="8881"/>
      <c r="J469" s="1284"/>
      <c r="K469" s="1284"/>
      <c r="L469" s="1290"/>
      <c r="M469" s="1696"/>
      <c r="N469" s="1696"/>
      <c r="O469" s="1696"/>
      <c r="P469" s="8882"/>
      <c r="Q469" s="1811"/>
      <c r="R469" s="277"/>
      <c r="S469" s="3759"/>
      <c r="T469" s="3760" t="s">
        <v>877</v>
      </c>
      <c r="U469" s="3761"/>
      <c r="V469" s="3762"/>
      <c r="W469" s="3763"/>
      <c r="X469" s="3764"/>
      <c r="Y469" s="3765"/>
      <c r="Z469" s="3766"/>
      <c r="AA469" s="3767"/>
      <c r="AB469" s="3768"/>
      <c r="AC469" s="3769"/>
      <c r="AD469" s="3770"/>
      <c r="AE469" s="3771"/>
      <c r="AF469" s="3772"/>
      <c r="AG469" s="3773"/>
      <c r="AH469" s="3774"/>
      <c r="AI469" s="3775"/>
      <c r="AJ469" s="3776"/>
      <c r="AK469" s="3777"/>
      <c r="AL469" s="1562"/>
      <c r="AM469" s="1544"/>
      <c r="AN469" s="1544" t="str">
        <f t="shared" si="7"/>
        <v>Добавить группу потребителей</v>
      </c>
      <c r="AO469" s="1544"/>
      <c r="AP469" s="1544"/>
    </row>
    <row r="470" spans="1:42" s="1818" customFormat="1" ht="21" customHeight="1">
      <c r="A470" s="1284"/>
      <c r="B470" s="1284"/>
      <c r="C470" s="1284"/>
      <c r="D470" s="1284"/>
      <c r="E470" s="8884" t="s">
        <v>439</v>
      </c>
      <c r="F470" s="8884"/>
      <c r="G470" s="8884"/>
      <c r="H470" s="8883"/>
      <c r="I470" s="1284"/>
      <c r="J470" s="1284"/>
      <c r="K470" s="1284"/>
      <c r="L470" s="1290"/>
      <c r="M470" s="1286"/>
      <c r="N470" s="1286"/>
      <c r="O470" s="1287"/>
      <c r="P470" s="1742"/>
      <c r="Q470" s="299"/>
      <c r="R470" s="276"/>
      <c r="S470" s="3778"/>
      <c r="T470" s="3779" t="s">
        <v>950</v>
      </c>
      <c r="U470" s="3780"/>
      <c r="V470" s="3781"/>
      <c r="W470" s="3782"/>
      <c r="X470" s="3783"/>
      <c r="Y470" s="3784"/>
      <c r="Z470" s="3785"/>
      <c r="AA470" s="3786"/>
      <c r="AB470" s="3787"/>
      <c r="AC470" s="3788"/>
      <c r="AD470" s="3789"/>
      <c r="AE470" s="3790"/>
      <c r="AF470" s="3791"/>
      <c r="AG470" s="3792"/>
      <c r="AH470" s="3793"/>
      <c r="AI470" s="3794"/>
      <c r="AJ470" s="3795"/>
      <c r="AK470" s="3796"/>
      <c r="AL470" s="1562"/>
      <c r="AM470" s="1544"/>
      <c r="AN470" s="1544" t="str">
        <f t="shared" si="7"/>
        <v>Добавить наименование признака дифференциации</v>
      </c>
      <c r="AO470" s="1544"/>
      <c r="AP470" s="1544"/>
    </row>
    <row r="471" spans="1:42" s="541" customFormat="1" ht="14.25" customHeight="1">
      <c r="A471" s="1265"/>
      <c r="B471" s="1265"/>
      <c r="C471" s="1265"/>
      <c r="D471" s="1265"/>
      <c r="E471" s="8884" t="s">
        <v>439</v>
      </c>
      <c r="F471" s="8883"/>
      <c r="G471" s="1265"/>
      <c r="H471" s="1265"/>
      <c r="I471" s="1265"/>
      <c r="J471" s="1265"/>
      <c r="K471" s="1265"/>
      <c r="L471" s="1466"/>
      <c r="M471" s="1244"/>
      <c r="N471" s="1244"/>
      <c r="O471" s="1562"/>
      <c r="P471" s="1239"/>
      <c r="Q471" s="1266"/>
      <c r="R471" s="1239"/>
      <c r="S471" s="1245"/>
      <c r="T471" s="1248" t="s">
        <v>314</v>
      </c>
      <c r="U471" s="1247"/>
      <c r="V471" s="1247"/>
      <c r="W471" s="1247"/>
      <c r="X471" s="1247"/>
      <c r="Y471" s="1247"/>
      <c r="Z471" s="1247"/>
      <c r="AA471" s="1247"/>
      <c r="AB471" s="1247"/>
      <c r="AC471" s="1247"/>
      <c r="AD471" s="1247"/>
      <c r="AE471" s="1247"/>
      <c r="AF471" s="1247"/>
      <c r="AG471" s="1247"/>
      <c r="AH471" s="1247"/>
      <c r="AI471" s="1247"/>
      <c r="AJ471" s="1247"/>
      <c r="AK471" s="1247"/>
      <c r="AL471" s="1562"/>
      <c r="AM471" s="1544"/>
      <c r="AN471" s="1544" t="str">
        <f t="shared" si="7"/>
        <v>Добавить централизованную систему для дифференциации</v>
      </c>
      <c r="AO471" s="1544"/>
      <c r="AP471" s="1544"/>
    </row>
    <row r="472" spans="1:42" s="541" customFormat="1" ht="14.25" customHeight="1">
      <c r="A472" s="1265"/>
      <c r="B472" s="1265"/>
      <c r="C472" s="1265"/>
      <c r="D472" s="1265"/>
      <c r="E472" s="8883" t="s">
        <v>439</v>
      </c>
      <c r="F472" s="1265"/>
      <c r="G472" s="1265"/>
      <c r="H472" s="1265"/>
      <c r="I472" s="1265"/>
      <c r="J472" s="1265"/>
      <c r="K472" s="1265"/>
      <c r="L472" s="1466"/>
      <c r="M472" s="1244"/>
      <c r="N472" s="1244"/>
      <c r="O472" s="1562"/>
      <c r="P472" s="1239"/>
      <c r="Q472" s="1266"/>
      <c r="R472" s="1239"/>
      <c r="S472" s="1245"/>
      <c r="T472" s="1248" t="s">
        <v>315</v>
      </c>
      <c r="U472" s="1247"/>
      <c r="V472" s="1247"/>
      <c r="W472" s="1247"/>
      <c r="X472" s="1247"/>
      <c r="Y472" s="1247"/>
      <c r="Z472" s="1247"/>
      <c r="AA472" s="1247"/>
      <c r="AB472" s="1247"/>
      <c r="AC472" s="1247"/>
      <c r="AD472" s="1247"/>
      <c r="AE472" s="1247"/>
      <c r="AF472" s="1247"/>
      <c r="AG472" s="1247"/>
      <c r="AH472" s="1247"/>
      <c r="AI472" s="1247"/>
      <c r="AJ472" s="1247"/>
      <c r="AK472" s="1247"/>
      <c r="AL472" s="1562"/>
      <c r="AM472" s="1544"/>
      <c r="AN472" s="1544" t="str">
        <f t="shared" si="7"/>
        <v>Добавить территорию для дифференциации</v>
      </c>
      <c r="AO472" s="1544"/>
      <c r="AP472" s="1544"/>
    </row>
    <row r="473" spans="1:42" s="1818" customFormat="1" ht="23.25" customHeight="1">
      <c r="A473" s="1284" t="s">
        <v>453</v>
      </c>
      <c r="B473" s="1284"/>
      <c r="C473" s="1284"/>
      <c r="D473" s="1284"/>
      <c r="E473" s="8883" t="s">
        <v>451</v>
      </c>
      <c r="F473" s="1284"/>
      <c r="G473" s="1284"/>
      <c r="H473" s="1284"/>
      <c r="I473" s="1284"/>
      <c r="J473" s="1284"/>
      <c r="K473" s="1284"/>
      <c r="L473" s="1290"/>
      <c r="M473" s="1286"/>
      <c r="N473" s="1286"/>
      <c r="O473" s="1286"/>
      <c r="P473" s="1812"/>
      <c r="Q473" s="1742"/>
      <c r="R473" s="276"/>
      <c r="S473" s="1810" t="str">
        <f>INDEX(PT_DIFFERENTIATION_NUM_NTAR,MATCH(A473,PT_DIFFERENTIATION_NTAR_ID,0))</f>
        <v>28</v>
      </c>
      <c r="T473" s="1440" t="s">
        <v>211</v>
      </c>
      <c r="U473" s="214"/>
      <c r="V473" s="8869"/>
      <c r="W473" s="8870"/>
      <c r="X473" s="8870"/>
      <c r="Y473" s="8870"/>
      <c r="Z473" s="8870"/>
      <c r="AA473" s="8870"/>
      <c r="AB473" s="8871"/>
      <c r="AC473" s="8869" t="str">
        <f>INDEX(PT_DIFFERENTIATION_NTAR,MATCH(A473,PT_DIFFERENTIATION_NTAR_ID,0))</f>
        <v>Подвоз воды потребителям хутора Бугулова</v>
      </c>
      <c r="AD473" s="8870"/>
      <c r="AE473" s="8870"/>
      <c r="AF473" s="8870"/>
      <c r="AG473" s="8870"/>
      <c r="AH473" s="8870"/>
      <c r="AI473" s="8870"/>
      <c r="AJ473" s="8871"/>
      <c r="AK47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473" s="1562"/>
      <c r="AM473" s="1544"/>
      <c r="AN473" s="1544" t="str">
        <f t="shared" si="7"/>
        <v>Наименование тарифа</v>
      </c>
      <c r="AO473" s="1544"/>
      <c r="AP473" s="1544"/>
    </row>
    <row r="474" spans="1:42" s="1818" customFormat="1" ht="23.25" customHeight="1">
      <c r="A474" s="1284"/>
      <c r="B474" s="1284" t="s">
        <v>454</v>
      </c>
      <c r="C474" s="1284"/>
      <c r="D474" s="1284"/>
      <c r="E474" s="8884" t="s">
        <v>445</v>
      </c>
      <c r="F474" s="8883">
        <v>1</v>
      </c>
      <c r="G474" s="1284"/>
      <c r="H474" s="1284"/>
      <c r="I474" s="1284"/>
      <c r="J474" s="1284"/>
      <c r="K474" s="1284"/>
      <c r="L474" s="1290"/>
      <c r="M474" s="1286"/>
      <c r="N474" s="1286"/>
      <c r="O474" s="1286"/>
      <c r="P474" s="1807"/>
      <c r="Q474" s="273"/>
      <c r="R474" s="274"/>
      <c r="S474" s="1810" t="str">
        <f>INDEX(PT_DIFFERENTIATION_NUM_TER,MATCH(B474,PT_DIFFERENTIATION_TER_ID,0))</f>
        <v>28.1</v>
      </c>
      <c r="T474" s="1437" t="s">
        <v>862</v>
      </c>
      <c r="U474" s="214"/>
      <c r="V474" s="8869"/>
      <c r="W474" s="8870"/>
      <c r="X474" s="8870"/>
      <c r="Y474" s="8870"/>
      <c r="Z474" s="8870"/>
      <c r="AA474" s="8870"/>
      <c r="AB474" s="8871"/>
      <c r="AC474" s="8869" t="str">
        <f>INDEX(PT_DIFFERENTIATION_TER,MATCH(B474,PT_DIFFERENTIATION_TER_ID,0))</f>
        <v>Территория 7</v>
      </c>
      <c r="AD474" s="8870"/>
      <c r="AE474" s="8870"/>
      <c r="AF474" s="8870"/>
      <c r="AG474" s="8870"/>
      <c r="AH474" s="8870"/>
      <c r="AI474" s="8870"/>
      <c r="AJ474" s="8871"/>
      <c r="AK474" s="1182" t="s">
        <v>863</v>
      </c>
      <c r="AL474" s="1562"/>
      <c r="AM474" s="1544"/>
      <c r="AN474" s="1544" t="str">
        <f t="shared" si="7"/>
        <v>Территория действия тарифа</v>
      </c>
      <c r="AO474" s="1544"/>
      <c r="AP474" s="1544"/>
    </row>
    <row r="475" spans="1:42" s="1818" customFormat="1" ht="23.25" customHeight="1">
      <c r="A475" s="1284"/>
      <c r="B475" s="1284"/>
      <c r="C475" s="1284" t="s">
        <v>455</v>
      </c>
      <c r="D475" s="1284"/>
      <c r="E475" s="8884" t="s">
        <v>445</v>
      </c>
      <c r="F475" s="8884"/>
      <c r="G475" s="8883">
        <v>1</v>
      </c>
      <c r="H475" s="1284"/>
      <c r="I475" s="1284"/>
      <c r="J475" s="1284"/>
      <c r="K475" s="1284"/>
      <c r="L475" s="1290"/>
      <c r="M475" s="1286"/>
      <c r="N475" s="1286"/>
      <c r="O475" s="1286"/>
      <c r="P475" s="275"/>
      <c r="Q475" s="273"/>
      <c r="R475" s="274"/>
      <c r="S475" s="1810" t="str">
        <f>INDEX(PT_DIFFERENTIATION_NUM_CS,MATCH(C475,PT_DIFFERENTIATION_CS_ID,0))</f>
        <v>28.1.1</v>
      </c>
      <c r="T475" s="225" t="s">
        <v>943</v>
      </c>
      <c r="U475" s="214"/>
      <c r="V475" s="8869"/>
      <c r="W475" s="8870"/>
      <c r="X475" s="8870"/>
      <c r="Y475" s="8870"/>
      <c r="Z475" s="8870"/>
      <c r="AA475" s="8870"/>
      <c r="AB475" s="8871"/>
      <c r="AC475" s="8869" t="str">
        <f>INDEX(PT_DIFFERENTIATION_CS,MATCH(C475,PT_DIFFERENTIATION_CS_ID,0))</f>
        <v>без дифференциации</v>
      </c>
      <c r="AD475" s="8870"/>
      <c r="AE475" s="8870"/>
      <c r="AF475" s="8870"/>
      <c r="AG475" s="8870"/>
      <c r="AH475" s="8870"/>
      <c r="AI475" s="8870"/>
      <c r="AJ475" s="8871"/>
      <c r="AK475" s="1182" t="s">
        <v>944</v>
      </c>
      <c r="AL475" s="1562"/>
      <c r="AM475" s="1544"/>
      <c r="AN475" s="1544" t="str">
        <f t="shared" si="7"/>
        <v>Наименование централизованной системы холодного водоснабжения</v>
      </c>
      <c r="AO475" s="1544"/>
      <c r="AP475" s="1544"/>
    </row>
    <row r="476" spans="1:42" s="1818" customFormat="1" ht="23.25" customHeight="1">
      <c r="A476" s="1284"/>
      <c r="B476" s="1284"/>
      <c r="C476" s="1284"/>
      <c r="D476" s="1284"/>
      <c r="E476" s="8884" t="s">
        <v>445</v>
      </c>
      <c r="F476" s="8884"/>
      <c r="G476" s="8884"/>
      <c r="H476" s="8884"/>
      <c r="I476" s="8881" t="str">
        <f>S475&amp;".1"</f>
        <v>28.1.1.1</v>
      </c>
      <c r="J476" s="1284"/>
      <c r="K476" s="1284"/>
      <c r="L476" s="1290"/>
      <c r="M476" s="1696"/>
      <c r="N476" s="1696"/>
      <c r="O476" s="1696"/>
      <c r="P476" s="8882">
        <v>1</v>
      </c>
      <c r="Q476" s="1811"/>
      <c r="R476" s="277"/>
      <c r="S476" s="1810" t="str">
        <f>$I476</f>
        <v>28.1.1.1</v>
      </c>
      <c r="T476" s="200" t="s">
        <v>945</v>
      </c>
      <c r="U476" s="214"/>
      <c r="V476" s="8942"/>
      <c r="W476" s="8943"/>
      <c r="X476" s="8943"/>
      <c r="Y476" s="8943"/>
      <c r="Z476" s="8943"/>
      <c r="AA476" s="8943"/>
      <c r="AB476" s="8944"/>
      <c r="AC476" s="8945"/>
      <c r="AD476" s="8946"/>
      <c r="AE476" s="8946"/>
      <c r="AF476" s="8946"/>
      <c r="AG476" s="8946"/>
      <c r="AH476" s="8946"/>
      <c r="AI476" s="8946"/>
      <c r="AJ476" s="8947"/>
      <c r="AK476" s="1182" t="s">
        <v>946</v>
      </c>
      <c r="AL476" s="1562"/>
      <c r="AM476" s="1544"/>
      <c r="AN476" s="1544" t="str">
        <f t="shared" si="7"/>
        <v>Наименование признака дифференциации</v>
      </c>
      <c r="AO476" s="1544"/>
      <c r="AP476" s="1544"/>
    </row>
    <row r="477" spans="1:42" s="1818" customFormat="1" ht="23.25" customHeight="1">
      <c r="A477" s="1284"/>
      <c r="B477" s="1284"/>
      <c r="C477" s="1284"/>
      <c r="D477" s="1284"/>
      <c r="E477" s="8884" t="s">
        <v>445</v>
      </c>
      <c r="F477" s="8884"/>
      <c r="G477" s="8884"/>
      <c r="H477" s="8884"/>
      <c r="I477" s="8904"/>
      <c r="J477" s="8881" t="str">
        <f>I476&amp;".1"</f>
        <v>28.1.1.1.1</v>
      </c>
      <c r="K477" s="1284"/>
      <c r="L477" s="1290" t="s">
        <v>871</v>
      </c>
      <c r="M477" s="1696"/>
      <c r="N477" s="1696"/>
      <c r="O477" s="1696"/>
      <c r="P477" s="8882"/>
      <c r="Q477" s="8882">
        <v>1</v>
      </c>
      <c r="R477" s="278"/>
      <c r="S477" s="1810" t="str">
        <f>$J477</f>
        <v>28.1.1.1.1</v>
      </c>
      <c r="T477" s="201" t="s">
        <v>872</v>
      </c>
      <c r="U477" s="214"/>
      <c r="V477" s="8872"/>
      <c r="W477" s="8873"/>
      <c r="X477" s="8873"/>
      <c r="Y477" s="8873"/>
      <c r="Z477" s="8873"/>
      <c r="AA477" s="8873"/>
      <c r="AB477" s="8874"/>
      <c r="AC477" s="8872" t="s">
        <v>961</v>
      </c>
      <c r="AD477" s="8873"/>
      <c r="AE477" s="8873"/>
      <c r="AF477" s="8873"/>
      <c r="AG477" s="8873"/>
      <c r="AH477" s="8873"/>
      <c r="AI477" s="8873"/>
      <c r="AJ477" s="8874"/>
      <c r="AK477" s="1231" t="s">
        <v>947</v>
      </c>
      <c r="AL477" s="1562"/>
      <c r="AM477" s="1544"/>
      <c r="AN477" s="1544" t="str">
        <f t="shared" si="7"/>
        <v>Группа потребителей</v>
      </c>
      <c r="AO477" s="1544"/>
      <c r="AP477" s="1544"/>
    </row>
    <row r="478" spans="1:42" s="1818" customFormat="1" ht="23.25" customHeight="1">
      <c r="A478" s="1284"/>
      <c r="B478" s="1284"/>
      <c r="C478" s="1284"/>
      <c r="D478" s="1284"/>
      <c r="E478" s="8884" t="s">
        <v>445</v>
      </c>
      <c r="F478" s="8884"/>
      <c r="G478" s="8884"/>
      <c r="H478" s="8884"/>
      <c r="I478" s="8904"/>
      <c r="J478" s="8904"/>
      <c r="K478" s="8881" t="str">
        <f>J477&amp;".1"</f>
        <v>28.1.1.1.1.1</v>
      </c>
      <c r="L478" s="1290"/>
      <c r="M478" s="1696"/>
      <c r="N478" s="1696"/>
      <c r="O478" s="1696"/>
      <c r="P478" s="8882"/>
      <c r="Q478" s="8882"/>
      <c r="R478" s="278">
        <v>1</v>
      </c>
      <c r="S478" s="1810" t="str">
        <f>$K478</f>
        <v>28.1.1.1.1.1</v>
      </c>
      <c r="T478" s="1357" t="s">
        <v>962</v>
      </c>
      <c r="U478" s="214"/>
      <c r="V478" s="666"/>
      <c r="W478" s="666"/>
      <c r="X478" s="1181"/>
      <c r="Y478" s="8886"/>
      <c r="Z478" s="8734" t="s">
        <v>63</v>
      </c>
      <c r="AA478" s="8886"/>
      <c r="AB478" s="8734" t="s">
        <v>63</v>
      </c>
      <c r="AC478" s="666">
        <v>663.5</v>
      </c>
      <c r="AD478" s="666"/>
      <c r="AE478" s="1181"/>
      <c r="AF478" s="8886">
        <v>45292</v>
      </c>
      <c r="AG478" s="8734" t="s">
        <v>63</v>
      </c>
      <c r="AH478" s="8905">
        <v>45657</v>
      </c>
      <c r="AI478" s="8734" t="s">
        <v>63</v>
      </c>
      <c r="AJ478" s="1358"/>
      <c r="AK47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78" s="1562" t="e">
        <f ca="1">STRCHECKDATE(V479:AJ479)</f>
        <v>#NAME?</v>
      </c>
      <c r="AM478" s="1544"/>
      <c r="AN478" s="1544" t="str">
        <f t="shared" si="7"/>
        <v>Тариф для населения, руб. за 1 куб. метр с НДС</v>
      </c>
      <c r="AO478" s="1544"/>
      <c r="AP478" s="1544"/>
    </row>
    <row r="479" spans="1:42" s="1818" customFormat="1" ht="14.25" customHeight="1">
      <c r="A479" s="1284"/>
      <c r="B479" s="1284"/>
      <c r="C479" s="1284"/>
      <c r="D479" s="1284"/>
      <c r="E479" s="8884" t="s">
        <v>445</v>
      </c>
      <c r="F479" s="8884"/>
      <c r="G479" s="8884"/>
      <c r="H479" s="8884"/>
      <c r="I479" s="8904"/>
      <c r="J479" s="8904"/>
      <c r="K479" s="8881"/>
      <c r="L479" s="1290"/>
      <c r="M479" s="1696"/>
      <c r="N479" s="1696"/>
      <c r="O479" s="1696"/>
      <c r="P479" s="8882"/>
      <c r="Q479" s="8882"/>
      <c r="R479" s="278"/>
      <c r="S479" s="1815"/>
      <c r="T479" s="214"/>
      <c r="U479" s="214"/>
      <c r="V479" s="246"/>
      <c r="W479" s="246"/>
      <c r="X479" s="250" t="str">
        <f>Y478&amp;"-"&amp;AA478</f>
        <v>-</v>
      </c>
      <c r="Y479" s="8887"/>
      <c r="Z479" s="8734"/>
      <c r="AA479" s="8887"/>
      <c r="AB479" s="8734"/>
      <c r="AC479" s="246"/>
      <c r="AD479" s="246"/>
      <c r="AE479" s="250" t="str">
        <f>AF478&amp;"-"&amp;AH478</f>
        <v>45292-45657</v>
      </c>
      <c r="AF479" s="8887"/>
      <c r="AG479" s="8734"/>
      <c r="AH479" s="8906"/>
      <c r="AI479" s="8734"/>
      <c r="AJ479" s="1359"/>
      <c r="AK479" s="8941"/>
      <c r="AL479" s="1562"/>
      <c r="AM479" s="1544"/>
      <c r="AN479" s="1544" t="str">
        <f t="shared" si="7"/>
        <v/>
      </c>
      <c r="AO479" s="1544"/>
      <c r="AP479" s="1544"/>
    </row>
    <row r="480" spans="1:42" s="1818" customFormat="1" ht="21" customHeight="1">
      <c r="A480" s="1284"/>
      <c r="B480" s="1284"/>
      <c r="C480" s="1284"/>
      <c r="D480" s="1284"/>
      <c r="E480" s="8884" t="s">
        <v>445</v>
      </c>
      <c r="F480" s="8884"/>
      <c r="G480" s="8884"/>
      <c r="H480" s="8884"/>
      <c r="I480" s="8904"/>
      <c r="J480" s="8881"/>
      <c r="K480" s="1284"/>
      <c r="L480" s="1290"/>
      <c r="M480" s="1696"/>
      <c r="N480" s="1696"/>
      <c r="O480" s="1696"/>
      <c r="P480" s="8882"/>
      <c r="Q480" s="8882"/>
      <c r="R480" s="277"/>
      <c r="S480" s="3797"/>
      <c r="T480" s="3798" t="s">
        <v>948</v>
      </c>
      <c r="U480" s="3799"/>
      <c r="V480" s="3800"/>
      <c r="W480" s="3801"/>
      <c r="X480" s="3802"/>
      <c r="Y480" s="3803"/>
      <c r="Z480" s="3804"/>
      <c r="AA480" s="3805"/>
      <c r="AB480" s="3806"/>
      <c r="AC480" s="3807"/>
      <c r="AD480" s="3808"/>
      <c r="AE480" s="3809"/>
      <c r="AF480" s="3810"/>
      <c r="AG480" s="3811"/>
      <c r="AH480" s="3812"/>
      <c r="AI480" s="3813"/>
      <c r="AJ480" s="3814"/>
      <c r="AK480" s="1182" t="s">
        <v>949</v>
      </c>
      <c r="AL480" s="1562"/>
      <c r="AM480" s="1544"/>
      <c r="AN480" s="1544" t="str">
        <f t="shared" si="7"/>
        <v>Добавить значение признака дифференциации</v>
      </c>
      <c r="AO480" s="1544"/>
      <c r="AP480" s="1544"/>
    </row>
    <row r="481" spans="1:42" s="1818" customFormat="1" ht="23.25" customHeight="1">
      <c r="A481" s="1284"/>
      <c r="B481" s="1284"/>
      <c r="C481" s="1284"/>
      <c r="D481" s="1284"/>
      <c r="E481" s="8884"/>
      <c r="F481" s="8884"/>
      <c r="G481" s="8884"/>
      <c r="H481" s="8884"/>
      <c r="I481" s="8904"/>
      <c r="J481" s="8881" t="str">
        <f>I476&amp;".2"</f>
        <v>28.1.1.1.2</v>
      </c>
      <c r="K481" s="1284"/>
      <c r="L481" s="1290" t="s">
        <v>871</v>
      </c>
      <c r="M481" s="1696"/>
      <c r="N481" s="1696"/>
      <c r="O481" s="1696"/>
      <c r="P481" s="8882"/>
      <c r="Q481" s="8948" t="s">
        <v>100</v>
      </c>
      <c r="R481" s="278"/>
      <c r="S481" s="1810" t="str">
        <f>$J481</f>
        <v>28.1.1.1.2</v>
      </c>
      <c r="T481" s="201" t="s">
        <v>872</v>
      </c>
      <c r="U481" s="214"/>
      <c r="V481" s="8872"/>
      <c r="W481" s="8873"/>
      <c r="X481" s="8873"/>
      <c r="Y481" s="8873"/>
      <c r="Z481" s="8873"/>
      <c r="AA481" s="8873"/>
      <c r="AB481" s="8874"/>
      <c r="AC481" s="8872" t="s">
        <v>963</v>
      </c>
      <c r="AD481" s="8873"/>
      <c r="AE481" s="8873"/>
      <c r="AF481" s="8873"/>
      <c r="AG481" s="8873"/>
      <c r="AH481" s="8873"/>
      <c r="AI481" s="8873"/>
      <c r="AJ481" s="8874"/>
      <c r="AK481" s="1231" t="s">
        <v>947</v>
      </c>
      <c r="AL481" s="1562"/>
      <c r="AM481" s="1544"/>
      <c r="AN481" s="1544" t="str">
        <f t="shared" si="7"/>
        <v>Группа потребителей</v>
      </c>
      <c r="AO481" s="1544"/>
      <c r="AP481" s="1544"/>
    </row>
    <row r="482" spans="1:42" s="1818" customFormat="1" ht="23.25" customHeight="1">
      <c r="A482" s="1284"/>
      <c r="B482" s="1284"/>
      <c r="C482" s="1284"/>
      <c r="D482" s="1284"/>
      <c r="E482" s="8884"/>
      <c r="F482" s="8884"/>
      <c r="G482" s="8884"/>
      <c r="H482" s="8884"/>
      <c r="I482" s="8904"/>
      <c r="J482" s="8904" t="str">
        <f>I476&amp;".1"</f>
        <v>28.1.1.1.1</v>
      </c>
      <c r="K482" s="8881" t="str">
        <f>J481&amp;".1"</f>
        <v>28.1.1.1.2.1</v>
      </c>
      <c r="L482" s="1290"/>
      <c r="M482" s="1696"/>
      <c r="N482" s="1696"/>
      <c r="O482" s="1696"/>
      <c r="P482" s="8882"/>
      <c r="Q482" s="8882"/>
      <c r="R482" s="278">
        <v>1</v>
      </c>
      <c r="S482" s="1810" t="str">
        <f>$K482</f>
        <v>28.1.1.1.2.1</v>
      </c>
      <c r="T482" s="1357" t="s">
        <v>964</v>
      </c>
      <c r="U482" s="214"/>
      <c r="V482" s="666"/>
      <c r="W482" s="666"/>
      <c r="X482" s="1181"/>
      <c r="Y482" s="8886"/>
      <c r="Z482" s="8734" t="s">
        <v>63</v>
      </c>
      <c r="AA482" s="8886"/>
      <c r="AB482" s="8734" t="s">
        <v>63</v>
      </c>
      <c r="AC482" s="666">
        <v>552.91999999999996</v>
      </c>
      <c r="AD482" s="666"/>
      <c r="AE482" s="1181"/>
      <c r="AF482" s="8886">
        <v>45292</v>
      </c>
      <c r="AG482" s="8734" t="s">
        <v>63</v>
      </c>
      <c r="AH482" s="8905">
        <v>45657</v>
      </c>
      <c r="AI482" s="8734" t="s">
        <v>63</v>
      </c>
      <c r="AJ482" s="1358"/>
      <c r="AK48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82" s="1562" t="e">
        <f ca="1">STRCHECKDATE(V483:AJ483)</f>
        <v>#NAME?</v>
      </c>
      <c r="AM482" s="1544"/>
      <c r="AN482" s="1544" t="str">
        <f t="shared" si="7"/>
        <v>Тариф, руб. за 1 куб. метр без НДС</v>
      </c>
      <c r="AO482" s="1544"/>
      <c r="AP482" s="1544"/>
    </row>
    <row r="483" spans="1:42" s="1818" customFormat="1" ht="14.25" customHeight="1">
      <c r="A483" s="1284"/>
      <c r="B483" s="1284"/>
      <c r="C483" s="1284"/>
      <c r="D483" s="1284"/>
      <c r="E483" s="8884"/>
      <c r="F483" s="8884"/>
      <c r="G483" s="8884"/>
      <c r="H483" s="8884"/>
      <c r="I483" s="8904"/>
      <c r="J483" s="8904" t="str">
        <f>I476&amp;".1"</f>
        <v>28.1.1.1.1</v>
      </c>
      <c r="K483" s="8881"/>
      <c r="L483" s="1290"/>
      <c r="M483" s="1696"/>
      <c r="N483" s="1696"/>
      <c r="O483" s="1696"/>
      <c r="P483" s="8882"/>
      <c r="Q483" s="8882"/>
      <c r="R483" s="278"/>
      <c r="S483" s="1815"/>
      <c r="T483" s="214"/>
      <c r="U483" s="214"/>
      <c r="V483" s="246"/>
      <c r="W483" s="246"/>
      <c r="X483" s="250" t="str">
        <f>Y482&amp;"-"&amp;AA482</f>
        <v>-</v>
      </c>
      <c r="Y483" s="8887"/>
      <c r="Z483" s="8734"/>
      <c r="AA483" s="8887"/>
      <c r="AB483" s="8734"/>
      <c r="AC483" s="246"/>
      <c r="AD483" s="246"/>
      <c r="AE483" s="250" t="str">
        <f>AF482&amp;"-"&amp;AH482</f>
        <v>45292-45657</v>
      </c>
      <c r="AF483" s="8887"/>
      <c r="AG483" s="8734"/>
      <c r="AH483" s="8906"/>
      <c r="AI483" s="8734"/>
      <c r="AJ483" s="1359"/>
      <c r="AK483" s="8941"/>
      <c r="AL483" s="1562"/>
      <c r="AM483" s="1544"/>
      <c r="AN483" s="1544" t="str">
        <f t="shared" si="7"/>
        <v/>
      </c>
      <c r="AO483" s="1544"/>
      <c r="AP483" s="1544"/>
    </row>
    <row r="484" spans="1:42" s="1818" customFormat="1" ht="21" customHeight="1">
      <c r="A484" s="1284"/>
      <c r="B484" s="1284"/>
      <c r="C484" s="1284"/>
      <c r="D484" s="1284"/>
      <c r="E484" s="8884"/>
      <c r="F484" s="8884"/>
      <c r="G484" s="8884"/>
      <c r="H484" s="8884"/>
      <c r="I484" s="8904"/>
      <c r="J484" s="8881" t="str">
        <f>I476&amp;".1"</f>
        <v>28.1.1.1.1</v>
      </c>
      <c r="K484" s="1284"/>
      <c r="L484" s="1290"/>
      <c r="M484" s="1696"/>
      <c r="N484" s="1696"/>
      <c r="O484" s="1696"/>
      <c r="P484" s="8882"/>
      <c r="Q484" s="8882"/>
      <c r="R484" s="277"/>
      <c r="S484" s="3815"/>
      <c r="T484" s="3816" t="s">
        <v>948</v>
      </c>
      <c r="U484" s="3817"/>
      <c r="V484" s="3818"/>
      <c r="W484" s="3819"/>
      <c r="X484" s="3820"/>
      <c r="Y484" s="3821"/>
      <c r="Z484" s="3822"/>
      <c r="AA484" s="3823"/>
      <c r="AB484" s="3824"/>
      <c r="AC484" s="3825"/>
      <c r="AD484" s="3826"/>
      <c r="AE484" s="3827"/>
      <c r="AF484" s="3828"/>
      <c r="AG484" s="3829"/>
      <c r="AH484" s="3830"/>
      <c r="AI484" s="3831"/>
      <c r="AJ484" s="3832"/>
      <c r="AK484" s="1182" t="s">
        <v>949</v>
      </c>
      <c r="AL484" s="1562"/>
      <c r="AM484" s="1544"/>
      <c r="AN484" s="1544" t="str">
        <f t="shared" si="7"/>
        <v>Добавить значение признака дифференциации</v>
      </c>
      <c r="AO484" s="1544"/>
      <c r="AP484" s="1544"/>
    </row>
    <row r="485" spans="1:42" s="1818" customFormat="1" ht="21" customHeight="1">
      <c r="A485" s="1284"/>
      <c r="B485" s="1284"/>
      <c r="C485" s="1284"/>
      <c r="D485" s="1284"/>
      <c r="E485" s="8884" t="s">
        <v>445</v>
      </c>
      <c r="F485" s="8884"/>
      <c r="G485" s="8884"/>
      <c r="H485" s="8884"/>
      <c r="I485" s="8881"/>
      <c r="J485" s="1284"/>
      <c r="K485" s="1284"/>
      <c r="L485" s="1290"/>
      <c r="M485" s="1696"/>
      <c r="N485" s="1696"/>
      <c r="O485" s="1696"/>
      <c r="P485" s="8882"/>
      <c r="Q485" s="1811"/>
      <c r="R485" s="277"/>
      <c r="S485" s="3833"/>
      <c r="T485" s="3834" t="s">
        <v>877</v>
      </c>
      <c r="U485" s="3835"/>
      <c r="V485" s="3836"/>
      <c r="W485" s="3837"/>
      <c r="X485" s="3838"/>
      <c r="Y485" s="3839"/>
      <c r="Z485" s="3840"/>
      <c r="AA485" s="3841"/>
      <c r="AB485" s="3842"/>
      <c r="AC485" s="3843"/>
      <c r="AD485" s="3844"/>
      <c r="AE485" s="3845"/>
      <c r="AF485" s="3846"/>
      <c r="AG485" s="3847"/>
      <c r="AH485" s="3848"/>
      <c r="AI485" s="3849"/>
      <c r="AJ485" s="3850"/>
      <c r="AK485" s="3851"/>
      <c r="AL485" s="1562"/>
      <c r="AM485" s="1544"/>
      <c r="AN485" s="1544" t="str">
        <f t="shared" si="7"/>
        <v>Добавить группу потребителей</v>
      </c>
      <c r="AO485" s="1544"/>
      <c r="AP485" s="1544"/>
    </row>
    <row r="486" spans="1:42" s="1818" customFormat="1" ht="21" customHeight="1">
      <c r="A486" s="1284"/>
      <c r="B486" s="1284"/>
      <c r="C486" s="1284"/>
      <c r="D486" s="1284"/>
      <c r="E486" s="8884" t="s">
        <v>445</v>
      </c>
      <c r="F486" s="8884"/>
      <c r="G486" s="8884"/>
      <c r="H486" s="8883"/>
      <c r="I486" s="1284"/>
      <c r="J486" s="1284"/>
      <c r="K486" s="1284"/>
      <c r="L486" s="1290"/>
      <c r="M486" s="1286"/>
      <c r="N486" s="1286"/>
      <c r="O486" s="1287"/>
      <c r="P486" s="1742"/>
      <c r="Q486" s="299"/>
      <c r="R486" s="276"/>
      <c r="S486" s="3852"/>
      <c r="T486" s="3853" t="s">
        <v>950</v>
      </c>
      <c r="U486" s="3854"/>
      <c r="V486" s="3855"/>
      <c r="W486" s="3856"/>
      <c r="X486" s="3857"/>
      <c r="Y486" s="3858"/>
      <c r="Z486" s="3859"/>
      <c r="AA486" s="3860"/>
      <c r="AB486" s="3861"/>
      <c r="AC486" s="3862"/>
      <c r="AD486" s="3863"/>
      <c r="AE486" s="3864"/>
      <c r="AF486" s="3865"/>
      <c r="AG486" s="3866"/>
      <c r="AH486" s="3867"/>
      <c r="AI486" s="3868"/>
      <c r="AJ486" s="3869"/>
      <c r="AK486" s="3870"/>
      <c r="AL486" s="1562"/>
      <c r="AM486" s="1544"/>
      <c r="AN486" s="1544" t="str">
        <f t="shared" si="7"/>
        <v>Добавить наименование признака дифференциации</v>
      </c>
      <c r="AO486" s="1544"/>
      <c r="AP486" s="1544"/>
    </row>
    <row r="487" spans="1:42" s="541" customFormat="1" ht="14.25" customHeight="1">
      <c r="A487" s="1265"/>
      <c r="B487" s="1265"/>
      <c r="C487" s="1265"/>
      <c r="D487" s="1265"/>
      <c r="E487" s="8884" t="s">
        <v>445</v>
      </c>
      <c r="F487" s="8883"/>
      <c r="G487" s="1265"/>
      <c r="H487" s="1265"/>
      <c r="I487" s="1265"/>
      <c r="J487" s="1265"/>
      <c r="K487" s="1265"/>
      <c r="L487" s="1466"/>
      <c r="M487" s="1244"/>
      <c r="N487" s="1244"/>
      <c r="O487" s="1562"/>
      <c r="P487" s="1239"/>
      <c r="Q487" s="1266"/>
      <c r="R487" s="1239"/>
      <c r="S487" s="1245"/>
      <c r="T487" s="1248" t="s">
        <v>314</v>
      </c>
      <c r="U487" s="1247"/>
      <c r="V487" s="1247"/>
      <c r="W487" s="1247"/>
      <c r="X487" s="1247"/>
      <c r="Y487" s="1247"/>
      <c r="Z487" s="1247"/>
      <c r="AA487" s="1247"/>
      <c r="AB487" s="1247"/>
      <c r="AC487" s="1247"/>
      <c r="AD487" s="1247"/>
      <c r="AE487" s="1247"/>
      <c r="AF487" s="1247"/>
      <c r="AG487" s="1247"/>
      <c r="AH487" s="1247"/>
      <c r="AI487" s="1247"/>
      <c r="AJ487" s="1247"/>
      <c r="AK487" s="1247"/>
      <c r="AL487" s="1562"/>
      <c r="AM487" s="1544"/>
      <c r="AN487" s="1544" t="str">
        <f t="shared" si="7"/>
        <v>Добавить централизованную систему для дифференциации</v>
      </c>
      <c r="AO487" s="1544"/>
      <c r="AP487" s="1544"/>
    </row>
    <row r="488" spans="1:42" s="541" customFormat="1" ht="14.25" customHeight="1">
      <c r="A488" s="1265"/>
      <c r="B488" s="1265"/>
      <c r="C488" s="1265"/>
      <c r="D488" s="1265"/>
      <c r="E488" s="8883" t="s">
        <v>445</v>
      </c>
      <c r="F488" s="1265"/>
      <c r="G488" s="1265"/>
      <c r="H488" s="1265"/>
      <c r="I488" s="1265"/>
      <c r="J488" s="1265"/>
      <c r="K488" s="1265"/>
      <c r="L488" s="1466"/>
      <c r="M488" s="1244"/>
      <c r="N488" s="1244"/>
      <c r="O488" s="1562"/>
      <c r="P488" s="1239"/>
      <c r="Q488" s="1266"/>
      <c r="R488" s="1239"/>
      <c r="S488" s="1245"/>
      <c r="T488" s="1248" t="s">
        <v>315</v>
      </c>
      <c r="U488" s="1247"/>
      <c r="V488" s="1247"/>
      <c r="W488" s="1247"/>
      <c r="X488" s="1247"/>
      <c r="Y488" s="1247"/>
      <c r="Z488" s="1247"/>
      <c r="AA488" s="1247"/>
      <c r="AB488" s="1247"/>
      <c r="AC488" s="1247"/>
      <c r="AD488" s="1247"/>
      <c r="AE488" s="1247"/>
      <c r="AF488" s="1247"/>
      <c r="AG488" s="1247"/>
      <c r="AH488" s="1247"/>
      <c r="AI488" s="1247"/>
      <c r="AJ488" s="1247"/>
      <c r="AK488" s="1247"/>
      <c r="AL488" s="1562"/>
      <c r="AM488" s="1544"/>
      <c r="AN488" s="1544" t="str">
        <f t="shared" si="7"/>
        <v>Добавить территорию для дифференциации</v>
      </c>
      <c r="AO488" s="1544"/>
      <c r="AP488" s="1544"/>
    </row>
    <row r="489" spans="1:42" s="1818" customFormat="1" ht="23.25" customHeight="1">
      <c r="A489" s="1284" t="s">
        <v>459</v>
      </c>
      <c r="B489" s="1284"/>
      <c r="C489" s="1284"/>
      <c r="D489" s="1284"/>
      <c r="E489" s="8883" t="s">
        <v>457</v>
      </c>
      <c r="F489" s="1284"/>
      <c r="G489" s="1284"/>
      <c r="H489" s="1284"/>
      <c r="I489" s="1284"/>
      <c r="J489" s="1284"/>
      <c r="K489" s="1284"/>
      <c r="L489" s="1290"/>
      <c r="M489" s="1286"/>
      <c r="N489" s="1286"/>
      <c r="O489" s="1286"/>
      <c r="P489" s="1812"/>
      <c r="Q489" s="1742"/>
      <c r="R489" s="276"/>
      <c r="S489" s="1810" t="str">
        <f>INDEX(PT_DIFFERENTIATION_NUM_NTAR,MATCH(A489,PT_DIFFERENTIATION_NTAR_ID,0))</f>
        <v>29</v>
      </c>
      <c r="T489" s="1440" t="s">
        <v>211</v>
      </c>
      <c r="U489" s="214"/>
      <c r="V489" s="8869"/>
      <c r="W489" s="8870"/>
      <c r="X489" s="8870"/>
      <c r="Y489" s="8870"/>
      <c r="Z489" s="8870"/>
      <c r="AA489" s="8870"/>
      <c r="AB489" s="8871"/>
      <c r="AC489" s="8869" t="str">
        <f>INDEX(PT_DIFFERENTIATION_NTAR,MATCH(A489,PT_DIFFERENTIATION_NTAR_ID,0))</f>
        <v>Подвоз воды потребителям хутора Горного</v>
      </c>
      <c r="AD489" s="8870"/>
      <c r="AE489" s="8870"/>
      <c r="AF489" s="8870"/>
      <c r="AG489" s="8870"/>
      <c r="AH489" s="8870"/>
      <c r="AI489" s="8870"/>
      <c r="AJ489" s="8871"/>
      <c r="AK48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489" s="1562"/>
      <c r="AM489" s="1544"/>
      <c r="AN489" s="1544" t="str">
        <f t="shared" ref="AN489:AN552" si="8">IF(T489="","",T489)</f>
        <v>Наименование тарифа</v>
      </c>
      <c r="AO489" s="1544"/>
      <c r="AP489" s="1544"/>
    </row>
    <row r="490" spans="1:42" s="1818" customFormat="1" ht="23.25" customHeight="1">
      <c r="A490" s="1284"/>
      <c r="B490" s="1284" t="s">
        <v>460</v>
      </c>
      <c r="C490" s="1284"/>
      <c r="D490" s="1284"/>
      <c r="E490" s="8884" t="s">
        <v>451</v>
      </c>
      <c r="F490" s="8883">
        <v>1</v>
      </c>
      <c r="G490" s="1284"/>
      <c r="H490" s="1284"/>
      <c r="I490" s="1284"/>
      <c r="J490" s="1284"/>
      <c r="K490" s="1284"/>
      <c r="L490" s="1290"/>
      <c r="M490" s="1286"/>
      <c r="N490" s="1286"/>
      <c r="O490" s="1286"/>
      <c r="P490" s="1807"/>
      <c r="Q490" s="273"/>
      <c r="R490" s="274"/>
      <c r="S490" s="1810" t="str">
        <f>INDEX(PT_DIFFERENTIATION_NUM_TER,MATCH(B490,PT_DIFFERENTIATION_TER_ID,0))</f>
        <v>29.1</v>
      </c>
      <c r="T490" s="1437" t="s">
        <v>862</v>
      </c>
      <c r="U490" s="214"/>
      <c r="V490" s="8869"/>
      <c r="W490" s="8870"/>
      <c r="X490" s="8870"/>
      <c r="Y490" s="8870"/>
      <c r="Z490" s="8870"/>
      <c r="AA490" s="8870"/>
      <c r="AB490" s="8871"/>
      <c r="AC490" s="8869" t="str">
        <f>INDEX(PT_DIFFERENTIATION_TER,MATCH(B490,PT_DIFFERENTIATION_TER_ID,0))</f>
        <v>Территория 8</v>
      </c>
      <c r="AD490" s="8870"/>
      <c r="AE490" s="8870"/>
      <c r="AF490" s="8870"/>
      <c r="AG490" s="8870"/>
      <c r="AH490" s="8870"/>
      <c r="AI490" s="8870"/>
      <c r="AJ490" s="8871"/>
      <c r="AK490" s="1182" t="s">
        <v>863</v>
      </c>
      <c r="AL490" s="1562"/>
      <c r="AM490" s="1544"/>
      <c r="AN490" s="1544" t="str">
        <f t="shared" si="8"/>
        <v>Территория действия тарифа</v>
      </c>
      <c r="AO490" s="1544"/>
      <c r="AP490" s="1544"/>
    </row>
    <row r="491" spans="1:42" s="1818" customFormat="1" ht="23.25" customHeight="1">
      <c r="A491" s="1284"/>
      <c r="B491" s="1284"/>
      <c r="C491" s="1284" t="s">
        <v>461</v>
      </c>
      <c r="D491" s="1284"/>
      <c r="E491" s="8884" t="s">
        <v>451</v>
      </c>
      <c r="F491" s="8884"/>
      <c r="G491" s="8883">
        <v>1</v>
      </c>
      <c r="H491" s="1284"/>
      <c r="I491" s="1284"/>
      <c r="J491" s="1284"/>
      <c r="K491" s="1284"/>
      <c r="L491" s="1290"/>
      <c r="M491" s="1286"/>
      <c r="N491" s="1286"/>
      <c r="O491" s="1286"/>
      <c r="P491" s="275"/>
      <c r="Q491" s="273"/>
      <c r="R491" s="274"/>
      <c r="S491" s="1810" t="str">
        <f>INDEX(PT_DIFFERENTIATION_NUM_CS,MATCH(C491,PT_DIFFERENTIATION_CS_ID,0))</f>
        <v>29.1.1</v>
      </c>
      <c r="T491" s="225" t="s">
        <v>943</v>
      </c>
      <c r="U491" s="214"/>
      <c r="V491" s="8869"/>
      <c r="W491" s="8870"/>
      <c r="X491" s="8870"/>
      <c r="Y491" s="8870"/>
      <c r="Z491" s="8870"/>
      <c r="AA491" s="8870"/>
      <c r="AB491" s="8871"/>
      <c r="AC491" s="8869" t="str">
        <f>INDEX(PT_DIFFERENTIATION_CS,MATCH(C491,PT_DIFFERENTIATION_CS_ID,0))</f>
        <v>без дифференциации</v>
      </c>
      <c r="AD491" s="8870"/>
      <c r="AE491" s="8870"/>
      <c r="AF491" s="8870"/>
      <c r="AG491" s="8870"/>
      <c r="AH491" s="8870"/>
      <c r="AI491" s="8870"/>
      <c r="AJ491" s="8871"/>
      <c r="AK491" s="1182" t="s">
        <v>944</v>
      </c>
      <c r="AL491" s="1562"/>
      <c r="AM491" s="1544"/>
      <c r="AN491" s="1544" t="str">
        <f t="shared" si="8"/>
        <v>Наименование централизованной системы холодного водоснабжения</v>
      </c>
      <c r="AO491" s="1544"/>
      <c r="AP491" s="1544"/>
    </row>
    <row r="492" spans="1:42" s="1818" customFormat="1" ht="23.25" customHeight="1">
      <c r="A492" s="1284"/>
      <c r="B492" s="1284"/>
      <c r="C492" s="1284"/>
      <c r="D492" s="1284"/>
      <c r="E492" s="8884" t="s">
        <v>451</v>
      </c>
      <c r="F492" s="8884"/>
      <c r="G492" s="8884"/>
      <c r="H492" s="8884"/>
      <c r="I492" s="8881" t="str">
        <f>S491&amp;".1"</f>
        <v>29.1.1.1</v>
      </c>
      <c r="J492" s="1284"/>
      <c r="K492" s="1284"/>
      <c r="L492" s="1290"/>
      <c r="M492" s="1696"/>
      <c r="N492" s="1696"/>
      <c r="O492" s="1696"/>
      <c r="P492" s="8882">
        <v>1</v>
      </c>
      <c r="Q492" s="1811"/>
      <c r="R492" s="277"/>
      <c r="S492" s="1810" t="str">
        <f>$I492</f>
        <v>29.1.1.1</v>
      </c>
      <c r="T492" s="200" t="s">
        <v>945</v>
      </c>
      <c r="U492" s="214"/>
      <c r="V492" s="8942"/>
      <c r="W492" s="8943"/>
      <c r="X492" s="8943"/>
      <c r="Y492" s="8943"/>
      <c r="Z492" s="8943"/>
      <c r="AA492" s="8943"/>
      <c r="AB492" s="8944"/>
      <c r="AC492" s="8945"/>
      <c r="AD492" s="8946"/>
      <c r="AE492" s="8946"/>
      <c r="AF492" s="8946"/>
      <c r="AG492" s="8946"/>
      <c r="AH492" s="8946"/>
      <c r="AI492" s="8946"/>
      <c r="AJ492" s="8947"/>
      <c r="AK492" s="1182" t="s">
        <v>946</v>
      </c>
      <c r="AL492" s="1562"/>
      <c r="AM492" s="1544"/>
      <c r="AN492" s="1544" t="str">
        <f t="shared" si="8"/>
        <v>Наименование признака дифференциации</v>
      </c>
      <c r="AO492" s="1544"/>
      <c r="AP492" s="1544"/>
    </row>
    <row r="493" spans="1:42" s="1818" customFormat="1" ht="23.25" customHeight="1">
      <c r="A493" s="1284"/>
      <c r="B493" s="1284"/>
      <c r="C493" s="1284"/>
      <c r="D493" s="1284"/>
      <c r="E493" s="8884" t="s">
        <v>451</v>
      </c>
      <c r="F493" s="8884"/>
      <c r="G493" s="8884"/>
      <c r="H493" s="8884"/>
      <c r="I493" s="8904"/>
      <c r="J493" s="8881" t="str">
        <f>I492&amp;".1"</f>
        <v>29.1.1.1.1</v>
      </c>
      <c r="K493" s="1284"/>
      <c r="L493" s="1290" t="s">
        <v>871</v>
      </c>
      <c r="M493" s="1696"/>
      <c r="N493" s="1696"/>
      <c r="O493" s="1696"/>
      <c r="P493" s="8882"/>
      <c r="Q493" s="8882">
        <v>1</v>
      </c>
      <c r="R493" s="278"/>
      <c r="S493" s="1810" t="str">
        <f>$J493</f>
        <v>29.1.1.1.1</v>
      </c>
      <c r="T493" s="201" t="s">
        <v>872</v>
      </c>
      <c r="U493" s="214"/>
      <c r="V493" s="8872"/>
      <c r="W493" s="8873"/>
      <c r="X493" s="8873"/>
      <c r="Y493" s="8873"/>
      <c r="Z493" s="8873"/>
      <c r="AA493" s="8873"/>
      <c r="AB493" s="8874"/>
      <c r="AC493" s="8872" t="s">
        <v>961</v>
      </c>
      <c r="AD493" s="8873"/>
      <c r="AE493" s="8873"/>
      <c r="AF493" s="8873"/>
      <c r="AG493" s="8873"/>
      <c r="AH493" s="8873"/>
      <c r="AI493" s="8873"/>
      <c r="AJ493" s="8874"/>
      <c r="AK493" s="1231" t="s">
        <v>947</v>
      </c>
      <c r="AL493" s="1562"/>
      <c r="AM493" s="1544"/>
      <c r="AN493" s="1544" t="str">
        <f t="shared" si="8"/>
        <v>Группа потребителей</v>
      </c>
      <c r="AO493" s="1544"/>
      <c r="AP493" s="1544"/>
    </row>
    <row r="494" spans="1:42" s="1818" customFormat="1" ht="23.25" customHeight="1">
      <c r="A494" s="1284"/>
      <c r="B494" s="1284"/>
      <c r="C494" s="1284"/>
      <c r="D494" s="1284"/>
      <c r="E494" s="8884" t="s">
        <v>451</v>
      </c>
      <c r="F494" s="8884"/>
      <c r="G494" s="8884"/>
      <c r="H494" s="8884"/>
      <c r="I494" s="8904"/>
      <c r="J494" s="8904"/>
      <c r="K494" s="8881" t="str">
        <f>J493&amp;".1"</f>
        <v>29.1.1.1.1.1</v>
      </c>
      <c r="L494" s="1290"/>
      <c r="M494" s="1696"/>
      <c r="N494" s="1696"/>
      <c r="O494" s="1696"/>
      <c r="P494" s="8882"/>
      <c r="Q494" s="8882"/>
      <c r="R494" s="278">
        <v>1</v>
      </c>
      <c r="S494" s="1810" t="str">
        <f>$K494</f>
        <v>29.1.1.1.1.1</v>
      </c>
      <c r="T494" s="1357" t="s">
        <v>962</v>
      </c>
      <c r="U494" s="214"/>
      <c r="V494" s="666"/>
      <c r="W494" s="666"/>
      <c r="X494" s="1181"/>
      <c r="Y494" s="8886"/>
      <c r="Z494" s="8734" t="s">
        <v>63</v>
      </c>
      <c r="AA494" s="8886"/>
      <c r="AB494" s="8734" t="s">
        <v>63</v>
      </c>
      <c r="AC494" s="666">
        <v>471.55</v>
      </c>
      <c r="AD494" s="666"/>
      <c r="AE494" s="1181"/>
      <c r="AF494" s="8886">
        <v>45292</v>
      </c>
      <c r="AG494" s="8734" t="s">
        <v>63</v>
      </c>
      <c r="AH494" s="8905">
        <v>45657</v>
      </c>
      <c r="AI494" s="8734" t="s">
        <v>63</v>
      </c>
      <c r="AJ494" s="1358"/>
      <c r="AK49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94" s="1562" t="e">
        <f ca="1">STRCHECKDATE(V495:AJ495)</f>
        <v>#NAME?</v>
      </c>
      <c r="AM494" s="1544"/>
      <c r="AN494" s="1544" t="str">
        <f t="shared" si="8"/>
        <v>Тариф для населения, руб. за 1 куб. метр с НДС</v>
      </c>
      <c r="AO494" s="1544"/>
      <c r="AP494" s="1544"/>
    </row>
    <row r="495" spans="1:42" s="1818" customFormat="1" ht="14.25" customHeight="1">
      <c r="A495" s="1284"/>
      <c r="B495" s="1284"/>
      <c r="C495" s="1284"/>
      <c r="D495" s="1284"/>
      <c r="E495" s="8884" t="s">
        <v>451</v>
      </c>
      <c r="F495" s="8884"/>
      <c r="G495" s="8884"/>
      <c r="H495" s="8884"/>
      <c r="I495" s="8904"/>
      <c r="J495" s="8904"/>
      <c r="K495" s="8881"/>
      <c r="L495" s="1290"/>
      <c r="M495" s="1696"/>
      <c r="N495" s="1696"/>
      <c r="O495" s="1696"/>
      <c r="P495" s="8882"/>
      <c r="Q495" s="8882"/>
      <c r="R495" s="278"/>
      <c r="S495" s="1815"/>
      <c r="T495" s="214"/>
      <c r="U495" s="214"/>
      <c r="V495" s="246"/>
      <c r="W495" s="246"/>
      <c r="X495" s="250" t="str">
        <f>Y494&amp;"-"&amp;AA494</f>
        <v>-</v>
      </c>
      <c r="Y495" s="8887"/>
      <c r="Z495" s="8734"/>
      <c r="AA495" s="8887"/>
      <c r="AB495" s="8734"/>
      <c r="AC495" s="246"/>
      <c r="AD495" s="246"/>
      <c r="AE495" s="250" t="str">
        <f>AF494&amp;"-"&amp;AH494</f>
        <v>45292-45657</v>
      </c>
      <c r="AF495" s="8887"/>
      <c r="AG495" s="8734"/>
      <c r="AH495" s="8906"/>
      <c r="AI495" s="8734"/>
      <c r="AJ495" s="1359"/>
      <c r="AK495" s="8941"/>
      <c r="AL495" s="1562"/>
      <c r="AM495" s="1544"/>
      <c r="AN495" s="1544" t="str">
        <f t="shared" si="8"/>
        <v/>
      </c>
      <c r="AO495" s="1544"/>
      <c r="AP495" s="1544"/>
    </row>
    <row r="496" spans="1:42" s="1818" customFormat="1" ht="21" customHeight="1">
      <c r="A496" s="1284"/>
      <c r="B496" s="1284"/>
      <c r="C496" s="1284"/>
      <c r="D496" s="1284"/>
      <c r="E496" s="8884" t="s">
        <v>451</v>
      </c>
      <c r="F496" s="8884"/>
      <c r="G496" s="8884"/>
      <c r="H496" s="8884"/>
      <c r="I496" s="8904"/>
      <c r="J496" s="8881"/>
      <c r="K496" s="1284"/>
      <c r="L496" s="1290"/>
      <c r="M496" s="1696"/>
      <c r="N496" s="1696"/>
      <c r="O496" s="1696"/>
      <c r="P496" s="8882"/>
      <c r="Q496" s="8882"/>
      <c r="R496" s="277"/>
      <c r="S496" s="3871"/>
      <c r="T496" s="3872" t="s">
        <v>948</v>
      </c>
      <c r="U496" s="3873"/>
      <c r="V496" s="3874"/>
      <c r="W496" s="3875"/>
      <c r="X496" s="3876"/>
      <c r="Y496" s="3877"/>
      <c r="Z496" s="3878"/>
      <c r="AA496" s="3879"/>
      <c r="AB496" s="3880"/>
      <c r="AC496" s="3881"/>
      <c r="AD496" s="3882"/>
      <c r="AE496" s="3883"/>
      <c r="AF496" s="3884"/>
      <c r="AG496" s="3885"/>
      <c r="AH496" s="3886"/>
      <c r="AI496" s="3887"/>
      <c r="AJ496" s="3888"/>
      <c r="AK496" s="1182" t="s">
        <v>949</v>
      </c>
      <c r="AL496" s="1562"/>
      <c r="AM496" s="1544"/>
      <c r="AN496" s="1544" t="str">
        <f t="shared" si="8"/>
        <v>Добавить значение признака дифференциации</v>
      </c>
      <c r="AO496" s="1544"/>
      <c r="AP496" s="1544"/>
    </row>
    <row r="497" spans="1:42" s="1818" customFormat="1" ht="23.25" customHeight="1">
      <c r="A497" s="1284"/>
      <c r="B497" s="1284"/>
      <c r="C497" s="1284"/>
      <c r="D497" s="1284"/>
      <c r="E497" s="8884"/>
      <c r="F497" s="8884"/>
      <c r="G497" s="8884"/>
      <c r="H497" s="8884"/>
      <c r="I497" s="8904"/>
      <c r="J497" s="8881" t="str">
        <f>I492&amp;".2"</f>
        <v>29.1.1.1.2</v>
      </c>
      <c r="K497" s="1284"/>
      <c r="L497" s="1290" t="s">
        <v>871</v>
      </c>
      <c r="M497" s="1696"/>
      <c r="N497" s="1696"/>
      <c r="O497" s="1696"/>
      <c r="P497" s="8882"/>
      <c r="Q497" s="8948" t="s">
        <v>100</v>
      </c>
      <c r="R497" s="278"/>
      <c r="S497" s="1810" t="str">
        <f>$J497</f>
        <v>29.1.1.1.2</v>
      </c>
      <c r="T497" s="201" t="s">
        <v>872</v>
      </c>
      <c r="U497" s="214"/>
      <c r="V497" s="8872"/>
      <c r="W497" s="8873"/>
      <c r="X497" s="8873"/>
      <c r="Y497" s="8873"/>
      <c r="Z497" s="8873"/>
      <c r="AA497" s="8873"/>
      <c r="AB497" s="8874"/>
      <c r="AC497" s="8872" t="s">
        <v>963</v>
      </c>
      <c r="AD497" s="8873"/>
      <c r="AE497" s="8873"/>
      <c r="AF497" s="8873"/>
      <c r="AG497" s="8873"/>
      <c r="AH497" s="8873"/>
      <c r="AI497" s="8873"/>
      <c r="AJ497" s="8874"/>
      <c r="AK497" s="1231" t="s">
        <v>947</v>
      </c>
      <c r="AL497" s="1562"/>
      <c r="AM497" s="1544"/>
      <c r="AN497" s="1544" t="str">
        <f t="shared" si="8"/>
        <v>Группа потребителей</v>
      </c>
      <c r="AO497" s="1544"/>
      <c r="AP497" s="1544"/>
    </row>
    <row r="498" spans="1:42" s="1818" customFormat="1" ht="23.25" customHeight="1">
      <c r="A498" s="1284"/>
      <c r="B498" s="1284"/>
      <c r="C498" s="1284"/>
      <c r="D498" s="1284"/>
      <c r="E498" s="8884"/>
      <c r="F498" s="8884"/>
      <c r="G498" s="8884"/>
      <c r="H498" s="8884"/>
      <c r="I498" s="8904"/>
      <c r="J498" s="8904" t="str">
        <f>I492&amp;".1"</f>
        <v>29.1.1.1.1</v>
      </c>
      <c r="K498" s="8881" t="str">
        <f>J497&amp;".1"</f>
        <v>29.1.1.1.2.1</v>
      </c>
      <c r="L498" s="1290"/>
      <c r="M498" s="1696"/>
      <c r="N498" s="1696"/>
      <c r="O498" s="1696"/>
      <c r="P498" s="8882"/>
      <c r="Q498" s="8882"/>
      <c r="R498" s="278">
        <v>1</v>
      </c>
      <c r="S498" s="1810" t="str">
        <f>$K498</f>
        <v>29.1.1.1.2.1</v>
      </c>
      <c r="T498" s="1357" t="s">
        <v>964</v>
      </c>
      <c r="U498" s="214"/>
      <c r="V498" s="666"/>
      <c r="W498" s="666"/>
      <c r="X498" s="1181"/>
      <c r="Y498" s="8886"/>
      <c r="Z498" s="8734" t="s">
        <v>63</v>
      </c>
      <c r="AA498" s="8886"/>
      <c r="AB498" s="8734" t="s">
        <v>63</v>
      </c>
      <c r="AC498" s="666">
        <v>392.96</v>
      </c>
      <c r="AD498" s="666"/>
      <c r="AE498" s="1181"/>
      <c r="AF498" s="8886">
        <v>45292</v>
      </c>
      <c r="AG498" s="8734" t="s">
        <v>63</v>
      </c>
      <c r="AH498" s="8905">
        <v>45657</v>
      </c>
      <c r="AI498" s="8734" t="s">
        <v>63</v>
      </c>
      <c r="AJ498" s="1358"/>
      <c r="AK49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98" s="1562" t="e">
        <f ca="1">STRCHECKDATE(V499:AJ499)</f>
        <v>#NAME?</v>
      </c>
      <c r="AM498" s="1544"/>
      <c r="AN498" s="1544" t="str">
        <f t="shared" si="8"/>
        <v>Тариф, руб. за 1 куб. метр без НДС</v>
      </c>
      <c r="AO498" s="1544"/>
      <c r="AP498" s="1544"/>
    </row>
    <row r="499" spans="1:42" s="1818" customFormat="1" ht="14.25" customHeight="1">
      <c r="A499" s="1284"/>
      <c r="B499" s="1284"/>
      <c r="C499" s="1284"/>
      <c r="D499" s="1284"/>
      <c r="E499" s="8884"/>
      <c r="F499" s="8884"/>
      <c r="G499" s="8884"/>
      <c r="H499" s="8884"/>
      <c r="I499" s="8904"/>
      <c r="J499" s="8904" t="str">
        <f>I492&amp;".1"</f>
        <v>29.1.1.1.1</v>
      </c>
      <c r="K499" s="8881"/>
      <c r="L499" s="1290"/>
      <c r="M499" s="1696"/>
      <c r="N499" s="1696"/>
      <c r="O499" s="1696"/>
      <c r="P499" s="8882"/>
      <c r="Q499" s="8882"/>
      <c r="R499" s="278"/>
      <c r="S499" s="1815"/>
      <c r="T499" s="214"/>
      <c r="U499" s="214"/>
      <c r="V499" s="246"/>
      <c r="W499" s="246"/>
      <c r="X499" s="250" t="str">
        <f>Y498&amp;"-"&amp;AA498</f>
        <v>-</v>
      </c>
      <c r="Y499" s="8887"/>
      <c r="Z499" s="8734"/>
      <c r="AA499" s="8887"/>
      <c r="AB499" s="8734"/>
      <c r="AC499" s="246"/>
      <c r="AD499" s="246"/>
      <c r="AE499" s="250" t="str">
        <f>AF498&amp;"-"&amp;AH498</f>
        <v>45292-45657</v>
      </c>
      <c r="AF499" s="8887"/>
      <c r="AG499" s="8734"/>
      <c r="AH499" s="8906"/>
      <c r="AI499" s="8734"/>
      <c r="AJ499" s="1359"/>
      <c r="AK499" s="8941"/>
      <c r="AL499" s="1562"/>
      <c r="AM499" s="1544"/>
      <c r="AN499" s="1544" t="str">
        <f t="shared" si="8"/>
        <v/>
      </c>
      <c r="AO499" s="1544"/>
      <c r="AP499" s="1544"/>
    </row>
    <row r="500" spans="1:42" s="1818" customFormat="1" ht="21" customHeight="1">
      <c r="A500" s="1284"/>
      <c r="B500" s="1284"/>
      <c r="C500" s="1284"/>
      <c r="D500" s="1284"/>
      <c r="E500" s="8884"/>
      <c r="F500" s="8884"/>
      <c r="G500" s="8884"/>
      <c r="H500" s="8884"/>
      <c r="I500" s="8904"/>
      <c r="J500" s="8881" t="str">
        <f>I492&amp;".1"</f>
        <v>29.1.1.1.1</v>
      </c>
      <c r="K500" s="1284"/>
      <c r="L500" s="1290"/>
      <c r="M500" s="1696"/>
      <c r="N500" s="1696"/>
      <c r="O500" s="1696"/>
      <c r="P500" s="8882"/>
      <c r="Q500" s="8882"/>
      <c r="R500" s="277"/>
      <c r="S500" s="3889"/>
      <c r="T500" s="3890" t="s">
        <v>948</v>
      </c>
      <c r="U500" s="3891"/>
      <c r="V500" s="3892"/>
      <c r="W500" s="3893"/>
      <c r="X500" s="3894"/>
      <c r="Y500" s="3895"/>
      <c r="Z500" s="3896"/>
      <c r="AA500" s="3897"/>
      <c r="AB500" s="3898"/>
      <c r="AC500" s="3899"/>
      <c r="AD500" s="3900"/>
      <c r="AE500" s="3901"/>
      <c r="AF500" s="3902"/>
      <c r="AG500" s="3903"/>
      <c r="AH500" s="3904"/>
      <c r="AI500" s="3905"/>
      <c r="AJ500" s="3906"/>
      <c r="AK500" s="1182" t="s">
        <v>949</v>
      </c>
      <c r="AL500" s="1562"/>
      <c r="AM500" s="1544"/>
      <c r="AN500" s="1544" t="str">
        <f t="shared" si="8"/>
        <v>Добавить значение признака дифференциации</v>
      </c>
      <c r="AO500" s="1544"/>
      <c r="AP500" s="1544"/>
    </row>
    <row r="501" spans="1:42" s="1818" customFormat="1" ht="21" customHeight="1">
      <c r="A501" s="1284"/>
      <c r="B501" s="1284"/>
      <c r="C501" s="1284"/>
      <c r="D501" s="1284"/>
      <c r="E501" s="8884" t="s">
        <v>451</v>
      </c>
      <c r="F501" s="8884"/>
      <c r="G501" s="8884"/>
      <c r="H501" s="8884"/>
      <c r="I501" s="8881"/>
      <c r="J501" s="1284"/>
      <c r="K501" s="1284"/>
      <c r="L501" s="1290"/>
      <c r="M501" s="1696"/>
      <c r="N501" s="1696"/>
      <c r="O501" s="1696"/>
      <c r="P501" s="8882"/>
      <c r="Q501" s="1811"/>
      <c r="R501" s="277"/>
      <c r="S501" s="3907"/>
      <c r="T501" s="3908" t="s">
        <v>877</v>
      </c>
      <c r="U501" s="3909"/>
      <c r="V501" s="3910"/>
      <c r="W501" s="3911"/>
      <c r="X501" s="3912"/>
      <c r="Y501" s="3913"/>
      <c r="Z501" s="3914"/>
      <c r="AA501" s="3915"/>
      <c r="AB501" s="3916"/>
      <c r="AC501" s="3917"/>
      <c r="AD501" s="3918"/>
      <c r="AE501" s="3919"/>
      <c r="AF501" s="3920"/>
      <c r="AG501" s="3921"/>
      <c r="AH501" s="3922"/>
      <c r="AI501" s="3923"/>
      <c r="AJ501" s="3924"/>
      <c r="AK501" s="3925"/>
      <c r="AL501" s="1562"/>
      <c r="AM501" s="1544"/>
      <c r="AN501" s="1544" t="str">
        <f t="shared" si="8"/>
        <v>Добавить группу потребителей</v>
      </c>
      <c r="AO501" s="1544"/>
      <c r="AP501" s="1544"/>
    </row>
    <row r="502" spans="1:42" s="1818" customFormat="1" ht="21" customHeight="1">
      <c r="A502" s="1284"/>
      <c r="B502" s="1284"/>
      <c r="C502" s="1284"/>
      <c r="D502" s="1284"/>
      <c r="E502" s="8884" t="s">
        <v>451</v>
      </c>
      <c r="F502" s="8884"/>
      <c r="G502" s="8884"/>
      <c r="H502" s="8883"/>
      <c r="I502" s="1284"/>
      <c r="J502" s="1284"/>
      <c r="K502" s="1284"/>
      <c r="L502" s="1290"/>
      <c r="M502" s="1286"/>
      <c r="N502" s="1286"/>
      <c r="O502" s="1287"/>
      <c r="P502" s="1742"/>
      <c r="Q502" s="299"/>
      <c r="R502" s="276"/>
      <c r="S502" s="3926"/>
      <c r="T502" s="3927" t="s">
        <v>950</v>
      </c>
      <c r="U502" s="3928"/>
      <c r="V502" s="3929"/>
      <c r="W502" s="3930"/>
      <c r="X502" s="3931"/>
      <c r="Y502" s="3932"/>
      <c r="Z502" s="3933"/>
      <c r="AA502" s="3934"/>
      <c r="AB502" s="3935"/>
      <c r="AC502" s="3936"/>
      <c r="AD502" s="3937"/>
      <c r="AE502" s="3938"/>
      <c r="AF502" s="3939"/>
      <c r="AG502" s="3940"/>
      <c r="AH502" s="3941"/>
      <c r="AI502" s="3942"/>
      <c r="AJ502" s="3943"/>
      <c r="AK502" s="3944"/>
      <c r="AL502" s="1562"/>
      <c r="AM502" s="1544"/>
      <c r="AN502" s="1544" t="str">
        <f t="shared" si="8"/>
        <v>Добавить наименование признака дифференциации</v>
      </c>
      <c r="AO502" s="1544"/>
      <c r="AP502" s="1544"/>
    </row>
    <row r="503" spans="1:42" s="541" customFormat="1" ht="14.25" customHeight="1">
      <c r="A503" s="1265"/>
      <c r="B503" s="1265"/>
      <c r="C503" s="1265"/>
      <c r="D503" s="1265"/>
      <c r="E503" s="8884" t="s">
        <v>451</v>
      </c>
      <c r="F503" s="8883"/>
      <c r="G503" s="1265"/>
      <c r="H503" s="1265"/>
      <c r="I503" s="1265"/>
      <c r="J503" s="1265"/>
      <c r="K503" s="1265"/>
      <c r="L503" s="1466"/>
      <c r="M503" s="1244"/>
      <c r="N503" s="1244"/>
      <c r="O503" s="1562"/>
      <c r="P503" s="1239"/>
      <c r="Q503" s="1266"/>
      <c r="R503" s="1239"/>
      <c r="S503" s="1245"/>
      <c r="T503" s="1248" t="s">
        <v>314</v>
      </c>
      <c r="U503" s="1247"/>
      <c r="V503" s="1247"/>
      <c r="W503" s="1247"/>
      <c r="X503" s="1247"/>
      <c r="Y503" s="1247"/>
      <c r="Z503" s="1247"/>
      <c r="AA503" s="1247"/>
      <c r="AB503" s="1247"/>
      <c r="AC503" s="1247"/>
      <c r="AD503" s="1247"/>
      <c r="AE503" s="1247"/>
      <c r="AF503" s="1247"/>
      <c r="AG503" s="1247"/>
      <c r="AH503" s="1247"/>
      <c r="AI503" s="1247"/>
      <c r="AJ503" s="1247"/>
      <c r="AK503" s="1247"/>
      <c r="AL503" s="1562"/>
      <c r="AM503" s="1544"/>
      <c r="AN503" s="1544" t="str">
        <f t="shared" si="8"/>
        <v>Добавить централизованную систему для дифференциации</v>
      </c>
      <c r="AO503" s="1544"/>
      <c r="AP503" s="1544"/>
    </row>
    <row r="504" spans="1:42" s="541" customFormat="1" ht="14.25" customHeight="1">
      <c r="A504" s="1265"/>
      <c r="B504" s="1265"/>
      <c r="C504" s="1265"/>
      <c r="D504" s="1265"/>
      <c r="E504" s="8883" t="s">
        <v>451</v>
      </c>
      <c r="F504" s="1265"/>
      <c r="G504" s="1265"/>
      <c r="H504" s="1265"/>
      <c r="I504" s="1265"/>
      <c r="J504" s="1265"/>
      <c r="K504" s="1265"/>
      <c r="L504" s="1466"/>
      <c r="M504" s="1244"/>
      <c r="N504" s="1244"/>
      <c r="O504" s="1562"/>
      <c r="P504" s="1239"/>
      <c r="Q504" s="1266"/>
      <c r="R504" s="1239"/>
      <c r="S504" s="1245"/>
      <c r="T504" s="1248" t="s">
        <v>315</v>
      </c>
      <c r="U504" s="1247"/>
      <c r="V504" s="1247"/>
      <c r="W504" s="1247"/>
      <c r="X504" s="1247"/>
      <c r="Y504" s="1247"/>
      <c r="Z504" s="1247"/>
      <c r="AA504" s="1247"/>
      <c r="AB504" s="1247"/>
      <c r="AC504" s="1247"/>
      <c r="AD504" s="1247"/>
      <c r="AE504" s="1247"/>
      <c r="AF504" s="1247"/>
      <c r="AG504" s="1247"/>
      <c r="AH504" s="1247"/>
      <c r="AI504" s="1247"/>
      <c r="AJ504" s="1247"/>
      <c r="AK504" s="1247"/>
      <c r="AL504" s="1562"/>
      <c r="AM504" s="1544"/>
      <c r="AN504" s="1544" t="str">
        <f t="shared" si="8"/>
        <v>Добавить территорию для дифференциации</v>
      </c>
      <c r="AO504" s="1544"/>
      <c r="AP504" s="1544"/>
    </row>
    <row r="505" spans="1:42" s="1818" customFormat="1" ht="23.25" customHeight="1">
      <c r="A505" s="1284" t="s">
        <v>465</v>
      </c>
      <c r="B505" s="1284"/>
      <c r="C505" s="1284"/>
      <c r="D505" s="1284"/>
      <c r="E505" s="8883" t="s">
        <v>463</v>
      </c>
      <c r="F505" s="1284"/>
      <c r="G505" s="1284"/>
      <c r="H505" s="1284"/>
      <c r="I505" s="1284"/>
      <c r="J505" s="1284"/>
      <c r="K505" s="1284"/>
      <c r="L505" s="1290"/>
      <c r="M505" s="1286"/>
      <c r="N505" s="1286"/>
      <c r="O505" s="1286"/>
      <c r="P505" s="1812"/>
      <c r="Q505" s="1742"/>
      <c r="R505" s="276"/>
      <c r="S505" s="1810" t="str">
        <f>INDEX(PT_DIFFERENTIATION_NUM_NTAR,MATCH(A505,PT_DIFFERENTIATION_NTAR_ID,0))</f>
        <v>30</v>
      </c>
      <c r="T505" s="1440" t="s">
        <v>211</v>
      </c>
      <c r="U505" s="214"/>
      <c r="V505" s="8869"/>
      <c r="W505" s="8870"/>
      <c r="X505" s="8870"/>
      <c r="Y505" s="8870"/>
      <c r="Z505" s="8870"/>
      <c r="AA505" s="8870"/>
      <c r="AB505" s="8871"/>
      <c r="AC505" s="8869" t="str">
        <f>INDEX(PT_DIFFERENTIATION_NTAR,MATCH(A505,PT_DIFFERENTIATION_NTAR_ID,0))</f>
        <v>Подвоз воды потребителям села Падинского</v>
      </c>
      <c r="AD505" s="8870"/>
      <c r="AE505" s="8870"/>
      <c r="AF505" s="8870"/>
      <c r="AG505" s="8870"/>
      <c r="AH505" s="8870"/>
      <c r="AI505" s="8870"/>
      <c r="AJ505" s="8871"/>
      <c r="AK50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505" s="1562"/>
      <c r="AM505" s="1544"/>
      <c r="AN505" s="1544" t="str">
        <f t="shared" si="8"/>
        <v>Наименование тарифа</v>
      </c>
      <c r="AO505" s="1544"/>
      <c r="AP505" s="1544"/>
    </row>
    <row r="506" spans="1:42" s="1818" customFormat="1" ht="23.25" customHeight="1">
      <c r="A506" s="1284"/>
      <c r="B506" s="1284" t="s">
        <v>466</v>
      </c>
      <c r="C506" s="1284"/>
      <c r="D506" s="1284"/>
      <c r="E506" s="8884" t="s">
        <v>457</v>
      </c>
      <c r="F506" s="8883">
        <v>1</v>
      </c>
      <c r="G506" s="1284"/>
      <c r="H506" s="1284"/>
      <c r="I506" s="1284"/>
      <c r="J506" s="1284"/>
      <c r="K506" s="1284"/>
      <c r="L506" s="1290"/>
      <c r="M506" s="1286"/>
      <c r="N506" s="1286"/>
      <c r="O506" s="1286"/>
      <c r="P506" s="1807"/>
      <c r="Q506" s="273"/>
      <c r="R506" s="274"/>
      <c r="S506" s="1810" t="str">
        <f>INDEX(PT_DIFFERENTIATION_NUM_TER,MATCH(B506,PT_DIFFERENTIATION_TER_ID,0))</f>
        <v>30.1</v>
      </c>
      <c r="T506" s="1437" t="s">
        <v>862</v>
      </c>
      <c r="U506" s="214"/>
      <c r="V506" s="8869"/>
      <c r="W506" s="8870"/>
      <c r="X506" s="8870"/>
      <c r="Y506" s="8870"/>
      <c r="Z506" s="8870"/>
      <c r="AA506" s="8870"/>
      <c r="AB506" s="8871"/>
      <c r="AC506" s="8869" t="str">
        <f>INDEX(PT_DIFFERENTIATION_TER,MATCH(B506,PT_DIFFERENTIATION_TER_ID,0))</f>
        <v>Территория 8</v>
      </c>
      <c r="AD506" s="8870"/>
      <c r="AE506" s="8870"/>
      <c r="AF506" s="8870"/>
      <c r="AG506" s="8870"/>
      <c r="AH506" s="8870"/>
      <c r="AI506" s="8870"/>
      <c r="AJ506" s="8871"/>
      <c r="AK506" s="1182" t="s">
        <v>863</v>
      </c>
      <c r="AL506" s="1562"/>
      <c r="AM506" s="1544"/>
      <c r="AN506" s="1544" t="str">
        <f t="shared" si="8"/>
        <v>Территория действия тарифа</v>
      </c>
      <c r="AO506" s="1544"/>
      <c r="AP506" s="1544"/>
    </row>
    <row r="507" spans="1:42" s="1818" customFormat="1" ht="23.25" customHeight="1">
      <c r="A507" s="1284"/>
      <c r="B507" s="1284"/>
      <c r="C507" s="1284" t="s">
        <v>467</v>
      </c>
      <c r="D507" s="1284"/>
      <c r="E507" s="8884" t="s">
        <v>457</v>
      </c>
      <c r="F507" s="8884"/>
      <c r="G507" s="8883">
        <v>1</v>
      </c>
      <c r="H507" s="1284"/>
      <c r="I507" s="1284"/>
      <c r="J507" s="1284"/>
      <c r="K507" s="1284"/>
      <c r="L507" s="1290"/>
      <c r="M507" s="1286"/>
      <c r="N507" s="1286"/>
      <c r="O507" s="1286"/>
      <c r="P507" s="275"/>
      <c r="Q507" s="273"/>
      <c r="R507" s="274"/>
      <c r="S507" s="1810" t="str">
        <f>INDEX(PT_DIFFERENTIATION_NUM_CS,MATCH(C507,PT_DIFFERENTIATION_CS_ID,0))</f>
        <v>30.1.1</v>
      </c>
      <c r="T507" s="225" t="s">
        <v>943</v>
      </c>
      <c r="U507" s="214"/>
      <c r="V507" s="8869"/>
      <c r="W507" s="8870"/>
      <c r="X507" s="8870"/>
      <c r="Y507" s="8870"/>
      <c r="Z507" s="8870"/>
      <c r="AA507" s="8870"/>
      <c r="AB507" s="8871"/>
      <c r="AC507" s="8869" t="str">
        <f>INDEX(PT_DIFFERENTIATION_CS,MATCH(C507,PT_DIFFERENTIATION_CS_ID,0))</f>
        <v>без дифференциации</v>
      </c>
      <c r="AD507" s="8870"/>
      <c r="AE507" s="8870"/>
      <c r="AF507" s="8870"/>
      <c r="AG507" s="8870"/>
      <c r="AH507" s="8870"/>
      <c r="AI507" s="8870"/>
      <c r="AJ507" s="8871"/>
      <c r="AK507" s="1182" t="s">
        <v>944</v>
      </c>
      <c r="AL507" s="1562"/>
      <c r="AM507" s="1544"/>
      <c r="AN507" s="1544" t="str">
        <f t="shared" si="8"/>
        <v>Наименование централизованной системы холодного водоснабжения</v>
      </c>
      <c r="AO507" s="1544"/>
      <c r="AP507" s="1544"/>
    </row>
    <row r="508" spans="1:42" s="1818" customFormat="1" ht="23.25" customHeight="1">
      <c r="A508" s="1284"/>
      <c r="B508" s="1284"/>
      <c r="C508" s="1284"/>
      <c r="D508" s="1284"/>
      <c r="E508" s="8884" t="s">
        <v>457</v>
      </c>
      <c r="F508" s="8884"/>
      <c r="G508" s="8884"/>
      <c r="H508" s="8884"/>
      <c r="I508" s="8881" t="str">
        <f>S507&amp;".1"</f>
        <v>30.1.1.1</v>
      </c>
      <c r="J508" s="1284"/>
      <c r="K508" s="1284"/>
      <c r="L508" s="1290"/>
      <c r="M508" s="1696"/>
      <c r="N508" s="1696"/>
      <c r="O508" s="1696"/>
      <c r="P508" s="8882">
        <v>1</v>
      </c>
      <c r="Q508" s="1811"/>
      <c r="R508" s="277"/>
      <c r="S508" s="1810" t="str">
        <f>$I508</f>
        <v>30.1.1.1</v>
      </c>
      <c r="T508" s="200" t="s">
        <v>945</v>
      </c>
      <c r="U508" s="214"/>
      <c r="V508" s="8942"/>
      <c r="W508" s="8943"/>
      <c r="X508" s="8943"/>
      <c r="Y508" s="8943"/>
      <c r="Z508" s="8943"/>
      <c r="AA508" s="8943"/>
      <c r="AB508" s="8944"/>
      <c r="AC508" s="8945"/>
      <c r="AD508" s="8946"/>
      <c r="AE508" s="8946"/>
      <c r="AF508" s="8946"/>
      <c r="AG508" s="8946"/>
      <c r="AH508" s="8946"/>
      <c r="AI508" s="8946"/>
      <c r="AJ508" s="8947"/>
      <c r="AK508" s="1182" t="s">
        <v>946</v>
      </c>
      <c r="AL508" s="1562"/>
      <c r="AM508" s="1544"/>
      <c r="AN508" s="1544" t="str">
        <f t="shared" si="8"/>
        <v>Наименование признака дифференциации</v>
      </c>
      <c r="AO508" s="1544"/>
      <c r="AP508" s="1544"/>
    </row>
    <row r="509" spans="1:42" s="1818" customFormat="1" ht="23.25" customHeight="1">
      <c r="A509" s="1284"/>
      <c r="B509" s="1284"/>
      <c r="C509" s="1284"/>
      <c r="D509" s="1284"/>
      <c r="E509" s="8884" t="s">
        <v>457</v>
      </c>
      <c r="F509" s="8884"/>
      <c r="G509" s="8884"/>
      <c r="H509" s="8884"/>
      <c r="I509" s="8904"/>
      <c r="J509" s="8881" t="str">
        <f>I508&amp;".1"</f>
        <v>30.1.1.1.1</v>
      </c>
      <c r="K509" s="1284"/>
      <c r="L509" s="1290" t="s">
        <v>871</v>
      </c>
      <c r="M509" s="1696"/>
      <c r="N509" s="1696"/>
      <c r="O509" s="1696"/>
      <c r="P509" s="8882"/>
      <c r="Q509" s="8882">
        <v>1</v>
      </c>
      <c r="R509" s="278"/>
      <c r="S509" s="1810" t="str">
        <f>$J509</f>
        <v>30.1.1.1.1</v>
      </c>
      <c r="T509" s="201" t="s">
        <v>872</v>
      </c>
      <c r="U509" s="214"/>
      <c r="V509" s="8872"/>
      <c r="W509" s="8873"/>
      <c r="X509" s="8873"/>
      <c r="Y509" s="8873"/>
      <c r="Z509" s="8873"/>
      <c r="AA509" s="8873"/>
      <c r="AB509" s="8874"/>
      <c r="AC509" s="8872" t="s">
        <v>961</v>
      </c>
      <c r="AD509" s="8873"/>
      <c r="AE509" s="8873"/>
      <c r="AF509" s="8873"/>
      <c r="AG509" s="8873"/>
      <c r="AH509" s="8873"/>
      <c r="AI509" s="8873"/>
      <c r="AJ509" s="8874"/>
      <c r="AK509" s="1231" t="s">
        <v>947</v>
      </c>
      <c r="AL509" s="1562"/>
      <c r="AM509" s="1544"/>
      <c r="AN509" s="1544" t="str">
        <f t="shared" si="8"/>
        <v>Группа потребителей</v>
      </c>
      <c r="AO509" s="1544"/>
      <c r="AP509" s="1544"/>
    </row>
    <row r="510" spans="1:42" s="1818" customFormat="1" ht="23.25" customHeight="1">
      <c r="A510" s="1284"/>
      <c r="B510" s="1284"/>
      <c r="C510" s="1284"/>
      <c r="D510" s="1284"/>
      <c r="E510" s="8884" t="s">
        <v>457</v>
      </c>
      <c r="F510" s="8884"/>
      <c r="G510" s="8884"/>
      <c r="H510" s="8884"/>
      <c r="I510" s="8904"/>
      <c r="J510" s="8904"/>
      <c r="K510" s="8881" t="str">
        <f>J509&amp;".1"</f>
        <v>30.1.1.1.1.1</v>
      </c>
      <c r="L510" s="1290"/>
      <c r="M510" s="1696"/>
      <c r="N510" s="1696"/>
      <c r="O510" s="1696"/>
      <c r="P510" s="8882"/>
      <c r="Q510" s="8882"/>
      <c r="R510" s="278">
        <v>1</v>
      </c>
      <c r="S510" s="1810" t="str">
        <f>$K510</f>
        <v>30.1.1.1.1.1</v>
      </c>
      <c r="T510" s="1357" t="s">
        <v>962</v>
      </c>
      <c r="U510" s="214"/>
      <c r="V510" s="666"/>
      <c r="W510" s="666"/>
      <c r="X510" s="1181"/>
      <c r="Y510" s="8886"/>
      <c r="Z510" s="8734" t="s">
        <v>63</v>
      </c>
      <c r="AA510" s="8886"/>
      <c r="AB510" s="8734" t="s">
        <v>63</v>
      </c>
      <c r="AC510" s="666">
        <v>535.29999999999995</v>
      </c>
      <c r="AD510" s="666"/>
      <c r="AE510" s="1181"/>
      <c r="AF510" s="8886">
        <v>45292</v>
      </c>
      <c r="AG510" s="8734" t="s">
        <v>63</v>
      </c>
      <c r="AH510" s="8905">
        <v>45657</v>
      </c>
      <c r="AI510" s="8734" t="s">
        <v>63</v>
      </c>
      <c r="AJ510" s="1358"/>
      <c r="AK51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10" s="1562" t="e">
        <f ca="1">STRCHECKDATE(V511:AJ511)</f>
        <v>#NAME?</v>
      </c>
      <c r="AM510" s="1544"/>
      <c r="AN510" s="1544" t="str">
        <f t="shared" si="8"/>
        <v>Тариф для населения, руб. за 1 куб. метр с НДС</v>
      </c>
      <c r="AO510" s="1544"/>
      <c r="AP510" s="1544"/>
    </row>
    <row r="511" spans="1:42" s="1818" customFormat="1" ht="14.25" customHeight="1">
      <c r="A511" s="1284"/>
      <c r="B511" s="1284"/>
      <c r="C511" s="1284"/>
      <c r="D511" s="1284"/>
      <c r="E511" s="8884" t="s">
        <v>457</v>
      </c>
      <c r="F511" s="8884"/>
      <c r="G511" s="8884"/>
      <c r="H511" s="8884"/>
      <c r="I511" s="8904"/>
      <c r="J511" s="8904"/>
      <c r="K511" s="8881"/>
      <c r="L511" s="1290"/>
      <c r="M511" s="1696"/>
      <c r="N511" s="1696"/>
      <c r="O511" s="1696"/>
      <c r="P511" s="8882"/>
      <c r="Q511" s="8882"/>
      <c r="R511" s="278"/>
      <c r="S511" s="1815"/>
      <c r="T511" s="214"/>
      <c r="U511" s="214"/>
      <c r="V511" s="246"/>
      <c r="W511" s="246"/>
      <c r="X511" s="250" t="str">
        <f>Y510&amp;"-"&amp;AA510</f>
        <v>-</v>
      </c>
      <c r="Y511" s="8887"/>
      <c r="Z511" s="8734"/>
      <c r="AA511" s="8887"/>
      <c r="AB511" s="8734"/>
      <c r="AC511" s="246"/>
      <c r="AD511" s="246"/>
      <c r="AE511" s="250" t="str">
        <f>AF510&amp;"-"&amp;AH510</f>
        <v>45292-45657</v>
      </c>
      <c r="AF511" s="8887"/>
      <c r="AG511" s="8734"/>
      <c r="AH511" s="8906"/>
      <c r="AI511" s="8734"/>
      <c r="AJ511" s="1359"/>
      <c r="AK511" s="8941"/>
      <c r="AL511" s="1562"/>
      <c r="AM511" s="1544"/>
      <c r="AN511" s="1544" t="str">
        <f t="shared" si="8"/>
        <v/>
      </c>
      <c r="AO511" s="1544"/>
      <c r="AP511" s="1544"/>
    </row>
    <row r="512" spans="1:42" s="1818" customFormat="1" ht="21" customHeight="1">
      <c r="A512" s="1284"/>
      <c r="B512" s="1284"/>
      <c r="C512" s="1284"/>
      <c r="D512" s="1284"/>
      <c r="E512" s="8884" t="s">
        <v>457</v>
      </c>
      <c r="F512" s="8884"/>
      <c r="G512" s="8884"/>
      <c r="H512" s="8884"/>
      <c r="I512" s="8904"/>
      <c r="J512" s="8881"/>
      <c r="K512" s="1284"/>
      <c r="L512" s="1290"/>
      <c r="M512" s="1696"/>
      <c r="N512" s="1696"/>
      <c r="O512" s="1696"/>
      <c r="P512" s="8882"/>
      <c r="Q512" s="8882"/>
      <c r="R512" s="277"/>
      <c r="S512" s="3945"/>
      <c r="T512" s="3946" t="s">
        <v>948</v>
      </c>
      <c r="U512" s="3947"/>
      <c r="V512" s="3948"/>
      <c r="W512" s="3949"/>
      <c r="X512" s="3950"/>
      <c r="Y512" s="3951"/>
      <c r="Z512" s="3952"/>
      <c r="AA512" s="3953"/>
      <c r="AB512" s="3954"/>
      <c r="AC512" s="3955"/>
      <c r="AD512" s="3956"/>
      <c r="AE512" s="3957"/>
      <c r="AF512" s="3958"/>
      <c r="AG512" s="3959"/>
      <c r="AH512" s="3960"/>
      <c r="AI512" s="3961"/>
      <c r="AJ512" s="3962"/>
      <c r="AK512" s="1182" t="s">
        <v>949</v>
      </c>
      <c r="AL512" s="1562"/>
      <c r="AM512" s="1544"/>
      <c r="AN512" s="1544" t="str">
        <f t="shared" si="8"/>
        <v>Добавить значение признака дифференциации</v>
      </c>
      <c r="AO512" s="1544"/>
      <c r="AP512" s="1544"/>
    </row>
    <row r="513" spans="1:42" s="1818" customFormat="1" ht="23.25" customHeight="1">
      <c r="A513" s="1284"/>
      <c r="B513" s="1284"/>
      <c r="C513" s="1284"/>
      <c r="D513" s="1284"/>
      <c r="E513" s="8884"/>
      <c r="F513" s="8884"/>
      <c r="G513" s="8884"/>
      <c r="H513" s="8884"/>
      <c r="I513" s="8904"/>
      <c r="J513" s="8881" t="str">
        <f>I508&amp;".2"</f>
        <v>30.1.1.1.2</v>
      </c>
      <c r="K513" s="1284"/>
      <c r="L513" s="1290" t="s">
        <v>871</v>
      </c>
      <c r="M513" s="1696"/>
      <c r="N513" s="1696"/>
      <c r="O513" s="1696"/>
      <c r="P513" s="8882"/>
      <c r="Q513" s="8948" t="s">
        <v>100</v>
      </c>
      <c r="R513" s="278"/>
      <c r="S513" s="1810" t="str">
        <f>$J513</f>
        <v>30.1.1.1.2</v>
      </c>
      <c r="T513" s="201" t="s">
        <v>872</v>
      </c>
      <c r="U513" s="214"/>
      <c r="V513" s="8872"/>
      <c r="W513" s="8873"/>
      <c r="X513" s="8873"/>
      <c r="Y513" s="8873"/>
      <c r="Z513" s="8873"/>
      <c r="AA513" s="8873"/>
      <c r="AB513" s="8874"/>
      <c r="AC513" s="8872" t="s">
        <v>963</v>
      </c>
      <c r="AD513" s="8873"/>
      <c r="AE513" s="8873"/>
      <c r="AF513" s="8873"/>
      <c r="AG513" s="8873"/>
      <c r="AH513" s="8873"/>
      <c r="AI513" s="8873"/>
      <c r="AJ513" s="8874"/>
      <c r="AK513" s="1231" t="s">
        <v>947</v>
      </c>
      <c r="AL513" s="1562"/>
      <c r="AM513" s="1544"/>
      <c r="AN513" s="1544" t="str">
        <f t="shared" si="8"/>
        <v>Группа потребителей</v>
      </c>
      <c r="AO513" s="1544"/>
      <c r="AP513" s="1544"/>
    </row>
    <row r="514" spans="1:42" s="1818" customFormat="1" ht="23.25" customHeight="1">
      <c r="A514" s="1284"/>
      <c r="B514" s="1284"/>
      <c r="C514" s="1284"/>
      <c r="D514" s="1284"/>
      <c r="E514" s="8884"/>
      <c r="F514" s="8884"/>
      <c r="G514" s="8884"/>
      <c r="H514" s="8884"/>
      <c r="I514" s="8904"/>
      <c r="J514" s="8904" t="str">
        <f>I508&amp;".1"</f>
        <v>30.1.1.1.1</v>
      </c>
      <c r="K514" s="8881" t="str">
        <f>J513&amp;".1"</f>
        <v>30.1.1.1.2.1</v>
      </c>
      <c r="L514" s="1290"/>
      <c r="M514" s="1696"/>
      <c r="N514" s="1696"/>
      <c r="O514" s="1696"/>
      <c r="P514" s="8882"/>
      <c r="Q514" s="8882"/>
      <c r="R514" s="278">
        <v>1</v>
      </c>
      <c r="S514" s="1810" t="str">
        <f>$K514</f>
        <v>30.1.1.1.2.1</v>
      </c>
      <c r="T514" s="1357" t="s">
        <v>964</v>
      </c>
      <c r="U514" s="214"/>
      <c r="V514" s="666"/>
      <c r="W514" s="666"/>
      <c r="X514" s="1181"/>
      <c r="Y514" s="8886"/>
      <c r="Z514" s="8734" t="s">
        <v>63</v>
      </c>
      <c r="AA514" s="8886"/>
      <c r="AB514" s="8734" t="s">
        <v>63</v>
      </c>
      <c r="AC514" s="666">
        <v>446.08</v>
      </c>
      <c r="AD514" s="666"/>
      <c r="AE514" s="1181"/>
      <c r="AF514" s="8886">
        <v>45292</v>
      </c>
      <c r="AG514" s="8734" t="s">
        <v>63</v>
      </c>
      <c r="AH514" s="8905">
        <v>45657</v>
      </c>
      <c r="AI514" s="8734" t="s">
        <v>63</v>
      </c>
      <c r="AJ514" s="1358"/>
      <c r="AK51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14" s="1562" t="e">
        <f ca="1">STRCHECKDATE(V515:AJ515)</f>
        <v>#NAME?</v>
      </c>
      <c r="AM514" s="1544"/>
      <c r="AN514" s="1544" t="str">
        <f t="shared" si="8"/>
        <v>Тариф, руб. за 1 куб. метр без НДС</v>
      </c>
      <c r="AO514" s="1544"/>
      <c r="AP514" s="1544"/>
    </row>
    <row r="515" spans="1:42" s="1818" customFormat="1" ht="14.25" customHeight="1">
      <c r="A515" s="1284"/>
      <c r="B515" s="1284"/>
      <c r="C515" s="1284"/>
      <c r="D515" s="1284"/>
      <c r="E515" s="8884"/>
      <c r="F515" s="8884"/>
      <c r="G515" s="8884"/>
      <c r="H515" s="8884"/>
      <c r="I515" s="8904"/>
      <c r="J515" s="8904" t="str">
        <f>I508&amp;".1"</f>
        <v>30.1.1.1.1</v>
      </c>
      <c r="K515" s="8881"/>
      <c r="L515" s="1290"/>
      <c r="M515" s="1696"/>
      <c r="N515" s="1696"/>
      <c r="O515" s="1696"/>
      <c r="P515" s="8882"/>
      <c r="Q515" s="8882"/>
      <c r="R515" s="278"/>
      <c r="S515" s="1815"/>
      <c r="T515" s="214"/>
      <c r="U515" s="214"/>
      <c r="V515" s="246"/>
      <c r="W515" s="246"/>
      <c r="X515" s="250" t="str">
        <f>Y514&amp;"-"&amp;AA514</f>
        <v>-</v>
      </c>
      <c r="Y515" s="8887"/>
      <c r="Z515" s="8734"/>
      <c r="AA515" s="8887"/>
      <c r="AB515" s="8734"/>
      <c r="AC515" s="246"/>
      <c r="AD515" s="246"/>
      <c r="AE515" s="250" t="str">
        <f>AF514&amp;"-"&amp;AH514</f>
        <v>45292-45657</v>
      </c>
      <c r="AF515" s="8887"/>
      <c r="AG515" s="8734"/>
      <c r="AH515" s="8906"/>
      <c r="AI515" s="8734"/>
      <c r="AJ515" s="1359"/>
      <c r="AK515" s="8941"/>
      <c r="AL515" s="1562"/>
      <c r="AM515" s="1544"/>
      <c r="AN515" s="1544" t="str">
        <f t="shared" si="8"/>
        <v/>
      </c>
      <c r="AO515" s="1544"/>
      <c r="AP515" s="1544"/>
    </row>
    <row r="516" spans="1:42" s="1818" customFormat="1" ht="21" customHeight="1">
      <c r="A516" s="1284"/>
      <c r="B516" s="1284"/>
      <c r="C516" s="1284"/>
      <c r="D516" s="1284"/>
      <c r="E516" s="8884"/>
      <c r="F516" s="8884"/>
      <c r="G516" s="8884"/>
      <c r="H516" s="8884"/>
      <c r="I516" s="8904"/>
      <c r="J516" s="8881" t="str">
        <f>I508&amp;".1"</f>
        <v>30.1.1.1.1</v>
      </c>
      <c r="K516" s="1284"/>
      <c r="L516" s="1290"/>
      <c r="M516" s="1696"/>
      <c r="N516" s="1696"/>
      <c r="O516" s="1696"/>
      <c r="P516" s="8882"/>
      <c r="Q516" s="8882"/>
      <c r="R516" s="277"/>
      <c r="S516" s="3963"/>
      <c r="T516" s="3964" t="s">
        <v>948</v>
      </c>
      <c r="U516" s="3965"/>
      <c r="V516" s="3966"/>
      <c r="W516" s="3967"/>
      <c r="X516" s="3968"/>
      <c r="Y516" s="3969"/>
      <c r="Z516" s="3970"/>
      <c r="AA516" s="3971"/>
      <c r="AB516" s="3972"/>
      <c r="AC516" s="3973"/>
      <c r="AD516" s="3974"/>
      <c r="AE516" s="3975"/>
      <c r="AF516" s="3976"/>
      <c r="AG516" s="3977"/>
      <c r="AH516" s="3978"/>
      <c r="AI516" s="3979"/>
      <c r="AJ516" s="3980"/>
      <c r="AK516" s="1182" t="s">
        <v>949</v>
      </c>
      <c r="AL516" s="1562"/>
      <c r="AM516" s="1544"/>
      <c r="AN516" s="1544" t="str">
        <f t="shared" si="8"/>
        <v>Добавить значение признака дифференциации</v>
      </c>
      <c r="AO516" s="1544"/>
      <c r="AP516" s="1544"/>
    </row>
    <row r="517" spans="1:42" s="1818" customFormat="1" ht="21" customHeight="1">
      <c r="A517" s="1284"/>
      <c r="B517" s="1284"/>
      <c r="C517" s="1284"/>
      <c r="D517" s="1284"/>
      <c r="E517" s="8884" t="s">
        <v>457</v>
      </c>
      <c r="F517" s="8884"/>
      <c r="G517" s="8884"/>
      <c r="H517" s="8884"/>
      <c r="I517" s="8881"/>
      <c r="J517" s="1284"/>
      <c r="K517" s="1284"/>
      <c r="L517" s="1290"/>
      <c r="M517" s="1696"/>
      <c r="N517" s="1696"/>
      <c r="O517" s="1696"/>
      <c r="P517" s="8882"/>
      <c r="Q517" s="1811"/>
      <c r="R517" s="277"/>
      <c r="S517" s="3981"/>
      <c r="T517" s="3982" t="s">
        <v>877</v>
      </c>
      <c r="U517" s="3983"/>
      <c r="V517" s="3984"/>
      <c r="W517" s="3985"/>
      <c r="X517" s="3986"/>
      <c r="Y517" s="3987"/>
      <c r="Z517" s="3988"/>
      <c r="AA517" s="3989"/>
      <c r="AB517" s="3990"/>
      <c r="AC517" s="3991"/>
      <c r="AD517" s="3992"/>
      <c r="AE517" s="3993"/>
      <c r="AF517" s="3994"/>
      <c r="AG517" s="3995"/>
      <c r="AH517" s="3996"/>
      <c r="AI517" s="3997"/>
      <c r="AJ517" s="3998"/>
      <c r="AK517" s="3999"/>
      <c r="AL517" s="1562"/>
      <c r="AM517" s="1544"/>
      <c r="AN517" s="1544" t="str">
        <f t="shared" si="8"/>
        <v>Добавить группу потребителей</v>
      </c>
      <c r="AO517" s="1544"/>
      <c r="AP517" s="1544"/>
    </row>
    <row r="518" spans="1:42" s="1818" customFormat="1" ht="21" customHeight="1">
      <c r="A518" s="1284"/>
      <c r="B518" s="1284"/>
      <c r="C518" s="1284"/>
      <c r="D518" s="1284"/>
      <c r="E518" s="8884" t="s">
        <v>457</v>
      </c>
      <c r="F518" s="8884"/>
      <c r="G518" s="8884"/>
      <c r="H518" s="8883"/>
      <c r="I518" s="1284"/>
      <c r="J518" s="1284"/>
      <c r="K518" s="1284"/>
      <c r="L518" s="1290"/>
      <c r="M518" s="1286"/>
      <c r="N518" s="1286"/>
      <c r="O518" s="1287"/>
      <c r="P518" s="1742"/>
      <c r="Q518" s="299"/>
      <c r="R518" s="276"/>
      <c r="S518" s="4000"/>
      <c r="T518" s="4001" t="s">
        <v>950</v>
      </c>
      <c r="U518" s="4002"/>
      <c r="V518" s="4003"/>
      <c r="W518" s="4004"/>
      <c r="X518" s="4005"/>
      <c r="Y518" s="4006"/>
      <c r="Z518" s="4007"/>
      <c r="AA518" s="4008"/>
      <c r="AB518" s="4009"/>
      <c r="AC518" s="4010"/>
      <c r="AD518" s="4011"/>
      <c r="AE518" s="4012"/>
      <c r="AF518" s="4013"/>
      <c r="AG518" s="4014"/>
      <c r="AH518" s="4015"/>
      <c r="AI518" s="4016"/>
      <c r="AJ518" s="4017"/>
      <c r="AK518" s="4018"/>
      <c r="AL518" s="1562"/>
      <c r="AM518" s="1544"/>
      <c r="AN518" s="1544" t="str">
        <f t="shared" si="8"/>
        <v>Добавить наименование признака дифференциации</v>
      </c>
      <c r="AO518" s="1544"/>
      <c r="AP518" s="1544"/>
    </row>
    <row r="519" spans="1:42" s="541" customFormat="1" ht="14.25" customHeight="1">
      <c r="A519" s="1265"/>
      <c r="B519" s="1265"/>
      <c r="C519" s="1265"/>
      <c r="D519" s="1265"/>
      <c r="E519" s="8884" t="s">
        <v>457</v>
      </c>
      <c r="F519" s="8883"/>
      <c r="G519" s="1265"/>
      <c r="H519" s="1265"/>
      <c r="I519" s="1265"/>
      <c r="J519" s="1265"/>
      <c r="K519" s="1265"/>
      <c r="L519" s="1466"/>
      <c r="M519" s="1244"/>
      <c r="N519" s="1244"/>
      <c r="O519" s="1562"/>
      <c r="P519" s="1239"/>
      <c r="Q519" s="1266"/>
      <c r="R519" s="1239"/>
      <c r="S519" s="1245"/>
      <c r="T519" s="1248" t="s">
        <v>314</v>
      </c>
      <c r="U519" s="1247"/>
      <c r="V519" s="1247"/>
      <c r="W519" s="1247"/>
      <c r="X519" s="1247"/>
      <c r="Y519" s="1247"/>
      <c r="Z519" s="1247"/>
      <c r="AA519" s="1247"/>
      <c r="AB519" s="1247"/>
      <c r="AC519" s="1247"/>
      <c r="AD519" s="1247"/>
      <c r="AE519" s="1247"/>
      <c r="AF519" s="1247"/>
      <c r="AG519" s="1247"/>
      <c r="AH519" s="1247"/>
      <c r="AI519" s="1247"/>
      <c r="AJ519" s="1247"/>
      <c r="AK519" s="1247"/>
      <c r="AL519" s="1562"/>
      <c r="AM519" s="1544"/>
      <c r="AN519" s="1544" t="str">
        <f t="shared" si="8"/>
        <v>Добавить централизованную систему для дифференциации</v>
      </c>
      <c r="AO519" s="1544"/>
      <c r="AP519" s="1544"/>
    </row>
    <row r="520" spans="1:42" s="541" customFormat="1" ht="14.25" customHeight="1">
      <c r="A520" s="1265"/>
      <c r="B520" s="1265"/>
      <c r="C520" s="1265"/>
      <c r="D520" s="1265"/>
      <c r="E520" s="8883" t="s">
        <v>457</v>
      </c>
      <c r="F520" s="1265"/>
      <c r="G520" s="1265"/>
      <c r="H520" s="1265"/>
      <c r="I520" s="1265"/>
      <c r="J520" s="1265"/>
      <c r="K520" s="1265"/>
      <c r="L520" s="1466"/>
      <c r="M520" s="1244"/>
      <c r="N520" s="1244"/>
      <c r="O520" s="1562"/>
      <c r="P520" s="1239"/>
      <c r="Q520" s="1266"/>
      <c r="R520" s="1239"/>
      <c r="S520" s="1245"/>
      <c r="T520" s="1248" t="s">
        <v>315</v>
      </c>
      <c r="U520" s="1247"/>
      <c r="V520" s="1247"/>
      <c r="W520" s="1247"/>
      <c r="X520" s="1247"/>
      <c r="Y520" s="1247"/>
      <c r="Z520" s="1247"/>
      <c r="AA520" s="1247"/>
      <c r="AB520" s="1247"/>
      <c r="AC520" s="1247"/>
      <c r="AD520" s="1247"/>
      <c r="AE520" s="1247"/>
      <c r="AF520" s="1247"/>
      <c r="AG520" s="1247"/>
      <c r="AH520" s="1247"/>
      <c r="AI520" s="1247"/>
      <c r="AJ520" s="1247"/>
      <c r="AK520" s="1247"/>
      <c r="AL520" s="1562"/>
      <c r="AM520" s="1544"/>
      <c r="AN520" s="1544" t="str">
        <f t="shared" si="8"/>
        <v>Добавить территорию для дифференциации</v>
      </c>
      <c r="AO520" s="1544"/>
      <c r="AP520" s="1544"/>
    </row>
    <row r="521" spans="1:42" s="1818" customFormat="1" ht="23.25" customHeight="1">
      <c r="A521" s="1284" t="s">
        <v>471</v>
      </c>
      <c r="B521" s="1284"/>
      <c r="C521" s="1284"/>
      <c r="D521" s="1284"/>
      <c r="E521" s="8883" t="s">
        <v>469</v>
      </c>
      <c r="F521" s="1284"/>
      <c r="G521" s="1284"/>
      <c r="H521" s="1284"/>
      <c r="I521" s="1284"/>
      <c r="J521" s="1284"/>
      <c r="K521" s="1284"/>
      <c r="L521" s="1290"/>
      <c r="M521" s="1286"/>
      <c r="N521" s="1286"/>
      <c r="O521" s="1286"/>
      <c r="P521" s="1812"/>
      <c r="Q521" s="1742"/>
      <c r="R521" s="276"/>
      <c r="S521" s="1810" t="str">
        <f>INDEX(PT_DIFFERENTIATION_NUM_NTAR,MATCH(A521,PT_DIFFERENTIATION_NTAR_ID,0))</f>
        <v>31</v>
      </c>
      <c r="T521" s="1440" t="s">
        <v>211</v>
      </c>
      <c r="U521" s="214"/>
      <c r="V521" s="8869"/>
      <c r="W521" s="8870"/>
      <c r="X521" s="8870"/>
      <c r="Y521" s="8870"/>
      <c r="Z521" s="8870"/>
      <c r="AA521" s="8870"/>
      <c r="AB521" s="8871"/>
      <c r="AC521" s="8869" t="str">
        <f>INDEX(PT_DIFFERENTIATION_NTAR,MATCH(A521,PT_DIFFERENTIATION_NTAR_ID,0))</f>
        <v>Подвоз воды потребителям поселка Садовая Долина</v>
      </c>
      <c r="AD521" s="8870"/>
      <c r="AE521" s="8870"/>
      <c r="AF521" s="8870"/>
      <c r="AG521" s="8870"/>
      <c r="AH521" s="8870"/>
      <c r="AI521" s="8870"/>
      <c r="AJ521" s="8871"/>
      <c r="AK52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521" s="1562"/>
      <c r="AM521" s="1544"/>
      <c r="AN521" s="1544" t="str">
        <f t="shared" si="8"/>
        <v>Наименование тарифа</v>
      </c>
      <c r="AO521" s="1544"/>
      <c r="AP521" s="1544"/>
    </row>
    <row r="522" spans="1:42" s="1818" customFormat="1" ht="23.25" customHeight="1">
      <c r="A522" s="1284"/>
      <c r="B522" s="1284" t="s">
        <v>472</v>
      </c>
      <c r="C522" s="1284"/>
      <c r="D522" s="1284"/>
      <c r="E522" s="8884" t="s">
        <v>463</v>
      </c>
      <c r="F522" s="8883">
        <v>1</v>
      </c>
      <c r="G522" s="1284"/>
      <c r="H522" s="1284"/>
      <c r="I522" s="1284"/>
      <c r="J522" s="1284"/>
      <c r="K522" s="1284"/>
      <c r="L522" s="1290"/>
      <c r="M522" s="1286"/>
      <c r="N522" s="1286"/>
      <c r="O522" s="1286"/>
      <c r="P522" s="1807"/>
      <c r="Q522" s="273"/>
      <c r="R522" s="274"/>
      <c r="S522" s="1810" t="str">
        <f>INDEX(PT_DIFFERENTIATION_NUM_TER,MATCH(B522,PT_DIFFERENTIATION_TER_ID,0))</f>
        <v>31.1</v>
      </c>
      <c r="T522" s="1437" t="s">
        <v>862</v>
      </c>
      <c r="U522" s="214"/>
      <c r="V522" s="8869"/>
      <c r="W522" s="8870"/>
      <c r="X522" s="8870"/>
      <c r="Y522" s="8870"/>
      <c r="Z522" s="8870"/>
      <c r="AA522" s="8870"/>
      <c r="AB522" s="8871"/>
      <c r="AC522" s="8869" t="str">
        <f>INDEX(PT_DIFFERENTIATION_TER,MATCH(B522,PT_DIFFERENTIATION_TER_ID,0))</f>
        <v>Территория 9</v>
      </c>
      <c r="AD522" s="8870"/>
      <c r="AE522" s="8870"/>
      <c r="AF522" s="8870"/>
      <c r="AG522" s="8870"/>
      <c r="AH522" s="8870"/>
      <c r="AI522" s="8870"/>
      <c r="AJ522" s="8871"/>
      <c r="AK522" s="1182" t="s">
        <v>863</v>
      </c>
      <c r="AL522" s="1562"/>
      <c r="AM522" s="1544"/>
      <c r="AN522" s="1544" t="str">
        <f t="shared" si="8"/>
        <v>Территория действия тарифа</v>
      </c>
      <c r="AO522" s="1544"/>
      <c r="AP522" s="1544"/>
    </row>
    <row r="523" spans="1:42" s="1818" customFormat="1" ht="23.25" customHeight="1">
      <c r="A523" s="1284"/>
      <c r="B523" s="1284"/>
      <c r="C523" s="1284" t="s">
        <v>473</v>
      </c>
      <c r="D523" s="1284"/>
      <c r="E523" s="8884" t="s">
        <v>463</v>
      </c>
      <c r="F523" s="8884"/>
      <c r="G523" s="8883">
        <v>1</v>
      </c>
      <c r="H523" s="1284"/>
      <c r="I523" s="1284"/>
      <c r="J523" s="1284"/>
      <c r="K523" s="1284"/>
      <c r="L523" s="1290"/>
      <c r="M523" s="1286"/>
      <c r="N523" s="1286"/>
      <c r="O523" s="1286"/>
      <c r="P523" s="275"/>
      <c r="Q523" s="273"/>
      <c r="R523" s="274"/>
      <c r="S523" s="1810" t="str">
        <f>INDEX(PT_DIFFERENTIATION_NUM_CS,MATCH(C523,PT_DIFFERENTIATION_CS_ID,0))</f>
        <v>31.1.1</v>
      </c>
      <c r="T523" s="225" t="s">
        <v>943</v>
      </c>
      <c r="U523" s="214"/>
      <c r="V523" s="8869"/>
      <c r="W523" s="8870"/>
      <c r="X523" s="8870"/>
      <c r="Y523" s="8870"/>
      <c r="Z523" s="8870"/>
      <c r="AA523" s="8870"/>
      <c r="AB523" s="8871"/>
      <c r="AC523" s="8869" t="str">
        <f>INDEX(PT_DIFFERENTIATION_CS,MATCH(C523,PT_DIFFERENTIATION_CS_ID,0))</f>
        <v>без дифференциации</v>
      </c>
      <c r="AD523" s="8870"/>
      <c r="AE523" s="8870"/>
      <c r="AF523" s="8870"/>
      <c r="AG523" s="8870"/>
      <c r="AH523" s="8870"/>
      <c r="AI523" s="8870"/>
      <c r="AJ523" s="8871"/>
      <c r="AK523" s="1182" t="s">
        <v>944</v>
      </c>
      <c r="AL523" s="1562"/>
      <c r="AM523" s="1544"/>
      <c r="AN523" s="1544" t="str">
        <f t="shared" si="8"/>
        <v>Наименование централизованной системы холодного водоснабжения</v>
      </c>
      <c r="AO523" s="1544"/>
      <c r="AP523" s="1544"/>
    </row>
    <row r="524" spans="1:42" s="1818" customFormat="1" ht="23.25" customHeight="1">
      <c r="A524" s="1284"/>
      <c r="B524" s="1284"/>
      <c r="C524" s="1284"/>
      <c r="D524" s="1284"/>
      <c r="E524" s="8884" t="s">
        <v>463</v>
      </c>
      <c r="F524" s="8884"/>
      <c r="G524" s="8884"/>
      <c r="H524" s="8884"/>
      <c r="I524" s="8881" t="str">
        <f>S523&amp;".1"</f>
        <v>31.1.1.1</v>
      </c>
      <c r="J524" s="1284"/>
      <c r="K524" s="1284"/>
      <c r="L524" s="1290"/>
      <c r="M524" s="1696"/>
      <c r="N524" s="1696"/>
      <c r="O524" s="1696"/>
      <c r="P524" s="8882">
        <v>1</v>
      </c>
      <c r="Q524" s="1811"/>
      <c r="R524" s="277"/>
      <c r="S524" s="1810" t="str">
        <f>$I524</f>
        <v>31.1.1.1</v>
      </c>
      <c r="T524" s="200" t="s">
        <v>945</v>
      </c>
      <c r="U524" s="214"/>
      <c r="V524" s="8942"/>
      <c r="W524" s="8943"/>
      <c r="X524" s="8943"/>
      <c r="Y524" s="8943"/>
      <c r="Z524" s="8943"/>
      <c r="AA524" s="8943"/>
      <c r="AB524" s="8944"/>
      <c r="AC524" s="8945"/>
      <c r="AD524" s="8946"/>
      <c r="AE524" s="8946"/>
      <c r="AF524" s="8946"/>
      <c r="AG524" s="8946"/>
      <c r="AH524" s="8946"/>
      <c r="AI524" s="8946"/>
      <c r="AJ524" s="8947"/>
      <c r="AK524" s="1182" t="s">
        <v>946</v>
      </c>
      <c r="AL524" s="1562"/>
      <c r="AM524" s="1544"/>
      <c r="AN524" s="1544" t="str">
        <f t="shared" si="8"/>
        <v>Наименование признака дифференциации</v>
      </c>
      <c r="AO524" s="1544"/>
      <c r="AP524" s="1544"/>
    </row>
    <row r="525" spans="1:42" s="1818" customFormat="1" ht="23.25" customHeight="1">
      <c r="A525" s="1284"/>
      <c r="B525" s="1284"/>
      <c r="C525" s="1284"/>
      <c r="D525" s="1284"/>
      <c r="E525" s="8884" t="s">
        <v>463</v>
      </c>
      <c r="F525" s="8884"/>
      <c r="G525" s="8884"/>
      <c r="H525" s="8884"/>
      <c r="I525" s="8904"/>
      <c r="J525" s="8881" t="str">
        <f>I524&amp;".1"</f>
        <v>31.1.1.1.1</v>
      </c>
      <c r="K525" s="1284"/>
      <c r="L525" s="1290" t="s">
        <v>871</v>
      </c>
      <c r="M525" s="1696"/>
      <c r="N525" s="1696"/>
      <c r="O525" s="1696"/>
      <c r="P525" s="8882"/>
      <c r="Q525" s="8882">
        <v>1</v>
      </c>
      <c r="R525" s="278"/>
      <c r="S525" s="1810" t="str">
        <f>$J525</f>
        <v>31.1.1.1.1</v>
      </c>
      <c r="T525" s="201" t="s">
        <v>872</v>
      </c>
      <c r="U525" s="214"/>
      <c r="V525" s="8872"/>
      <c r="W525" s="8873"/>
      <c r="X525" s="8873"/>
      <c r="Y525" s="8873"/>
      <c r="Z525" s="8873"/>
      <c r="AA525" s="8873"/>
      <c r="AB525" s="8874"/>
      <c r="AC525" s="8872" t="s">
        <v>961</v>
      </c>
      <c r="AD525" s="8873"/>
      <c r="AE525" s="8873"/>
      <c r="AF525" s="8873"/>
      <c r="AG525" s="8873"/>
      <c r="AH525" s="8873"/>
      <c r="AI525" s="8873"/>
      <c r="AJ525" s="8874"/>
      <c r="AK525" s="1231" t="s">
        <v>947</v>
      </c>
      <c r="AL525" s="1562"/>
      <c r="AM525" s="1544"/>
      <c r="AN525" s="1544" t="str">
        <f t="shared" si="8"/>
        <v>Группа потребителей</v>
      </c>
      <c r="AO525" s="1544"/>
      <c r="AP525" s="1544"/>
    </row>
    <row r="526" spans="1:42" s="1818" customFormat="1" ht="23.25" customHeight="1">
      <c r="A526" s="1284"/>
      <c r="B526" s="1284"/>
      <c r="C526" s="1284"/>
      <c r="D526" s="1284"/>
      <c r="E526" s="8884" t="s">
        <v>463</v>
      </c>
      <c r="F526" s="8884"/>
      <c r="G526" s="8884"/>
      <c r="H526" s="8884"/>
      <c r="I526" s="8904"/>
      <c r="J526" s="8904"/>
      <c r="K526" s="8881" t="str">
        <f>J525&amp;".1"</f>
        <v>31.1.1.1.1.1</v>
      </c>
      <c r="L526" s="1290"/>
      <c r="M526" s="1696"/>
      <c r="N526" s="1696"/>
      <c r="O526" s="1696"/>
      <c r="P526" s="8882"/>
      <c r="Q526" s="8882"/>
      <c r="R526" s="278">
        <v>1</v>
      </c>
      <c r="S526" s="1810" t="str">
        <f>$K526</f>
        <v>31.1.1.1.1.1</v>
      </c>
      <c r="T526" s="1357" t="s">
        <v>962</v>
      </c>
      <c r="U526" s="214"/>
      <c r="V526" s="666"/>
      <c r="W526" s="666"/>
      <c r="X526" s="1181"/>
      <c r="Y526" s="8886"/>
      <c r="Z526" s="8734" t="s">
        <v>63</v>
      </c>
      <c r="AA526" s="8886"/>
      <c r="AB526" s="8734" t="s">
        <v>63</v>
      </c>
      <c r="AC526" s="666">
        <v>366.92</v>
      </c>
      <c r="AD526" s="666"/>
      <c r="AE526" s="1181"/>
      <c r="AF526" s="8886">
        <v>45292</v>
      </c>
      <c r="AG526" s="8734" t="s">
        <v>63</v>
      </c>
      <c r="AH526" s="8905">
        <v>45657</v>
      </c>
      <c r="AI526" s="8734" t="s">
        <v>63</v>
      </c>
      <c r="AJ526" s="1358"/>
      <c r="AK52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26" s="1562" t="e">
        <f ca="1">STRCHECKDATE(V527:AJ527)</f>
        <v>#NAME?</v>
      </c>
      <c r="AM526" s="1544"/>
      <c r="AN526" s="1544" t="str">
        <f t="shared" si="8"/>
        <v>Тариф для населения, руб. за 1 куб. метр с НДС</v>
      </c>
      <c r="AO526" s="1544"/>
      <c r="AP526" s="1544"/>
    </row>
    <row r="527" spans="1:42" s="1818" customFormat="1" ht="14.25" customHeight="1">
      <c r="A527" s="1284"/>
      <c r="B527" s="1284"/>
      <c r="C527" s="1284"/>
      <c r="D527" s="1284"/>
      <c r="E527" s="8884" t="s">
        <v>463</v>
      </c>
      <c r="F527" s="8884"/>
      <c r="G527" s="8884"/>
      <c r="H527" s="8884"/>
      <c r="I527" s="8904"/>
      <c r="J527" s="8904"/>
      <c r="K527" s="8881"/>
      <c r="L527" s="1290"/>
      <c r="M527" s="1696"/>
      <c r="N527" s="1696"/>
      <c r="O527" s="1696"/>
      <c r="P527" s="8882"/>
      <c r="Q527" s="8882"/>
      <c r="R527" s="278"/>
      <c r="S527" s="1815"/>
      <c r="T527" s="214"/>
      <c r="U527" s="214"/>
      <c r="V527" s="246"/>
      <c r="W527" s="246"/>
      <c r="X527" s="250" t="str">
        <f>Y526&amp;"-"&amp;AA526</f>
        <v>-</v>
      </c>
      <c r="Y527" s="8887"/>
      <c r="Z527" s="8734"/>
      <c r="AA527" s="8887"/>
      <c r="AB527" s="8734"/>
      <c r="AC527" s="246"/>
      <c r="AD527" s="246"/>
      <c r="AE527" s="250" t="str">
        <f>AF526&amp;"-"&amp;AH526</f>
        <v>45292-45657</v>
      </c>
      <c r="AF527" s="8887"/>
      <c r="AG527" s="8734"/>
      <c r="AH527" s="8906"/>
      <c r="AI527" s="8734"/>
      <c r="AJ527" s="1359"/>
      <c r="AK527" s="8941"/>
      <c r="AL527" s="1562"/>
      <c r="AM527" s="1544"/>
      <c r="AN527" s="1544" t="str">
        <f t="shared" si="8"/>
        <v/>
      </c>
      <c r="AO527" s="1544"/>
      <c r="AP527" s="1544"/>
    </row>
    <row r="528" spans="1:42" s="1818" customFormat="1" ht="21" customHeight="1">
      <c r="A528" s="1284"/>
      <c r="B528" s="1284"/>
      <c r="C528" s="1284"/>
      <c r="D528" s="1284"/>
      <c r="E528" s="8884" t="s">
        <v>463</v>
      </c>
      <c r="F528" s="8884"/>
      <c r="G528" s="8884"/>
      <c r="H528" s="8884"/>
      <c r="I528" s="8904"/>
      <c r="J528" s="8881"/>
      <c r="K528" s="1284"/>
      <c r="L528" s="1290"/>
      <c r="M528" s="1696"/>
      <c r="N528" s="1696"/>
      <c r="O528" s="1696"/>
      <c r="P528" s="8882"/>
      <c r="Q528" s="8882"/>
      <c r="R528" s="277"/>
      <c r="S528" s="4019"/>
      <c r="T528" s="4020" t="s">
        <v>948</v>
      </c>
      <c r="U528" s="4021"/>
      <c r="V528" s="4022"/>
      <c r="W528" s="4023"/>
      <c r="X528" s="4024"/>
      <c r="Y528" s="4025"/>
      <c r="Z528" s="4026"/>
      <c r="AA528" s="4027"/>
      <c r="AB528" s="4028"/>
      <c r="AC528" s="4029"/>
      <c r="AD528" s="4030"/>
      <c r="AE528" s="4031"/>
      <c r="AF528" s="4032"/>
      <c r="AG528" s="4033"/>
      <c r="AH528" s="4034"/>
      <c r="AI528" s="4035"/>
      <c r="AJ528" s="4036"/>
      <c r="AK528" s="1182" t="s">
        <v>949</v>
      </c>
      <c r="AL528" s="1562"/>
      <c r="AM528" s="1544"/>
      <c r="AN528" s="1544" t="str">
        <f t="shared" si="8"/>
        <v>Добавить значение признака дифференциации</v>
      </c>
      <c r="AO528" s="1544"/>
      <c r="AP528" s="1544"/>
    </row>
    <row r="529" spans="1:42" s="1818" customFormat="1" ht="23.25" customHeight="1">
      <c r="A529" s="1284"/>
      <c r="B529" s="1284"/>
      <c r="C529" s="1284"/>
      <c r="D529" s="1284"/>
      <c r="E529" s="8884"/>
      <c r="F529" s="8884"/>
      <c r="G529" s="8884"/>
      <c r="H529" s="8884"/>
      <c r="I529" s="8904"/>
      <c r="J529" s="8881" t="str">
        <f>I524&amp;".2"</f>
        <v>31.1.1.1.2</v>
      </c>
      <c r="K529" s="1284"/>
      <c r="L529" s="1290" t="s">
        <v>871</v>
      </c>
      <c r="M529" s="1696"/>
      <c r="N529" s="1696"/>
      <c r="O529" s="1696"/>
      <c r="P529" s="8882"/>
      <c r="Q529" s="8948" t="s">
        <v>100</v>
      </c>
      <c r="R529" s="278"/>
      <c r="S529" s="1810" t="str">
        <f>$J529</f>
        <v>31.1.1.1.2</v>
      </c>
      <c r="T529" s="201" t="s">
        <v>872</v>
      </c>
      <c r="U529" s="214"/>
      <c r="V529" s="8872"/>
      <c r="W529" s="8873"/>
      <c r="X529" s="8873"/>
      <c r="Y529" s="8873"/>
      <c r="Z529" s="8873"/>
      <c r="AA529" s="8873"/>
      <c r="AB529" s="8874"/>
      <c r="AC529" s="8872" t="s">
        <v>963</v>
      </c>
      <c r="AD529" s="8873"/>
      <c r="AE529" s="8873"/>
      <c r="AF529" s="8873"/>
      <c r="AG529" s="8873"/>
      <c r="AH529" s="8873"/>
      <c r="AI529" s="8873"/>
      <c r="AJ529" s="8874"/>
      <c r="AK529" s="1231" t="s">
        <v>947</v>
      </c>
      <c r="AL529" s="1562"/>
      <c r="AM529" s="1544"/>
      <c r="AN529" s="1544" t="str">
        <f t="shared" si="8"/>
        <v>Группа потребителей</v>
      </c>
      <c r="AO529" s="1544"/>
      <c r="AP529" s="1544"/>
    </row>
    <row r="530" spans="1:42" s="1818" customFormat="1" ht="23.25" customHeight="1">
      <c r="A530" s="1284"/>
      <c r="B530" s="1284"/>
      <c r="C530" s="1284"/>
      <c r="D530" s="1284"/>
      <c r="E530" s="8884"/>
      <c r="F530" s="8884"/>
      <c r="G530" s="8884"/>
      <c r="H530" s="8884"/>
      <c r="I530" s="8904"/>
      <c r="J530" s="8904" t="str">
        <f>I524&amp;".1"</f>
        <v>31.1.1.1.1</v>
      </c>
      <c r="K530" s="8881" t="str">
        <f>J529&amp;".1"</f>
        <v>31.1.1.1.2.1</v>
      </c>
      <c r="L530" s="1290"/>
      <c r="M530" s="1696"/>
      <c r="N530" s="1696"/>
      <c r="O530" s="1696"/>
      <c r="P530" s="8882"/>
      <c r="Q530" s="8882"/>
      <c r="R530" s="278">
        <v>1</v>
      </c>
      <c r="S530" s="1810" t="str">
        <f>$K530</f>
        <v>31.1.1.1.2.1</v>
      </c>
      <c r="T530" s="1357" t="s">
        <v>964</v>
      </c>
      <c r="U530" s="214"/>
      <c r="V530" s="666"/>
      <c r="W530" s="666"/>
      <c r="X530" s="1181"/>
      <c r="Y530" s="8886"/>
      <c r="Z530" s="8734" t="s">
        <v>63</v>
      </c>
      <c r="AA530" s="8886"/>
      <c r="AB530" s="8734" t="s">
        <v>63</v>
      </c>
      <c r="AC530" s="666">
        <v>305.77</v>
      </c>
      <c r="AD530" s="666"/>
      <c r="AE530" s="1181"/>
      <c r="AF530" s="8886">
        <v>45292</v>
      </c>
      <c r="AG530" s="8734" t="s">
        <v>63</v>
      </c>
      <c r="AH530" s="8905">
        <v>45657</v>
      </c>
      <c r="AI530" s="8734" t="s">
        <v>63</v>
      </c>
      <c r="AJ530" s="1358"/>
      <c r="AK53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30" s="1562" t="e">
        <f ca="1">STRCHECKDATE(V531:AJ531)</f>
        <v>#NAME?</v>
      </c>
      <c r="AM530" s="1544"/>
      <c r="AN530" s="1544" t="str">
        <f t="shared" si="8"/>
        <v>Тариф, руб. за 1 куб. метр без НДС</v>
      </c>
      <c r="AO530" s="1544"/>
      <c r="AP530" s="1544"/>
    </row>
    <row r="531" spans="1:42" s="1818" customFormat="1" ht="14.25" customHeight="1">
      <c r="A531" s="1284"/>
      <c r="B531" s="1284"/>
      <c r="C531" s="1284"/>
      <c r="D531" s="1284"/>
      <c r="E531" s="8884"/>
      <c r="F531" s="8884"/>
      <c r="G531" s="8884"/>
      <c r="H531" s="8884"/>
      <c r="I531" s="8904"/>
      <c r="J531" s="8904" t="str">
        <f>I524&amp;".1"</f>
        <v>31.1.1.1.1</v>
      </c>
      <c r="K531" s="8881"/>
      <c r="L531" s="1290"/>
      <c r="M531" s="1696"/>
      <c r="N531" s="1696"/>
      <c r="O531" s="1696"/>
      <c r="P531" s="8882"/>
      <c r="Q531" s="8882"/>
      <c r="R531" s="278"/>
      <c r="S531" s="1815"/>
      <c r="T531" s="214"/>
      <c r="U531" s="214"/>
      <c r="V531" s="246"/>
      <c r="W531" s="246"/>
      <c r="X531" s="250" t="str">
        <f>Y530&amp;"-"&amp;AA530</f>
        <v>-</v>
      </c>
      <c r="Y531" s="8887"/>
      <c r="Z531" s="8734"/>
      <c r="AA531" s="8887"/>
      <c r="AB531" s="8734"/>
      <c r="AC531" s="246"/>
      <c r="AD531" s="246"/>
      <c r="AE531" s="250" t="str">
        <f>AF530&amp;"-"&amp;AH530</f>
        <v>45292-45657</v>
      </c>
      <c r="AF531" s="8887"/>
      <c r="AG531" s="8734"/>
      <c r="AH531" s="8906"/>
      <c r="AI531" s="8734"/>
      <c r="AJ531" s="1359"/>
      <c r="AK531" s="8941"/>
      <c r="AL531" s="1562"/>
      <c r="AM531" s="1544"/>
      <c r="AN531" s="1544" t="str">
        <f t="shared" si="8"/>
        <v/>
      </c>
      <c r="AO531" s="1544"/>
      <c r="AP531" s="1544"/>
    </row>
    <row r="532" spans="1:42" s="1818" customFormat="1" ht="21" customHeight="1">
      <c r="A532" s="1284"/>
      <c r="B532" s="1284"/>
      <c r="C532" s="1284"/>
      <c r="D532" s="1284"/>
      <c r="E532" s="8884"/>
      <c r="F532" s="8884"/>
      <c r="G532" s="8884"/>
      <c r="H532" s="8884"/>
      <c r="I532" s="8904"/>
      <c r="J532" s="8881" t="str">
        <f>I524&amp;".1"</f>
        <v>31.1.1.1.1</v>
      </c>
      <c r="K532" s="1284"/>
      <c r="L532" s="1290"/>
      <c r="M532" s="1696"/>
      <c r="N532" s="1696"/>
      <c r="O532" s="1696"/>
      <c r="P532" s="8882"/>
      <c r="Q532" s="8882"/>
      <c r="R532" s="277"/>
      <c r="S532" s="4037"/>
      <c r="T532" s="4038" t="s">
        <v>948</v>
      </c>
      <c r="U532" s="4039"/>
      <c r="V532" s="4040"/>
      <c r="W532" s="4041"/>
      <c r="X532" s="4042"/>
      <c r="Y532" s="4043"/>
      <c r="Z532" s="4044"/>
      <c r="AA532" s="4045"/>
      <c r="AB532" s="4046"/>
      <c r="AC532" s="4047"/>
      <c r="AD532" s="4048"/>
      <c r="AE532" s="4049"/>
      <c r="AF532" s="4050"/>
      <c r="AG532" s="4051"/>
      <c r="AH532" s="4052"/>
      <c r="AI532" s="4053"/>
      <c r="AJ532" s="4054"/>
      <c r="AK532" s="1182" t="s">
        <v>949</v>
      </c>
      <c r="AL532" s="1562"/>
      <c r="AM532" s="1544"/>
      <c r="AN532" s="1544" t="str">
        <f t="shared" si="8"/>
        <v>Добавить значение признака дифференциации</v>
      </c>
      <c r="AO532" s="1544"/>
      <c r="AP532" s="1544"/>
    </row>
    <row r="533" spans="1:42" s="1818" customFormat="1" ht="21" customHeight="1">
      <c r="A533" s="1284"/>
      <c r="B533" s="1284"/>
      <c r="C533" s="1284"/>
      <c r="D533" s="1284"/>
      <c r="E533" s="8884" t="s">
        <v>463</v>
      </c>
      <c r="F533" s="8884"/>
      <c r="G533" s="8884"/>
      <c r="H533" s="8884"/>
      <c r="I533" s="8881"/>
      <c r="J533" s="1284"/>
      <c r="K533" s="1284"/>
      <c r="L533" s="1290"/>
      <c r="M533" s="1696"/>
      <c r="N533" s="1696"/>
      <c r="O533" s="1696"/>
      <c r="P533" s="8882"/>
      <c r="Q533" s="1811"/>
      <c r="R533" s="277"/>
      <c r="S533" s="4055"/>
      <c r="T533" s="4056" t="s">
        <v>877</v>
      </c>
      <c r="U533" s="4057"/>
      <c r="V533" s="4058"/>
      <c r="W533" s="4059"/>
      <c r="X533" s="4060"/>
      <c r="Y533" s="4061"/>
      <c r="Z533" s="4062"/>
      <c r="AA533" s="4063"/>
      <c r="AB533" s="4064"/>
      <c r="AC533" s="4065"/>
      <c r="AD533" s="4066"/>
      <c r="AE533" s="4067"/>
      <c r="AF533" s="4068"/>
      <c r="AG533" s="4069"/>
      <c r="AH533" s="4070"/>
      <c r="AI533" s="4071"/>
      <c r="AJ533" s="4072"/>
      <c r="AK533" s="4073"/>
      <c r="AL533" s="1562"/>
      <c r="AM533" s="1544"/>
      <c r="AN533" s="1544" t="str">
        <f t="shared" si="8"/>
        <v>Добавить группу потребителей</v>
      </c>
      <c r="AO533" s="1544"/>
      <c r="AP533" s="1544"/>
    </row>
    <row r="534" spans="1:42" s="1818" customFormat="1" ht="21" customHeight="1">
      <c r="A534" s="1284"/>
      <c r="B534" s="1284"/>
      <c r="C534" s="1284"/>
      <c r="D534" s="1284"/>
      <c r="E534" s="8884" t="s">
        <v>463</v>
      </c>
      <c r="F534" s="8884"/>
      <c r="G534" s="8884"/>
      <c r="H534" s="8883"/>
      <c r="I534" s="1284"/>
      <c r="J534" s="1284"/>
      <c r="K534" s="1284"/>
      <c r="L534" s="1290"/>
      <c r="M534" s="1286"/>
      <c r="N534" s="1286"/>
      <c r="O534" s="1287"/>
      <c r="P534" s="1742"/>
      <c r="Q534" s="299"/>
      <c r="R534" s="276"/>
      <c r="S534" s="4074"/>
      <c r="T534" s="4075" t="s">
        <v>950</v>
      </c>
      <c r="U534" s="4076"/>
      <c r="V534" s="4077"/>
      <c r="W534" s="4078"/>
      <c r="X534" s="4079"/>
      <c r="Y534" s="4080"/>
      <c r="Z534" s="4081"/>
      <c r="AA534" s="4082"/>
      <c r="AB534" s="4083"/>
      <c r="AC534" s="4084"/>
      <c r="AD534" s="4085"/>
      <c r="AE534" s="4086"/>
      <c r="AF534" s="4087"/>
      <c r="AG534" s="4088"/>
      <c r="AH534" s="4089"/>
      <c r="AI534" s="4090"/>
      <c r="AJ534" s="4091"/>
      <c r="AK534" s="4092"/>
      <c r="AL534" s="1562"/>
      <c r="AM534" s="1544"/>
      <c r="AN534" s="1544" t="str">
        <f t="shared" si="8"/>
        <v>Добавить наименование признака дифференциации</v>
      </c>
      <c r="AO534" s="1544"/>
      <c r="AP534" s="1544"/>
    </row>
    <row r="535" spans="1:42" s="541" customFormat="1" ht="14.25" customHeight="1">
      <c r="A535" s="1265"/>
      <c r="B535" s="1265"/>
      <c r="C535" s="1265"/>
      <c r="D535" s="1265"/>
      <c r="E535" s="8884" t="s">
        <v>463</v>
      </c>
      <c r="F535" s="8883"/>
      <c r="G535" s="1265"/>
      <c r="H535" s="1265"/>
      <c r="I535" s="1265"/>
      <c r="J535" s="1265"/>
      <c r="K535" s="1265"/>
      <c r="L535" s="1466"/>
      <c r="M535" s="1244"/>
      <c r="N535" s="1244"/>
      <c r="O535" s="1562"/>
      <c r="P535" s="1239"/>
      <c r="Q535" s="1266"/>
      <c r="R535" s="1239"/>
      <c r="S535" s="1245"/>
      <c r="T535" s="1248" t="s">
        <v>314</v>
      </c>
      <c r="U535" s="1247"/>
      <c r="V535" s="1247"/>
      <c r="W535" s="1247"/>
      <c r="X535" s="1247"/>
      <c r="Y535" s="1247"/>
      <c r="Z535" s="1247"/>
      <c r="AA535" s="1247"/>
      <c r="AB535" s="1247"/>
      <c r="AC535" s="1247"/>
      <c r="AD535" s="1247"/>
      <c r="AE535" s="1247"/>
      <c r="AF535" s="1247"/>
      <c r="AG535" s="1247"/>
      <c r="AH535" s="1247"/>
      <c r="AI535" s="1247"/>
      <c r="AJ535" s="1247"/>
      <c r="AK535" s="1247"/>
      <c r="AL535" s="1562"/>
      <c r="AM535" s="1544"/>
      <c r="AN535" s="1544" t="str">
        <f t="shared" si="8"/>
        <v>Добавить централизованную систему для дифференциации</v>
      </c>
      <c r="AO535" s="1544"/>
      <c r="AP535" s="1544"/>
    </row>
    <row r="536" spans="1:42" s="541" customFormat="1" ht="14.25" customHeight="1">
      <c r="A536" s="1265"/>
      <c r="B536" s="1265"/>
      <c r="C536" s="1265"/>
      <c r="D536" s="1265"/>
      <c r="E536" s="8883" t="s">
        <v>463</v>
      </c>
      <c r="F536" s="1265"/>
      <c r="G536" s="1265"/>
      <c r="H536" s="1265"/>
      <c r="I536" s="1265"/>
      <c r="J536" s="1265"/>
      <c r="K536" s="1265"/>
      <c r="L536" s="1466"/>
      <c r="M536" s="1244"/>
      <c r="N536" s="1244"/>
      <c r="O536" s="1562"/>
      <c r="P536" s="1239"/>
      <c r="Q536" s="1266"/>
      <c r="R536" s="1239"/>
      <c r="S536" s="1245"/>
      <c r="T536" s="1248" t="s">
        <v>315</v>
      </c>
      <c r="U536" s="1247"/>
      <c r="V536" s="1247"/>
      <c r="W536" s="1247"/>
      <c r="X536" s="1247"/>
      <c r="Y536" s="1247"/>
      <c r="Z536" s="1247"/>
      <c r="AA536" s="1247"/>
      <c r="AB536" s="1247"/>
      <c r="AC536" s="1247"/>
      <c r="AD536" s="1247"/>
      <c r="AE536" s="1247"/>
      <c r="AF536" s="1247"/>
      <c r="AG536" s="1247"/>
      <c r="AH536" s="1247"/>
      <c r="AI536" s="1247"/>
      <c r="AJ536" s="1247"/>
      <c r="AK536" s="1247"/>
      <c r="AL536" s="1562"/>
      <c r="AM536" s="1544"/>
      <c r="AN536" s="1544" t="str">
        <f t="shared" si="8"/>
        <v>Добавить территорию для дифференциации</v>
      </c>
      <c r="AO536" s="1544"/>
      <c r="AP536" s="1544"/>
    </row>
    <row r="537" spans="1:42" s="1818" customFormat="1" ht="23.25" customHeight="1">
      <c r="A537" s="1284" t="s">
        <v>477</v>
      </c>
      <c r="B537" s="1284"/>
      <c r="C537" s="1284"/>
      <c r="D537" s="1284"/>
      <c r="E537" s="8883" t="s">
        <v>475</v>
      </c>
      <c r="F537" s="1284"/>
      <c r="G537" s="1284"/>
      <c r="H537" s="1284"/>
      <c r="I537" s="1284"/>
      <c r="J537" s="1284"/>
      <c r="K537" s="1284"/>
      <c r="L537" s="1290"/>
      <c r="M537" s="1286"/>
      <c r="N537" s="1286"/>
      <c r="O537" s="1286"/>
      <c r="P537" s="1812"/>
      <c r="Q537" s="1742"/>
      <c r="R537" s="276"/>
      <c r="S537" s="1810" t="str">
        <f>INDEX(PT_DIFFERENTIATION_NUM_NTAR,MATCH(A537,PT_DIFFERENTIATION_NTAR_ID,0))</f>
        <v>32</v>
      </c>
      <c r="T537" s="1440" t="s">
        <v>211</v>
      </c>
      <c r="U537" s="214"/>
      <c r="V537" s="8869"/>
      <c r="W537" s="8870"/>
      <c r="X537" s="8870"/>
      <c r="Y537" s="8870"/>
      <c r="Z537" s="8870"/>
      <c r="AA537" s="8870"/>
      <c r="AB537" s="8871"/>
      <c r="AC537" s="8869" t="str">
        <f>INDEX(PT_DIFFERENTIATION_NTAR,MATCH(A537,PT_DIFFERENTIATION_NTAR_ID,0))</f>
        <v>Подвоз воды потребителям хутора Новоборгустанского</v>
      </c>
      <c r="AD537" s="8870"/>
      <c r="AE537" s="8870"/>
      <c r="AF537" s="8870"/>
      <c r="AG537" s="8870"/>
      <c r="AH537" s="8870"/>
      <c r="AI537" s="8870"/>
      <c r="AJ537" s="8871"/>
      <c r="AK53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537" s="1562"/>
      <c r="AM537" s="1544"/>
      <c r="AN537" s="1544" t="str">
        <f t="shared" si="8"/>
        <v>Наименование тарифа</v>
      </c>
      <c r="AO537" s="1544"/>
      <c r="AP537" s="1544"/>
    </row>
    <row r="538" spans="1:42" s="1818" customFormat="1" ht="23.25" customHeight="1">
      <c r="A538" s="1284"/>
      <c r="B538" s="1284" t="s">
        <v>478</v>
      </c>
      <c r="C538" s="1284"/>
      <c r="D538" s="1284"/>
      <c r="E538" s="8884" t="s">
        <v>469</v>
      </c>
      <c r="F538" s="8883">
        <v>1</v>
      </c>
      <c r="G538" s="1284"/>
      <c r="H538" s="1284"/>
      <c r="I538" s="1284"/>
      <c r="J538" s="1284"/>
      <c r="K538" s="1284"/>
      <c r="L538" s="1290"/>
      <c r="M538" s="1286"/>
      <c r="N538" s="1286"/>
      <c r="O538" s="1286"/>
      <c r="P538" s="1807"/>
      <c r="Q538" s="273"/>
      <c r="R538" s="274"/>
      <c r="S538" s="1810" t="str">
        <f>INDEX(PT_DIFFERENTIATION_NUM_TER,MATCH(B538,PT_DIFFERENTIATION_TER_ID,0))</f>
        <v>32.1</v>
      </c>
      <c r="T538" s="1437" t="s">
        <v>862</v>
      </c>
      <c r="U538" s="214"/>
      <c r="V538" s="8869"/>
      <c r="W538" s="8870"/>
      <c r="X538" s="8870"/>
      <c r="Y538" s="8870"/>
      <c r="Z538" s="8870"/>
      <c r="AA538" s="8870"/>
      <c r="AB538" s="8871"/>
      <c r="AC538" s="8869" t="str">
        <f>INDEX(PT_DIFFERENTIATION_TER,MATCH(B538,PT_DIFFERENTIATION_TER_ID,0))</f>
        <v>Территория 9</v>
      </c>
      <c r="AD538" s="8870"/>
      <c r="AE538" s="8870"/>
      <c r="AF538" s="8870"/>
      <c r="AG538" s="8870"/>
      <c r="AH538" s="8870"/>
      <c r="AI538" s="8870"/>
      <c r="AJ538" s="8871"/>
      <c r="AK538" s="1182" t="s">
        <v>863</v>
      </c>
      <c r="AL538" s="1562"/>
      <c r="AM538" s="1544"/>
      <c r="AN538" s="1544" t="str">
        <f t="shared" si="8"/>
        <v>Территория действия тарифа</v>
      </c>
      <c r="AO538" s="1544"/>
      <c r="AP538" s="1544"/>
    </row>
    <row r="539" spans="1:42" s="1818" customFormat="1" ht="23.25" customHeight="1">
      <c r="A539" s="1284"/>
      <c r="B539" s="1284"/>
      <c r="C539" s="1284" t="s">
        <v>479</v>
      </c>
      <c r="D539" s="1284"/>
      <c r="E539" s="8884" t="s">
        <v>469</v>
      </c>
      <c r="F539" s="8884"/>
      <c r="G539" s="8883">
        <v>1</v>
      </c>
      <c r="H539" s="1284"/>
      <c r="I539" s="1284"/>
      <c r="J539" s="1284"/>
      <c r="K539" s="1284"/>
      <c r="L539" s="1290"/>
      <c r="M539" s="1286"/>
      <c r="N539" s="1286"/>
      <c r="O539" s="1286"/>
      <c r="P539" s="275"/>
      <c r="Q539" s="273"/>
      <c r="R539" s="274"/>
      <c r="S539" s="1810" t="str">
        <f>INDEX(PT_DIFFERENTIATION_NUM_CS,MATCH(C539,PT_DIFFERENTIATION_CS_ID,0))</f>
        <v>32.1.1</v>
      </c>
      <c r="T539" s="225" t="s">
        <v>943</v>
      </c>
      <c r="U539" s="214"/>
      <c r="V539" s="8869"/>
      <c r="W539" s="8870"/>
      <c r="X539" s="8870"/>
      <c r="Y539" s="8870"/>
      <c r="Z539" s="8870"/>
      <c r="AA539" s="8870"/>
      <c r="AB539" s="8871"/>
      <c r="AC539" s="8869" t="str">
        <f>INDEX(PT_DIFFERENTIATION_CS,MATCH(C539,PT_DIFFERENTIATION_CS_ID,0))</f>
        <v>без дифференциации</v>
      </c>
      <c r="AD539" s="8870"/>
      <c r="AE539" s="8870"/>
      <c r="AF539" s="8870"/>
      <c r="AG539" s="8870"/>
      <c r="AH539" s="8870"/>
      <c r="AI539" s="8870"/>
      <c r="AJ539" s="8871"/>
      <c r="AK539" s="1182" t="s">
        <v>944</v>
      </c>
      <c r="AL539" s="1562"/>
      <c r="AM539" s="1544"/>
      <c r="AN539" s="1544" t="str">
        <f t="shared" si="8"/>
        <v>Наименование централизованной системы холодного водоснабжения</v>
      </c>
      <c r="AO539" s="1544"/>
      <c r="AP539" s="1544"/>
    </row>
    <row r="540" spans="1:42" s="1818" customFormat="1" ht="23.25" customHeight="1">
      <c r="A540" s="1284"/>
      <c r="B540" s="1284"/>
      <c r="C540" s="1284"/>
      <c r="D540" s="1284"/>
      <c r="E540" s="8884" t="s">
        <v>469</v>
      </c>
      <c r="F540" s="8884"/>
      <c r="G540" s="8884"/>
      <c r="H540" s="8884"/>
      <c r="I540" s="8881" t="str">
        <f>S539&amp;".1"</f>
        <v>32.1.1.1</v>
      </c>
      <c r="J540" s="1284"/>
      <c r="K540" s="1284"/>
      <c r="L540" s="1290"/>
      <c r="M540" s="1696"/>
      <c r="N540" s="1696"/>
      <c r="O540" s="1696"/>
      <c r="P540" s="8882">
        <v>1</v>
      </c>
      <c r="Q540" s="1811"/>
      <c r="R540" s="277"/>
      <c r="S540" s="1810" t="str">
        <f>$I540</f>
        <v>32.1.1.1</v>
      </c>
      <c r="T540" s="200" t="s">
        <v>945</v>
      </c>
      <c r="U540" s="214"/>
      <c r="V540" s="8942"/>
      <c r="W540" s="8943"/>
      <c r="X540" s="8943"/>
      <c r="Y540" s="8943"/>
      <c r="Z540" s="8943"/>
      <c r="AA540" s="8943"/>
      <c r="AB540" s="8944"/>
      <c r="AC540" s="8945"/>
      <c r="AD540" s="8946"/>
      <c r="AE540" s="8946"/>
      <c r="AF540" s="8946"/>
      <c r="AG540" s="8946"/>
      <c r="AH540" s="8946"/>
      <c r="AI540" s="8946"/>
      <c r="AJ540" s="8947"/>
      <c r="AK540" s="1182" t="s">
        <v>946</v>
      </c>
      <c r="AL540" s="1562"/>
      <c r="AM540" s="1544"/>
      <c r="AN540" s="1544" t="str">
        <f t="shared" si="8"/>
        <v>Наименование признака дифференциации</v>
      </c>
      <c r="AO540" s="1544"/>
      <c r="AP540" s="1544"/>
    </row>
    <row r="541" spans="1:42" s="1818" customFormat="1" ht="23.25" customHeight="1">
      <c r="A541" s="1284"/>
      <c r="B541" s="1284"/>
      <c r="C541" s="1284"/>
      <c r="D541" s="1284"/>
      <c r="E541" s="8884" t="s">
        <v>469</v>
      </c>
      <c r="F541" s="8884"/>
      <c r="G541" s="8884"/>
      <c r="H541" s="8884"/>
      <c r="I541" s="8904"/>
      <c r="J541" s="8881" t="str">
        <f>I540&amp;".1"</f>
        <v>32.1.1.1.1</v>
      </c>
      <c r="K541" s="1284"/>
      <c r="L541" s="1290" t="s">
        <v>871</v>
      </c>
      <c r="M541" s="1696"/>
      <c r="N541" s="1696"/>
      <c r="O541" s="1696"/>
      <c r="P541" s="8882"/>
      <c r="Q541" s="8882">
        <v>1</v>
      </c>
      <c r="R541" s="278"/>
      <c r="S541" s="1810" t="str">
        <f>$J541</f>
        <v>32.1.1.1.1</v>
      </c>
      <c r="T541" s="201" t="s">
        <v>872</v>
      </c>
      <c r="U541" s="214"/>
      <c r="V541" s="8872"/>
      <c r="W541" s="8873"/>
      <c r="X541" s="8873"/>
      <c r="Y541" s="8873"/>
      <c r="Z541" s="8873"/>
      <c r="AA541" s="8873"/>
      <c r="AB541" s="8874"/>
      <c r="AC541" s="8872" t="s">
        <v>961</v>
      </c>
      <c r="AD541" s="8873"/>
      <c r="AE541" s="8873"/>
      <c r="AF541" s="8873"/>
      <c r="AG541" s="8873"/>
      <c r="AH541" s="8873"/>
      <c r="AI541" s="8873"/>
      <c r="AJ541" s="8874"/>
      <c r="AK541" s="1231" t="s">
        <v>947</v>
      </c>
      <c r="AL541" s="1562"/>
      <c r="AM541" s="1544"/>
      <c r="AN541" s="1544" t="str">
        <f t="shared" si="8"/>
        <v>Группа потребителей</v>
      </c>
      <c r="AO541" s="1544"/>
      <c r="AP541" s="1544"/>
    </row>
    <row r="542" spans="1:42" s="1818" customFormat="1" ht="23.25" customHeight="1">
      <c r="A542" s="1284"/>
      <c r="B542" s="1284"/>
      <c r="C542" s="1284"/>
      <c r="D542" s="1284"/>
      <c r="E542" s="8884" t="s">
        <v>469</v>
      </c>
      <c r="F542" s="8884"/>
      <c r="G542" s="8884"/>
      <c r="H542" s="8884"/>
      <c r="I542" s="8904"/>
      <c r="J542" s="8904"/>
      <c r="K542" s="8881" t="str">
        <f>J541&amp;".1"</f>
        <v>32.1.1.1.1.1</v>
      </c>
      <c r="L542" s="1290"/>
      <c r="M542" s="1696"/>
      <c r="N542" s="1696"/>
      <c r="O542" s="1696"/>
      <c r="P542" s="8882"/>
      <c r="Q542" s="8882"/>
      <c r="R542" s="278">
        <v>1</v>
      </c>
      <c r="S542" s="1810" t="str">
        <f>$K542</f>
        <v>32.1.1.1.1.1</v>
      </c>
      <c r="T542" s="1357" t="s">
        <v>962</v>
      </c>
      <c r="U542" s="214"/>
      <c r="V542" s="666"/>
      <c r="W542" s="666"/>
      <c r="X542" s="1181"/>
      <c r="Y542" s="8886"/>
      <c r="Z542" s="8734" t="s">
        <v>63</v>
      </c>
      <c r="AA542" s="8886"/>
      <c r="AB542" s="8734" t="s">
        <v>63</v>
      </c>
      <c r="AC542" s="666">
        <v>542.27</v>
      </c>
      <c r="AD542" s="666"/>
      <c r="AE542" s="1181"/>
      <c r="AF542" s="8886">
        <v>45292</v>
      </c>
      <c r="AG542" s="8734" t="s">
        <v>63</v>
      </c>
      <c r="AH542" s="8905">
        <v>45657</v>
      </c>
      <c r="AI542" s="8734" t="s">
        <v>63</v>
      </c>
      <c r="AJ542" s="1358"/>
      <c r="AK54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2" s="1562" t="e">
        <f ca="1">STRCHECKDATE(V543:AJ543)</f>
        <v>#NAME?</v>
      </c>
      <c r="AM542" s="1544"/>
      <c r="AN542" s="1544" t="str">
        <f t="shared" si="8"/>
        <v>Тариф для населения, руб. за 1 куб. метр с НДС</v>
      </c>
      <c r="AO542" s="1544"/>
      <c r="AP542" s="1544"/>
    </row>
    <row r="543" spans="1:42" s="1818" customFormat="1" ht="14.25" customHeight="1">
      <c r="A543" s="1284"/>
      <c r="B543" s="1284"/>
      <c r="C543" s="1284"/>
      <c r="D543" s="1284"/>
      <c r="E543" s="8884" t="s">
        <v>469</v>
      </c>
      <c r="F543" s="8884"/>
      <c r="G543" s="8884"/>
      <c r="H543" s="8884"/>
      <c r="I543" s="8904"/>
      <c r="J543" s="8904"/>
      <c r="K543" s="8881"/>
      <c r="L543" s="1290"/>
      <c r="M543" s="1696"/>
      <c r="N543" s="1696"/>
      <c r="O543" s="1696"/>
      <c r="P543" s="8882"/>
      <c r="Q543" s="8882"/>
      <c r="R543" s="278"/>
      <c r="S543" s="1815"/>
      <c r="T543" s="214"/>
      <c r="U543" s="214"/>
      <c r="V543" s="246"/>
      <c r="W543" s="246"/>
      <c r="X543" s="250" t="str">
        <f>Y542&amp;"-"&amp;AA542</f>
        <v>-</v>
      </c>
      <c r="Y543" s="8887"/>
      <c r="Z543" s="8734"/>
      <c r="AA543" s="8887"/>
      <c r="AB543" s="8734"/>
      <c r="AC543" s="246"/>
      <c r="AD543" s="246"/>
      <c r="AE543" s="250" t="str">
        <f>AF542&amp;"-"&amp;AH542</f>
        <v>45292-45657</v>
      </c>
      <c r="AF543" s="8887"/>
      <c r="AG543" s="8734"/>
      <c r="AH543" s="8906"/>
      <c r="AI543" s="8734"/>
      <c r="AJ543" s="1359"/>
      <c r="AK543" s="8941"/>
      <c r="AL543" s="1562"/>
      <c r="AM543" s="1544"/>
      <c r="AN543" s="1544" t="str">
        <f t="shared" si="8"/>
        <v/>
      </c>
      <c r="AO543" s="1544"/>
      <c r="AP543" s="1544"/>
    </row>
    <row r="544" spans="1:42" s="1818" customFormat="1" ht="21" customHeight="1">
      <c r="A544" s="1284"/>
      <c r="B544" s="1284"/>
      <c r="C544" s="1284"/>
      <c r="D544" s="1284"/>
      <c r="E544" s="8884" t="s">
        <v>469</v>
      </c>
      <c r="F544" s="8884"/>
      <c r="G544" s="8884"/>
      <c r="H544" s="8884"/>
      <c r="I544" s="8904"/>
      <c r="J544" s="8881"/>
      <c r="K544" s="1284"/>
      <c r="L544" s="1290"/>
      <c r="M544" s="1696"/>
      <c r="N544" s="1696"/>
      <c r="O544" s="1696"/>
      <c r="P544" s="8882"/>
      <c r="Q544" s="8882"/>
      <c r="R544" s="277"/>
      <c r="S544" s="4093"/>
      <c r="T544" s="4094" t="s">
        <v>948</v>
      </c>
      <c r="U544" s="4095"/>
      <c r="V544" s="4096"/>
      <c r="W544" s="4097"/>
      <c r="X544" s="4098"/>
      <c r="Y544" s="4099"/>
      <c r="Z544" s="4100"/>
      <c r="AA544" s="4101"/>
      <c r="AB544" s="4102"/>
      <c r="AC544" s="4103"/>
      <c r="AD544" s="4104"/>
      <c r="AE544" s="4105"/>
      <c r="AF544" s="4106"/>
      <c r="AG544" s="4107"/>
      <c r="AH544" s="4108"/>
      <c r="AI544" s="4109"/>
      <c r="AJ544" s="4110"/>
      <c r="AK544" s="1182" t="s">
        <v>949</v>
      </c>
      <c r="AL544" s="1562"/>
      <c r="AM544" s="1544"/>
      <c r="AN544" s="1544" t="str">
        <f t="shared" si="8"/>
        <v>Добавить значение признака дифференциации</v>
      </c>
      <c r="AO544" s="1544"/>
      <c r="AP544" s="1544"/>
    </row>
    <row r="545" spans="1:42" s="1818" customFormat="1" ht="23.25" customHeight="1">
      <c r="A545" s="1284"/>
      <c r="B545" s="1284"/>
      <c r="C545" s="1284"/>
      <c r="D545" s="1284"/>
      <c r="E545" s="8884"/>
      <c r="F545" s="8884"/>
      <c r="G545" s="8884"/>
      <c r="H545" s="8884"/>
      <c r="I545" s="8904"/>
      <c r="J545" s="8881" t="str">
        <f>I540&amp;".2"</f>
        <v>32.1.1.1.2</v>
      </c>
      <c r="K545" s="1284"/>
      <c r="L545" s="1290" t="s">
        <v>871</v>
      </c>
      <c r="M545" s="1696"/>
      <c r="N545" s="1696"/>
      <c r="O545" s="1696"/>
      <c r="P545" s="8882"/>
      <c r="Q545" s="8948" t="s">
        <v>100</v>
      </c>
      <c r="R545" s="278"/>
      <c r="S545" s="1810" t="str">
        <f>$J545</f>
        <v>32.1.1.1.2</v>
      </c>
      <c r="T545" s="201" t="s">
        <v>872</v>
      </c>
      <c r="U545" s="214"/>
      <c r="V545" s="8872"/>
      <c r="W545" s="8873"/>
      <c r="X545" s="8873"/>
      <c r="Y545" s="8873"/>
      <c r="Z545" s="8873"/>
      <c r="AA545" s="8873"/>
      <c r="AB545" s="8874"/>
      <c r="AC545" s="8872" t="s">
        <v>963</v>
      </c>
      <c r="AD545" s="8873"/>
      <c r="AE545" s="8873"/>
      <c r="AF545" s="8873"/>
      <c r="AG545" s="8873"/>
      <c r="AH545" s="8873"/>
      <c r="AI545" s="8873"/>
      <c r="AJ545" s="8874"/>
      <c r="AK545" s="1231" t="s">
        <v>947</v>
      </c>
      <c r="AL545" s="1562"/>
      <c r="AM545" s="1544"/>
      <c r="AN545" s="1544" t="str">
        <f t="shared" si="8"/>
        <v>Группа потребителей</v>
      </c>
      <c r="AO545" s="1544"/>
      <c r="AP545" s="1544"/>
    </row>
    <row r="546" spans="1:42" s="1818" customFormat="1" ht="23.25" customHeight="1">
      <c r="A546" s="1284"/>
      <c r="B546" s="1284"/>
      <c r="C546" s="1284"/>
      <c r="D546" s="1284"/>
      <c r="E546" s="8884"/>
      <c r="F546" s="8884"/>
      <c r="G546" s="8884"/>
      <c r="H546" s="8884"/>
      <c r="I546" s="8904"/>
      <c r="J546" s="8904" t="str">
        <f>I540&amp;".1"</f>
        <v>32.1.1.1.1</v>
      </c>
      <c r="K546" s="8881" t="str">
        <f>J545&amp;".1"</f>
        <v>32.1.1.1.2.1</v>
      </c>
      <c r="L546" s="1290"/>
      <c r="M546" s="1696"/>
      <c r="N546" s="1696"/>
      <c r="O546" s="1696"/>
      <c r="P546" s="8882"/>
      <c r="Q546" s="8882"/>
      <c r="R546" s="278">
        <v>1</v>
      </c>
      <c r="S546" s="1810" t="str">
        <f>$K546</f>
        <v>32.1.1.1.2.1</v>
      </c>
      <c r="T546" s="1357" t="s">
        <v>964</v>
      </c>
      <c r="U546" s="214"/>
      <c r="V546" s="666"/>
      <c r="W546" s="666"/>
      <c r="X546" s="1181"/>
      <c r="Y546" s="8886"/>
      <c r="Z546" s="8734" t="s">
        <v>63</v>
      </c>
      <c r="AA546" s="8886"/>
      <c r="AB546" s="8734" t="s">
        <v>63</v>
      </c>
      <c r="AC546" s="666">
        <v>451.89</v>
      </c>
      <c r="AD546" s="666"/>
      <c r="AE546" s="1181"/>
      <c r="AF546" s="8886">
        <v>45292</v>
      </c>
      <c r="AG546" s="8734" t="s">
        <v>63</v>
      </c>
      <c r="AH546" s="8905">
        <v>45657</v>
      </c>
      <c r="AI546" s="8734" t="s">
        <v>63</v>
      </c>
      <c r="AJ546" s="1358"/>
      <c r="AK5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6" s="1562" t="e">
        <f ca="1">STRCHECKDATE(V547:AJ547)</f>
        <v>#NAME?</v>
      </c>
      <c r="AM546" s="1544"/>
      <c r="AN546" s="1544" t="str">
        <f t="shared" si="8"/>
        <v>Тариф, руб. за 1 куб. метр без НДС</v>
      </c>
      <c r="AO546" s="1544"/>
      <c r="AP546" s="1544"/>
    </row>
    <row r="547" spans="1:42" s="1818" customFormat="1" ht="14.25" customHeight="1">
      <c r="A547" s="1284"/>
      <c r="B547" s="1284"/>
      <c r="C547" s="1284"/>
      <c r="D547" s="1284"/>
      <c r="E547" s="8884"/>
      <c r="F547" s="8884"/>
      <c r="G547" s="8884"/>
      <c r="H547" s="8884"/>
      <c r="I547" s="8904"/>
      <c r="J547" s="8904" t="str">
        <f>I540&amp;".1"</f>
        <v>32.1.1.1.1</v>
      </c>
      <c r="K547" s="8881"/>
      <c r="L547" s="1290"/>
      <c r="M547" s="1696"/>
      <c r="N547" s="1696"/>
      <c r="O547" s="1696"/>
      <c r="P547" s="8882"/>
      <c r="Q547" s="8882"/>
      <c r="R547" s="278"/>
      <c r="S547" s="1815"/>
      <c r="T547" s="214"/>
      <c r="U547" s="214"/>
      <c r="V547" s="246"/>
      <c r="W547" s="246"/>
      <c r="X547" s="250" t="str">
        <f>Y546&amp;"-"&amp;AA546</f>
        <v>-</v>
      </c>
      <c r="Y547" s="8887"/>
      <c r="Z547" s="8734"/>
      <c r="AA547" s="8887"/>
      <c r="AB547" s="8734"/>
      <c r="AC547" s="246"/>
      <c r="AD547" s="246"/>
      <c r="AE547" s="250" t="str">
        <f>AF546&amp;"-"&amp;AH546</f>
        <v>45292-45657</v>
      </c>
      <c r="AF547" s="8887"/>
      <c r="AG547" s="8734"/>
      <c r="AH547" s="8906"/>
      <c r="AI547" s="8734"/>
      <c r="AJ547" s="1359"/>
      <c r="AK547" s="8941"/>
      <c r="AL547" s="1562"/>
      <c r="AM547" s="1544"/>
      <c r="AN547" s="1544" t="str">
        <f t="shared" si="8"/>
        <v/>
      </c>
      <c r="AO547" s="1544"/>
      <c r="AP547" s="1544"/>
    </row>
    <row r="548" spans="1:42" s="1818" customFormat="1" ht="21" customHeight="1">
      <c r="A548" s="1284"/>
      <c r="B548" s="1284"/>
      <c r="C548" s="1284"/>
      <c r="D548" s="1284"/>
      <c r="E548" s="8884"/>
      <c r="F548" s="8884"/>
      <c r="G548" s="8884"/>
      <c r="H548" s="8884"/>
      <c r="I548" s="8904"/>
      <c r="J548" s="8881" t="str">
        <f>I540&amp;".1"</f>
        <v>32.1.1.1.1</v>
      </c>
      <c r="K548" s="1284"/>
      <c r="L548" s="1290"/>
      <c r="M548" s="1696"/>
      <c r="N548" s="1696"/>
      <c r="O548" s="1696"/>
      <c r="P548" s="8882"/>
      <c r="Q548" s="8882"/>
      <c r="R548" s="277"/>
      <c r="S548" s="4111"/>
      <c r="T548" s="4112" t="s">
        <v>948</v>
      </c>
      <c r="U548" s="4113"/>
      <c r="V548" s="4114"/>
      <c r="W548" s="4115"/>
      <c r="X548" s="4116"/>
      <c r="Y548" s="4117"/>
      <c r="Z548" s="4118"/>
      <c r="AA548" s="4119"/>
      <c r="AB548" s="4120"/>
      <c r="AC548" s="4121"/>
      <c r="AD548" s="4122"/>
      <c r="AE548" s="4123"/>
      <c r="AF548" s="4124"/>
      <c r="AG548" s="4125"/>
      <c r="AH548" s="4126"/>
      <c r="AI548" s="4127"/>
      <c r="AJ548" s="4128"/>
      <c r="AK548" s="1182" t="s">
        <v>949</v>
      </c>
      <c r="AL548" s="1562"/>
      <c r="AM548" s="1544"/>
      <c r="AN548" s="1544" t="str">
        <f t="shared" si="8"/>
        <v>Добавить значение признака дифференциации</v>
      </c>
      <c r="AO548" s="1544"/>
      <c r="AP548" s="1544"/>
    </row>
    <row r="549" spans="1:42" s="1818" customFormat="1" ht="21" customHeight="1">
      <c r="A549" s="1284"/>
      <c r="B549" s="1284"/>
      <c r="C549" s="1284"/>
      <c r="D549" s="1284"/>
      <c r="E549" s="8884" t="s">
        <v>469</v>
      </c>
      <c r="F549" s="8884"/>
      <c r="G549" s="8884"/>
      <c r="H549" s="8884"/>
      <c r="I549" s="8881"/>
      <c r="J549" s="1284"/>
      <c r="K549" s="1284"/>
      <c r="L549" s="1290"/>
      <c r="M549" s="1696"/>
      <c r="N549" s="1696"/>
      <c r="O549" s="1696"/>
      <c r="P549" s="8882"/>
      <c r="Q549" s="1811"/>
      <c r="R549" s="277"/>
      <c r="S549" s="4129"/>
      <c r="T549" s="4130" t="s">
        <v>877</v>
      </c>
      <c r="U549" s="4131"/>
      <c r="V549" s="4132"/>
      <c r="W549" s="4133"/>
      <c r="X549" s="4134"/>
      <c r="Y549" s="4135"/>
      <c r="Z549" s="4136"/>
      <c r="AA549" s="4137"/>
      <c r="AB549" s="4138"/>
      <c r="AC549" s="4139"/>
      <c r="AD549" s="4140"/>
      <c r="AE549" s="4141"/>
      <c r="AF549" s="4142"/>
      <c r="AG549" s="4143"/>
      <c r="AH549" s="4144"/>
      <c r="AI549" s="4145"/>
      <c r="AJ549" s="4146"/>
      <c r="AK549" s="4147"/>
      <c r="AL549" s="1562"/>
      <c r="AM549" s="1544"/>
      <c r="AN549" s="1544" t="str">
        <f t="shared" si="8"/>
        <v>Добавить группу потребителей</v>
      </c>
      <c r="AO549" s="1544"/>
      <c r="AP549" s="1544"/>
    </row>
    <row r="550" spans="1:42" s="1818" customFormat="1" ht="21" customHeight="1">
      <c r="A550" s="1284"/>
      <c r="B550" s="1284"/>
      <c r="C550" s="1284"/>
      <c r="D550" s="1284"/>
      <c r="E550" s="8884" t="s">
        <v>469</v>
      </c>
      <c r="F550" s="8884"/>
      <c r="G550" s="8884"/>
      <c r="H550" s="8883"/>
      <c r="I550" s="1284"/>
      <c r="J550" s="1284"/>
      <c r="K550" s="1284"/>
      <c r="L550" s="1290"/>
      <c r="M550" s="1286"/>
      <c r="N550" s="1286"/>
      <c r="O550" s="1287"/>
      <c r="P550" s="1742"/>
      <c r="Q550" s="299"/>
      <c r="R550" s="276"/>
      <c r="S550" s="4148"/>
      <c r="T550" s="4149" t="s">
        <v>950</v>
      </c>
      <c r="U550" s="4150"/>
      <c r="V550" s="4151"/>
      <c r="W550" s="4152"/>
      <c r="X550" s="4153"/>
      <c r="Y550" s="4154"/>
      <c r="Z550" s="4155"/>
      <c r="AA550" s="4156"/>
      <c r="AB550" s="4157"/>
      <c r="AC550" s="4158"/>
      <c r="AD550" s="4159"/>
      <c r="AE550" s="4160"/>
      <c r="AF550" s="4161"/>
      <c r="AG550" s="4162"/>
      <c r="AH550" s="4163"/>
      <c r="AI550" s="4164"/>
      <c r="AJ550" s="4165"/>
      <c r="AK550" s="4166"/>
      <c r="AL550" s="1562"/>
      <c r="AM550" s="1544"/>
      <c r="AN550" s="1544" t="str">
        <f t="shared" si="8"/>
        <v>Добавить наименование признака дифференциации</v>
      </c>
      <c r="AO550" s="1544"/>
      <c r="AP550" s="1544"/>
    </row>
    <row r="551" spans="1:42" s="541" customFormat="1" ht="14.25" customHeight="1">
      <c r="A551" s="1265"/>
      <c r="B551" s="1265"/>
      <c r="C551" s="1265"/>
      <c r="D551" s="1265"/>
      <c r="E551" s="8884" t="s">
        <v>469</v>
      </c>
      <c r="F551" s="8883"/>
      <c r="G551" s="1265"/>
      <c r="H551" s="1265"/>
      <c r="I551" s="1265"/>
      <c r="J551" s="1265"/>
      <c r="K551" s="1265"/>
      <c r="L551" s="1466"/>
      <c r="M551" s="1244"/>
      <c r="N551" s="1244"/>
      <c r="O551" s="1562"/>
      <c r="P551" s="1239"/>
      <c r="Q551" s="1266"/>
      <c r="R551" s="1239"/>
      <c r="S551" s="1245"/>
      <c r="T551" s="1248" t="s">
        <v>314</v>
      </c>
      <c r="U551" s="1247"/>
      <c r="V551" s="1247"/>
      <c r="W551" s="1247"/>
      <c r="X551" s="1247"/>
      <c r="Y551" s="1247"/>
      <c r="Z551" s="1247"/>
      <c r="AA551" s="1247"/>
      <c r="AB551" s="1247"/>
      <c r="AC551" s="1247"/>
      <c r="AD551" s="1247"/>
      <c r="AE551" s="1247"/>
      <c r="AF551" s="1247"/>
      <c r="AG551" s="1247"/>
      <c r="AH551" s="1247"/>
      <c r="AI551" s="1247"/>
      <c r="AJ551" s="1247"/>
      <c r="AK551" s="1247"/>
      <c r="AL551" s="1562"/>
      <c r="AM551" s="1544"/>
      <c r="AN551" s="1544" t="str">
        <f t="shared" si="8"/>
        <v>Добавить централизованную систему для дифференциации</v>
      </c>
      <c r="AO551" s="1544"/>
      <c r="AP551" s="1544"/>
    </row>
    <row r="552" spans="1:42" s="541" customFormat="1" ht="14.25" customHeight="1">
      <c r="A552" s="1265"/>
      <c r="B552" s="1265"/>
      <c r="C552" s="1265"/>
      <c r="D552" s="1265"/>
      <c r="E552" s="8883" t="s">
        <v>469</v>
      </c>
      <c r="F552" s="1265"/>
      <c r="G552" s="1265"/>
      <c r="H552" s="1265"/>
      <c r="I552" s="1265"/>
      <c r="J552" s="1265"/>
      <c r="K552" s="1265"/>
      <c r="L552" s="1466"/>
      <c r="M552" s="1244"/>
      <c r="N552" s="1244"/>
      <c r="O552" s="1562"/>
      <c r="P552" s="1239"/>
      <c r="Q552" s="1266"/>
      <c r="R552" s="1239"/>
      <c r="S552" s="1245"/>
      <c r="T552" s="1248" t="s">
        <v>315</v>
      </c>
      <c r="U552" s="1247"/>
      <c r="V552" s="1247"/>
      <c r="W552" s="1247"/>
      <c r="X552" s="1247"/>
      <c r="Y552" s="1247"/>
      <c r="Z552" s="1247"/>
      <c r="AA552" s="1247"/>
      <c r="AB552" s="1247"/>
      <c r="AC552" s="1247"/>
      <c r="AD552" s="1247"/>
      <c r="AE552" s="1247"/>
      <c r="AF552" s="1247"/>
      <c r="AG552" s="1247"/>
      <c r="AH552" s="1247"/>
      <c r="AI552" s="1247"/>
      <c r="AJ552" s="1247"/>
      <c r="AK552" s="1247"/>
      <c r="AL552" s="1562"/>
      <c r="AM552" s="1544"/>
      <c r="AN552" s="1544" t="str">
        <f t="shared" si="8"/>
        <v>Добавить территорию для дифференциации</v>
      </c>
      <c r="AO552" s="1544"/>
      <c r="AP552" s="1544"/>
    </row>
    <row r="553" spans="1:42" s="1818" customFormat="1" ht="23.25" customHeight="1">
      <c r="A553" s="1284" t="s">
        <v>483</v>
      </c>
      <c r="B553" s="1284"/>
      <c r="C553" s="1284"/>
      <c r="D553" s="1284"/>
      <c r="E553" s="8883" t="s">
        <v>481</v>
      </c>
      <c r="F553" s="1284"/>
      <c r="G553" s="1284"/>
      <c r="H553" s="1284"/>
      <c r="I553" s="1284"/>
      <c r="J553" s="1284"/>
      <c r="K553" s="1284"/>
      <c r="L553" s="1290"/>
      <c r="M553" s="1286"/>
      <c r="N553" s="1286"/>
      <c r="O553" s="1286"/>
      <c r="P553" s="1812"/>
      <c r="Q553" s="1742"/>
      <c r="R553" s="276"/>
      <c r="S553" s="1810" t="str">
        <f>INDEX(PT_DIFFERENTIATION_NUM_NTAR,MATCH(A553,PT_DIFFERENTIATION_NTAR_ID,0))</f>
        <v>33</v>
      </c>
      <c r="T553" s="1440" t="s">
        <v>211</v>
      </c>
      <c r="U553" s="214"/>
      <c r="V553" s="8869"/>
      <c r="W553" s="8870"/>
      <c r="X553" s="8870"/>
      <c r="Y553" s="8870"/>
      <c r="Z553" s="8870"/>
      <c r="AA553" s="8870"/>
      <c r="AB553" s="8871"/>
      <c r="AC553" s="8869" t="str">
        <f>INDEX(PT_DIFFERENTIATION_NTAR,MATCH(A553,PT_DIFFERENTIATION_NTAR_ID,0))</f>
        <v>Подвоз воды потребителям поселка Боргустанские Горы</v>
      </c>
      <c r="AD553" s="8870"/>
      <c r="AE553" s="8870"/>
      <c r="AF553" s="8870"/>
      <c r="AG553" s="8870"/>
      <c r="AH553" s="8870"/>
      <c r="AI553" s="8870"/>
      <c r="AJ553" s="8871"/>
      <c r="AK55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553" s="1562"/>
      <c r="AM553" s="1544"/>
      <c r="AN553" s="1544" t="str">
        <f t="shared" ref="AN553:AN616" si="9">IF(T553="","",T553)</f>
        <v>Наименование тарифа</v>
      </c>
      <c r="AO553" s="1544"/>
      <c r="AP553" s="1544"/>
    </row>
    <row r="554" spans="1:42" s="1818" customFormat="1" ht="23.25" customHeight="1">
      <c r="A554" s="1284"/>
      <c r="B554" s="1284" t="s">
        <v>484</v>
      </c>
      <c r="C554" s="1284"/>
      <c r="D554" s="1284"/>
      <c r="E554" s="8884" t="s">
        <v>475</v>
      </c>
      <c r="F554" s="8883">
        <v>1</v>
      </c>
      <c r="G554" s="1284"/>
      <c r="H554" s="1284"/>
      <c r="I554" s="1284"/>
      <c r="J554" s="1284"/>
      <c r="K554" s="1284"/>
      <c r="L554" s="1290"/>
      <c r="M554" s="1286"/>
      <c r="N554" s="1286"/>
      <c r="O554" s="1286"/>
      <c r="P554" s="1807"/>
      <c r="Q554" s="273"/>
      <c r="R554" s="274"/>
      <c r="S554" s="1810" t="str">
        <f>INDEX(PT_DIFFERENTIATION_NUM_TER,MATCH(B554,PT_DIFFERENTIATION_TER_ID,0))</f>
        <v>33.1</v>
      </c>
      <c r="T554" s="1437" t="s">
        <v>862</v>
      </c>
      <c r="U554" s="214"/>
      <c r="V554" s="8869"/>
      <c r="W554" s="8870"/>
      <c r="X554" s="8870"/>
      <c r="Y554" s="8870"/>
      <c r="Z554" s="8870"/>
      <c r="AA554" s="8870"/>
      <c r="AB554" s="8871"/>
      <c r="AC554" s="8869" t="str">
        <f>INDEX(PT_DIFFERENTIATION_TER,MATCH(B554,PT_DIFFERENTIATION_TER_ID,0))</f>
        <v>Территория 9</v>
      </c>
      <c r="AD554" s="8870"/>
      <c r="AE554" s="8870"/>
      <c r="AF554" s="8870"/>
      <c r="AG554" s="8870"/>
      <c r="AH554" s="8870"/>
      <c r="AI554" s="8870"/>
      <c r="AJ554" s="8871"/>
      <c r="AK554" s="1182" t="s">
        <v>863</v>
      </c>
      <c r="AL554" s="1562"/>
      <c r="AM554" s="1544"/>
      <c r="AN554" s="1544" t="str">
        <f t="shared" si="9"/>
        <v>Территория действия тарифа</v>
      </c>
      <c r="AO554" s="1544"/>
      <c r="AP554" s="1544"/>
    </row>
    <row r="555" spans="1:42" s="1818" customFormat="1" ht="23.25" customHeight="1">
      <c r="A555" s="1284"/>
      <c r="B555" s="1284"/>
      <c r="C555" s="1284" t="s">
        <v>485</v>
      </c>
      <c r="D555" s="1284"/>
      <c r="E555" s="8884" t="s">
        <v>475</v>
      </c>
      <c r="F555" s="8884"/>
      <c r="G555" s="8883">
        <v>1</v>
      </c>
      <c r="H555" s="1284"/>
      <c r="I555" s="1284"/>
      <c r="J555" s="1284"/>
      <c r="K555" s="1284"/>
      <c r="L555" s="1290"/>
      <c r="M555" s="1286"/>
      <c r="N555" s="1286"/>
      <c r="O555" s="1286"/>
      <c r="P555" s="275"/>
      <c r="Q555" s="273"/>
      <c r="R555" s="274"/>
      <c r="S555" s="1810" t="str">
        <f>INDEX(PT_DIFFERENTIATION_NUM_CS,MATCH(C555,PT_DIFFERENTIATION_CS_ID,0))</f>
        <v>33.1.1</v>
      </c>
      <c r="T555" s="225" t="s">
        <v>943</v>
      </c>
      <c r="U555" s="214"/>
      <c r="V555" s="8869"/>
      <c r="W555" s="8870"/>
      <c r="X555" s="8870"/>
      <c r="Y555" s="8870"/>
      <c r="Z555" s="8870"/>
      <c r="AA555" s="8870"/>
      <c r="AB555" s="8871"/>
      <c r="AC555" s="8869" t="str">
        <f>INDEX(PT_DIFFERENTIATION_CS,MATCH(C555,PT_DIFFERENTIATION_CS_ID,0))</f>
        <v>без дифференциации</v>
      </c>
      <c r="AD555" s="8870"/>
      <c r="AE555" s="8870"/>
      <c r="AF555" s="8870"/>
      <c r="AG555" s="8870"/>
      <c r="AH555" s="8870"/>
      <c r="AI555" s="8870"/>
      <c r="AJ555" s="8871"/>
      <c r="AK555" s="1182" t="s">
        <v>944</v>
      </c>
      <c r="AL555" s="1562"/>
      <c r="AM555" s="1544"/>
      <c r="AN555" s="1544" t="str">
        <f t="shared" si="9"/>
        <v>Наименование централизованной системы холодного водоснабжения</v>
      </c>
      <c r="AO555" s="1544"/>
      <c r="AP555" s="1544"/>
    </row>
    <row r="556" spans="1:42" s="1818" customFormat="1" ht="23.25" customHeight="1">
      <c r="A556" s="1284"/>
      <c r="B556" s="1284"/>
      <c r="C556" s="1284"/>
      <c r="D556" s="1284"/>
      <c r="E556" s="8884" t="s">
        <v>475</v>
      </c>
      <c r="F556" s="8884"/>
      <c r="G556" s="8884"/>
      <c r="H556" s="8884"/>
      <c r="I556" s="8881" t="str">
        <f>S555&amp;".1"</f>
        <v>33.1.1.1</v>
      </c>
      <c r="J556" s="1284"/>
      <c r="K556" s="1284"/>
      <c r="L556" s="1290"/>
      <c r="M556" s="1696"/>
      <c r="N556" s="1696"/>
      <c r="O556" s="1696"/>
      <c r="P556" s="8882">
        <v>1</v>
      </c>
      <c r="Q556" s="1811"/>
      <c r="R556" s="277"/>
      <c r="S556" s="1810" t="str">
        <f>$I556</f>
        <v>33.1.1.1</v>
      </c>
      <c r="T556" s="200" t="s">
        <v>945</v>
      </c>
      <c r="U556" s="214"/>
      <c r="V556" s="8942"/>
      <c r="W556" s="8943"/>
      <c r="X556" s="8943"/>
      <c r="Y556" s="8943"/>
      <c r="Z556" s="8943"/>
      <c r="AA556" s="8943"/>
      <c r="AB556" s="8944"/>
      <c r="AC556" s="8945"/>
      <c r="AD556" s="8946"/>
      <c r="AE556" s="8946"/>
      <c r="AF556" s="8946"/>
      <c r="AG556" s="8946"/>
      <c r="AH556" s="8946"/>
      <c r="AI556" s="8946"/>
      <c r="AJ556" s="8947"/>
      <c r="AK556" s="1182" t="s">
        <v>946</v>
      </c>
      <c r="AL556" s="1562"/>
      <c r="AM556" s="1544"/>
      <c r="AN556" s="1544" t="str">
        <f t="shared" si="9"/>
        <v>Наименование признака дифференциации</v>
      </c>
      <c r="AO556" s="1544"/>
      <c r="AP556" s="1544"/>
    </row>
    <row r="557" spans="1:42" s="1818" customFormat="1" ht="23.25" customHeight="1">
      <c r="A557" s="1284"/>
      <c r="B557" s="1284"/>
      <c r="C557" s="1284"/>
      <c r="D557" s="1284"/>
      <c r="E557" s="8884" t="s">
        <v>475</v>
      </c>
      <c r="F557" s="8884"/>
      <c r="G557" s="8884"/>
      <c r="H557" s="8884"/>
      <c r="I557" s="8904"/>
      <c r="J557" s="8881" t="str">
        <f>I556&amp;".1"</f>
        <v>33.1.1.1.1</v>
      </c>
      <c r="K557" s="1284"/>
      <c r="L557" s="1290" t="s">
        <v>871</v>
      </c>
      <c r="M557" s="1696"/>
      <c r="N557" s="1696"/>
      <c r="O557" s="1696"/>
      <c r="P557" s="8882"/>
      <c r="Q557" s="8882">
        <v>1</v>
      </c>
      <c r="R557" s="278"/>
      <c r="S557" s="1810" t="str">
        <f>$J557</f>
        <v>33.1.1.1.1</v>
      </c>
      <c r="T557" s="201" t="s">
        <v>872</v>
      </c>
      <c r="U557" s="214"/>
      <c r="V557" s="8872"/>
      <c r="W557" s="8873"/>
      <c r="X557" s="8873"/>
      <c r="Y557" s="8873"/>
      <c r="Z557" s="8873"/>
      <c r="AA557" s="8873"/>
      <c r="AB557" s="8874"/>
      <c r="AC557" s="8872" t="s">
        <v>961</v>
      </c>
      <c r="AD557" s="8873"/>
      <c r="AE557" s="8873"/>
      <c r="AF557" s="8873"/>
      <c r="AG557" s="8873"/>
      <c r="AH557" s="8873"/>
      <c r="AI557" s="8873"/>
      <c r="AJ557" s="8874"/>
      <c r="AK557" s="1231" t="s">
        <v>947</v>
      </c>
      <c r="AL557" s="1562"/>
      <c r="AM557" s="1544"/>
      <c r="AN557" s="1544" t="str">
        <f t="shared" si="9"/>
        <v>Группа потребителей</v>
      </c>
      <c r="AO557" s="1544"/>
      <c r="AP557" s="1544"/>
    </row>
    <row r="558" spans="1:42" s="1818" customFormat="1" ht="23.25" customHeight="1">
      <c r="A558" s="1284"/>
      <c r="B558" s="1284"/>
      <c r="C558" s="1284"/>
      <c r="D558" s="1284"/>
      <c r="E558" s="8884" t="s">
        <v>475</v>
      </c>
      <c r="F558" s="8884"/>
      <c r="G558" s="8884"/>
      <c r="H558" s="8884"/>
      <c r="I558" s="8904"/>
      <c r="J558" s="8904"/>
      <c r="K558" s="8881" t="str">
        <f>J557&amp;".1"</f>
        <v>33.1.1.1.1.1</v>
      </c>
      <c r="L558" s="1290"/>
      <c r="M558" s="1696"/>
      <c r="N558" s="1696"/>
      <c r="O558" s="1696"/>
      <c r="P558" s="8882"/>
      <c r="Q558" s="8882"/>
      <c r="R558" s="278">
        <v>1</v>
      </c>
      <c r="S558" s="1810" t="str">
        <f>$K558</f>
        <v>33.1.1.1.1.1</v>
      </c>
      <c r="T558" s="1357" t="s">
        <v>962</v>
      </c>
      <c r="U558" s="214"/>
      <c r="V558" s="666"/>
      <c r="W558" s="666"/>
      <c r="X558" s="1181"/>
      <c r="Y558" s="8886"/>
      <c r="Z558" s="8734" t="s">
        <v>63</v>
      </c>
      <c r="AA558" s="8886"/>
      <c r="AB558" s="8734" t="s">
        <v>63</v>
      </c>
      <c r="AC558" s="666">
        <v>729.98</v>
      </c>
      <c r="AD558" s="666"/>
      <c r="AE558" s="1181"/>
      <c r="AF558" s="8886">
        <v>45292</v>
      </c>
      <c r="AG558" s="8734" t="s">
        <v>63</v>
      </c>
      <c r="AH558" s="8905">
        <v>45657</v>
      </c>
      <c r="AI558" s="8734" t="s">
        <v>63</v>
      </c>
      <c r="AJ558" s="1358"/>
      <c r="AK55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58" s="1562" t="e">
        <f ca="1">STRCHECKDATE(V559:AJ559)</f>
        <v>#NAME?</v>
      </c>
      <c r="AM558" s="1544"/>
      <c r="AN558" s="1544" t="str">
        <f t="shared" si="9"/>
        <v>Тариф для населения, руб. за 1 куб. метр с НДС</v>
      </c>
      <c r="AO558" s="1544"/>
      <c r="AP558" s="1544"/>
    </row>
    <row r="559" spans="1:42" s="1818" customFormat="1" ht="14.25" customHeight="1">
      <c r="A559" s="1284"/>
      <c r="B559" s="1284"/>
      <c r="C559" s="1284"/>
      <c r="D559" s="1284"/>
      <c r="E559" s="8884" t="s">
        <v>475</v>
      </c>
      <c r="F559" s="8884"/>
      <c r="G559" s="8884"/>
      <c r="H559" s="8884"/>
      <c r="I559" s="8904"/>
      <c r="J559" s="8904"/>
      <c r="K559" s="8881"/>
      <c r="L559" s="1290"/>
      <c r="M559" s="1696"/>
      <c r="N559" s="1696"/>
      <c r="O559" s="1696"/>
      <c r="P559" s="8882"/>
      <c r="Q559" s="8882"/>
      <c r="R559" s="278"/>
      <c r="S559" s="1815"/>
      <c r="T559" s="214"/>
      <c r="U559" s="214"/>
      <c r="V559" s="246"/>
      <c r="W559" s="246"/>
      <c r="X559" s="250" t="str">
        <f>Y558&amp;"-"&amp;AA558</f>
        <v>-</v>
      </c>
      <c r="Y559" s="8887"/>
      <c r="Z559" s="8734"/>
      <c r="AA559" s="8887"/>
      <c r="AB559" s="8734"/>
      <c r="AC559" s="246"/>
      <c r="AD559" s="246"/>
      <c r="AE559" s="250" t="str">
        <f>AF558&amp;"-"&amp;AH558</f>
        <v>45292-45657</v>
      </c>
      <c r="AF559" s="8887"/>
      <c r="AG559" s="8734"/>
      <c r="AH559" s="8906"/>
      <c r="AI559" s="8734"/>
      <c r="AJ559" s="1359"/>
      <c r="AK559" s="8941"/>
      <c r="AL559" s="1562"/>
      <c r="AM559" s="1544"/>
      <c r="AN559" s="1544" t="str">
        <f t="shared" si="9"/>
        <v/>
      </c>
      <c r="AO559" s="1544"/>
      <c r="AP559" s="1544"/>
    </row>
    <row r="560" spans="1:42" s="1818" customFormat="1" ht="21" customHeight="1">
      <c r="A560" s="1284"/>
      <c r="B560" s="1284"/>
      <c r="C560" s="1284"/>
      <c r="D560" s="1284"/>
      <c r="E560" s="8884" t="s">
        <v>475</v>
      </c>
      <c r="F560" s="8884"/>
      <c r="G560" s="8884"/>
      <c r="H560" s="8884"/>
      <c r="I560" s="8904"/>
      <c r="J560" s="8881"/>
      <c r="K560" s="1284"/>
      <c r="L560" s="1290"/>
      <c r="M560" s="1696"/>
      <c r="N560" s="1696"/>
      <c r="O560" s="1696"/>
      <c r="P560" s="8882"/>
      <c r="Q560" s="8882"/>
      <c r="R560" s="277"/>
      <c r="S560" s="4167"/>
      <c r="T560" s="4168" t="s">
        <v>948</v>
      </c>
      <c r="U560" s="4169"/>
      <c r="V560" s="4170"/>
      <c r="W560" s="4171"/>
      <c r="X560" s="4172"/>
      <c r="Y560" s="4173"/>
      <c r="Z560" s="4174"/>
      <c r="AA560" s="4175"/>
      <c r="AB560" s="4176"/>
      <c r="AC560" s="4177"/>
      <c r="AD560" s="4178"/>
      <c r="AE560" s="4179"/>
      <c r="AF560" s="4180"/>
      <c r="AG560" s="4181"/>
      <c r="AH560" s="4182"/>
      <c r="AI560" s="4183"/>
      <c r="AJ560" s="4184"/>
      <c r="AK560" s="1182" t="s">
        <v>949</v>
      </c>
      <c r="AL560" s="1562"/>
      <c r="AM560" s="1544"/>
      <c r="AN560" s="1544" t="str">
        <f t="shared" si="9"/>
        <v>Добавить значение признака дифференциации</v>
      </c>
      <c r="AO560" s="1544"/>
      <c r="AP560" s="1544"/>
    </row>
    <row r="561" spans="1:42" s="1818" customFormat="1" ht="23.25" customHeight="1">
      <c r="A561" s="1284"/>
      <c r="B561" s="1284"/>
      <c r="C561" s="1284"/>
      <c r="D561" s="1284"/>
      <c r="E561" s="8884"/>
      <c r="F561" s="8884"/>
      <c r="G561" s="8884"/>
      <c r="H561" s="8884"/>
      <c r="I561" s="8904"/>
      <c r="J561" s="8881" t="str">
        <f>I556&amp;".2"</f>
        <v>33.1.1.1.2</v>
      </c>
      <c r="K561" s="1284"/>
      <c r="L561" s="1290" t="s">
        <v>871</v>
      </c>
      <c r="M561" s="1696"/>
      <c r="N561" s="1696"/>
      <c r="O561" s="1696"/>
      <c r="P561" s="8882"/>
      <c r="Q561" s="8948" t="s">
        <v>100</v>
      </c>
      <c r="R561" s="278"/>
      <c r="S561" s="1810" t="str">
        <f>$J561</f>
        <v>33.1.1.1.2</v>
      </c>
      <c r="T561" s="201" t="s">
        <v>872</v>
      </c>
      <c r="U561" s="214"/>
      <c r="V561" s="8872"/>
      <c r="W561" s="8873"/>
      <c r="X561" s="8873"/>
      <c r="Y561" s="8873"/>
      <c r="Z561" s="8873"/>
      <c r="AA561" s="8873"/>
      <c r="AB561" s="8874"/>
      <c r="AC561" s="8872" t="s">
        <v>963</v>
      </c>
      <c r="AD561" s="8873"/>
      <c r="AE561" s="8873"/>
      <c r="AF561" s="8873"/>
      <c r="AG561" s="8873"/>
      <c r="AH561" s="8873"/>
      <c r="AI561" s="8873"/>
      <c r="AJ561" s="8874"/>
      <c r="AK561" s="1231" t="s">
        <v>947</v>
      </c>
      <c r="AL561" s="1562"/>
      <c r="AM561" s="1544"/>
      <c r="AN561" s="1544" t="str">
        <f t="shared" si="9"/>
        <v>Группа потребителей</v>
      </c>
      <c r="AO561" s="1544"/>
      <c r="AP561" s="1544"/>
    </row>
    <row r="562" spans="1:42" s="1818" customFormat="1" ht="23.25" customHeight="1">
      <c r="A562" s="1284"/>
      <c r="B562" s="1284"/>
      <c r="C562" s="1284"/>
      <c r="D562" s="1284"/>
      <c r="E562" s="8884"/>
      <c r="F562" s="8884"/>
      <c r="G562" s="8884"/>
      <c r="H562" s="8884"/>
      <c r="I562" s="8904"/>
      <c r="J562" s="8904" t="str">
        <f>I556&amp;".1"</f>
        <v>33.1.1.1.1</v>
      </c>
      <c r="K562" s="8881" t="str">
        <f>J561&amp;".1"</f>
        <v>33.1.1.1.2.1</v>
      </c>
      <c r="L562" s="1290"/>
      <c r="M562" s="1696"/>
      <c r="N562" s="1696"/>
      <c r="O562" s="1696"/>
      <c r="P562" s="8882"/>
      <c r="Q562" s="8882"/>
      <c r="R562" s="278">
        <v>1</v>
      </c>
      <c r="S562" s="1810" t="str">
        <f>$K562</f>
        <v>33.1.1.1.2.1</v>
      </c>
      <c r="T562" s="1357" t="s">
        <v>964</v>
      </c>
      <c r="U562" s="214"/>
      <c r="V562" s="666"/>
      <c r="W562" s="666"/>
      <c r="X562" s="1181"/>
      <c r="Y562" s="8886"/>
      <c r="Z562" s="8734" t="s">
        <v>63</v>
      </c>
      <c r="AA562" s="8886"/>
      <c r="AB562" s="8734" t="s">
        <v>63</v>
      </c>
      <c r="AC562" s="666">
        <v>608.32000000000005</v>
      </c>
      <c r="AD562" s="666"/>
      <c r="AE562" s="1181"/>
      <c r="AF562" s="8886">
        <v>45292</v>
      </c>
      <c r="AG562" s="8734" t="s">
        <v>63</v>
      </c>
      <c r="AH562" s="8905">
        <v>45657</v>
      </c>
      <c r="AI562" s="8734" t="s">
        <v>63</v>
      </c>
      <c r="AJ562" s="1358"/>
      <c r="AK56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62" s="1562" t="e">
        <f ca="1">STRCHECKDATE(V563:AJ563)</f>
        <v>#NAME?</v>
      </c>
      <c r="AM562" s="1544"/>
      <c r="AN562" s="1544" t="str">
        <f t="shared" si="9"/>
        <v>Тариф, руб. за 1 куб. метр без НДС</v>
      </c>
      <c r="AO562" s="1544"/>
      <c r="AP562" s="1544"/>
    </row>
    <row r="563" spans="1:42" s="1818" customFormat="1" ht="14.25" customHeight="1">
      <c r="A563" s="1284"/>
      <c r="B563" s="1284"/>
      <c r="C563" s="1284"/>
      <c r="D563" s="1284"/>
      <c r="E563" s="8884"/>
      <c r="F563" s="8884"/>
      <c r="G563" s="8884"/>
      <c r="H563" s="8884"/>
      <c r="I563" s="8904"/>
      <c r="J563" s="8904" t="str">
        <f>I556&amp;".1"</f>
        <v>33.1.1.1.1</v>
      </c>
      <c r="K563" s="8881"/>
      <c r="L563" s="1290"/>
      <c r="M563" s="1696"/>
      <c r="N563" s="1696"/>
      <c r="O563" s="1696"/>
      <c r="P563" s="8882"/>
      <c r="Q563" s="8882"/>
      <c r="R563" s="278"/>
      <c r="S563" s="1815"/>
      <c r="T563" s="214"/>
      <c r="U563" s="214"/>
      <c r="V563" s="246"/>
      <c r="W563" s="246"/>
      <c r="X563" s="250" t="str">
        <f>Y562&amp;"-"&amp;AA562</f>
        <v>-</v>
      </c>
      <c r="Y563" s="8887"/>
      <c r="Z563" s="8734"/>
      <c r="AA563" s="8887"/>
      <c r="AB563" s="8734"/>
      <c r="AC563" s="246"/>
      <c r="AD563" s="246"/>
      <c r="AE563" s="250" t="str">
        <f>AF562&amp;"-"&amp;AH562</f>
        <v>45292-45657</v>
      </c>
      <c r="AF563" s="8887"/>
      <c r="AG563" s="8734"/>
      <c r="AH563" s="8906"/>
      <c r="AI563" s="8734"/>
      <c r="AJ563" s="1359"/>
      <c r="AK563" s="8941"/>
      <c r="AL563" s="1562"/>
      <c r="AM563" s="1544"/>
      <c r="AN563" s="1544" t="str">
        <f t="shared" si="9"/>
        <v/>
      </c>
      <c r="AO563" s="1544"/>
      <c r="AP563" s="1544"/>
    </row>
    <row r="564" spans="1:42" s="1818" customFormat="1" ht="21" customHeight="1">
      <c r="A564" s="1284"/>
      <c r="B564" s="1284"/>
      <c r="C564" s="1284"/>
      <c r="D564" s="1284"/>
      <c r="E564" s="8884"/>
      <c r="F564" s="8884"/>
      <c r="G564" s="8884"/>
      <c r="H564" s="8884"/>
      <c r="I564" s="8904"/>
      <c r="J564" s="8881" t="str">
        <f>I556&amp;".1"</f>
        <v>33.1.1.1.1</v>
      </c>
      <c r="K564" s="1284"/>
      <c r="L564" s="1290"/>
      <c r="M564" s="1696"/>
      <c r="N564" s="1696"/>
      <c r="O564" s="1696"/>
      <c r="P564" s="8882"/>
      <c r="Q564" s="8882"/>
      <c r="R564" s="277"/>
      <c r="S564" s="4185"/>
      <c r="T564" s="4186" t="s">
        <v>948</v>
      </c>
      <c r="U564" s="4187"/>
      <c r="V564" s="4188"/>
      <c r="W564" s="4189"/>
      <c r="X564" s="4190"/>
      <c r="Y564" s="4191"/>
      <c r="Z564" s="4192"/>
      <c r="AA564" s="4193"/>
      <c r="AB564" s="4194"/>
      <c r="AC564" s="4195"/>
      <c r="AD564" s="4196"/>
      <c r="AE564" s="4197"/>
      <c r="AF564" s="4198"/>
      <c r="AG564" s="4199"/>
      <c r="AH564" s="4200"/>
      <c r="AI564" s="4201"/>
      <c r="AJ564" s="4202"/>
      <c r="AK564" s="1182" t="s">
        <v>949</v>
      </c>
      <c r="AL564" s="1562"/>
      <c r="AM564" s="1544"/>
      <c r="AN564" s="1544" t="str">
        <f t="shared" si="9"/>
        <v>Добавить значение признака дифференциации</v>
      </c>
      <c r="AO564" s="1544"/>
      <c r="AP564" s="1544"/>
    </row>
    <row r="565" spans="1:42" s="1818" customFormat="1" ht="21" customHeight="1">
      <c r="A565" s="1284"/>
      <c r="B565" s="1284"/>
      <c r="C565" s="1284"/>
      <c r="D565" s="1284"/>
      <c r="E565" s="8884" t="s">
        <v>475</v>
      </c>
      <c r="F565" s="8884"/>
      <c r="G565" s="8884"/>
      <c r="H565" s="8884"/>
      <c r="I565" s="8881"/>
      <c r="J565" s="1284"/>
      <c r="K565" s="1284"/>
      <c r="L565" s="1290"/>
      <c r="M565" s="1696"/>
      <c r="N565" s="1696"/>
      <c r="O565" s="1696"/>
      <c r="P565" s="8882"/>
      <c r="Q565" s="1811"/>
      <c r="R565" s="277"/>
      <c r="S565" s="4203"/>
      <c r="T565" s="4204" t="s">
        <v>877</v>
      </c>
      <c r="U565" s="4205"/>
      <c r="V565" s="4206"/>
      <c r="W565" s="4207"/>
      <c r="X565" s="4208"/>
      <c r="Y565" s="4209"/>
      <c r="Z565" s="4210"/>
      <c r="AA565" s="4211"/>
      <c r="AB565" s="4212"/>
      <c r="AC565" s="4213"/>
      <c r="AD565" s="4214"/>
      <c r="AE565" s="4215"/>
      <c r="AF565" s="4216"/>
      <c r="AG565" s="4217"/>
      <c r="AH565" s="4218"/>
      <c r="AI565" s="4219"/>
      <c r="AJ565" s="4220"/>
      <c r="AK565" s="4221"/>
      <c r="AL565" s="1562"/>
      <c r="AM565" s="1544"/>
      <c r="AN565" s="1544" t="str">
        <f t="shared" si="9"/>
        <v>Добавить группу потребителей</v>
      </c>
      <c r="AO565" s="1544"/>
      <c r="AP565" s="1544"/>
    </row>
    <row r="566" spans="1:42" s="1818" customFormat="1" ht="21" customHeight="1">
      <c r="A566" s="1284"/>
      <c r="B566" s="1284"/>
      <c r="C566" s="1284"/>
      <c r="D566" s="1284"/>
      <c r="E566" s="8884" t="s">
        <v>475</v>
      </c>
      <c r="F566" s="8884"/>
      <c r="G566" s="8884"/>
      <c r="H566" s="8883"/>
      <c r="I566" s="1284"/>
      <c r="J566" s="1284"/>
      <c r="K566" s="1284"/>
      <c r="L566" s="1290"/>
      <c r="M566" s="1286"/>
      <c r="N566" s="1286"/>
      <c r="O566" s="1287"/>
      <c r="P566" s="1742"/>
      <c r="Q566" s="299"/>
      <c r="R566" s="276"/>
      <c r="S566" s="4222"/>
      <c r="T566" s="4223" t="s">
        <v>950</v>
      </c>
      <c r="U566" s="4224"/>
      <c r="V566" s="4225"/>
      <c r="W566" s="4226"/>
      <c r="X566" s="4227"/>
      <c r="Y566" s="4228"/>
      <c r="Z566" s="4229"/>
      <c r="AA566" s="4230"/>
      <c r="AB566" s="4231"/>
      <c r="AC566" s="4232"/>
      <c r="AD566" s="4233"/>
      <c r="AE566" s="4234"/>
      <c r="AF566" s="4235"/>
      <c r="AG566" s="4236"/>
      <c r="AH566" s="4237"/>
      <c r="AI566" s="4238"/>
      <c r="AJ566" s="4239"/>
      <c r="AK566" s="4240"/>
      <c r="AL566" s="1562"/>
      <c r="AM566" s="1544"/>
      <c r="AN566" s="1544" t="str">
        <f t="shared" si="9"/>
        <v>Добавить наименование признака дифференциации</v>
      </c>
      <c r="AO566" s="1544"/>
      <c r="AP566" s="1544"/>
    </row>
    <row r="567" spans="1:42" s="541" customFormat="1" ht="14.25" customHeight="1">
      <c r="A567" s="1265"/>
      <c r="B567" s="1265"/>
      <c r="C567" s="1265"/>
      <c r="D567" s="1265"/>
      <c r="E567" s="8884" t="s">
        <v>475</v>
      </c>
      <c r="F567" s="8883"/>
      <c r="G567" s="1265"/>
      <c r="H567" s="1265"/>
      <c r="I567" s="1265"/>
      <c r="J567" s="1265"/>
      <c r="K567" s="1265"/>
      <c r="L567" s="1466"/>
      <c r="M567" s="1244"/>
      <c r="N567" s="1244"/>
      <c r="O567" s="1562"/>
      <c r="P567" s="1239"/>
      <c r="Q567" s="1266"/>
      <c r="R567" s="1239"/>
      <c r="S567" s="1245"/>
      <c r="T567" s="1248" t="s">
        <v>314</v>
      </c>
      <c r="U567" s="1247"/>
      <c r="V567" s="1247"/>
      <c r="W567" s="1247"/>
      <c r="X567" s="1247"/>
      <c r="Y567" s="1247"/>
      <c r="Z567" s="1247"/>
      <c r="AA567" s="1247"/>
      <c r="AB567" s="1247"/>
      <c r="AC567" s="1247"/>
      <c r="AD567" s="1247"/>
      <c r="AE567" s="1247"/>
      <c r="AF567" s="1247"/>
      <c r="AG567" s="1247"/>
      <c r="AH567" s="1247"/>
      <c r="AI567" s="1247"/>
      <c r="AJ567" s="1247"/>
      <c r="AK567" s="1247"/>
      <c r="AL567" s="1562"/>
      <c r="AM567" s="1544"/>
      <c r="AN567" s="1544" t="str">
        <f t="shared" si="9"/>
        <v>Добавить централизованную систему для дифференциации</v>
      </c>
      <c r="AO567" s="1544"/>
      <c r="AP567" s="1544"/>
    </row>
    <row r="568" spans="1:42" s="541" customFormat="1" ht="14.25" customHeight="1">
      <c r="A568" s="1265"/>
      <c r="B568" s="1265"/>
      <c r="C568" s="1265"/>
      <c r="D568" s="1265"/>
      <c r="E568" s="8883" t="s">
        <v>475</v>
      </c>
      <c r="F568" s="1265"/>
      <c r="G568" s="1265"/>
      <c r="H568" s="1265"/>
      <c r="I568" s="1265"/>
      <c r="J568" s="1265"/>
      <c r="K568" s="1265"/>
      <c r="L568" s="1466"/>
      <c r="M568" s="1244"/>
      <c r="N568" s="1244"/>
      <c r="O568" s="1562"/>
      <c r="P568" s="1239"/>
      <c r="Q568" s="1266"/>
      <c r="R568" s="1239"/>
      <c r="S568" s="1245"/>
      <c r="T568" s="1248" t="s">
        <v>315</v>
      </c>
      <c r="U568" s="1247"/>
      <c r="V568" s="1247"/>
      <c r="W568" s="1247"/>
      <c r="X568" s="1247"/>
      <c r="Y568" s="1247"/>
      <c r="Z568" s="1247"/>
      <c r="AA568" s="1247"/>
      <c r="AB568" s="1247"/>
      <c r="AC568" s="1247"/>
      <c r="AD568" s="1247"/>
      <c r="AE568" s="1247"/>
      <c r="AF568" s="1247"/>
      <c r="AG568" s="1247"/>
      <c r="AH568" s="1247"/>
      <c r="AI568" s="1247"/>
      <c r="AJ568" s="1247"/>
      <c r="AK568" s="1247"/>
      <c r="AL568" s="1562"/>
      <c r="AM568" s="1544"/>
      <c r="AN568" s="1544" t="str">
        <f t="shared" si="9"/>
        <v>Добавить территорию для дифференциации</v>
      </c>
      <c r="AO568" s="1544"/>
      <c r="AP568" s="1544"/>
    </row>
    <row r="569" spans="1:42" s="1818" customFormat="1" ht="23.25" customHeight="1">
      <c r="A569" s="1284" t="s">
        <v>489</v>
      </c>
      <c r="B569" s="1284"/>
      <c r="C569" s="1284"/>
      <c r="D569" s="1284"/>
      <c r="E569" s="8883" t="s">
        <v>487</v>
      </c>
      <c r="F569" s="1284"/>
      <c r="G569" s="1284"/>
      <c r="H569" s="1284"/>
      <c r="I569" s="1284"/>
      <c r="J569" s="1284"/>
      <c r="K569" s="1284"/>
      <c r="L569" s="1290"/>
      <c r="M569" s="1286"/>
      <c r="N569" s="1286"/>
      <c r="O569" s="1286"/>
      <c r="P569" s="1812"/>
      <c r="Q569" s="1742"/>
      <c r="R569" s="276"/>
      <c r="S569" s="1810" t="str">
        <f>INDEX(PT_DIFFERENTIATION_NUM_NTAR,MATCH(A569,PT_DIFFERENTIATION_NTAR_ID,0))</f>
        <v>34</v>
      </c>
      <c r="T569" s="1440" t="s">
        <v>211</v>
      </c>
      <c r="U569" s="214"/>
      <c r="V569" s="8869"/>
      <c r="W569" s="8870"/>
      <c r="X569" s="8870"/>
      <c r="Y569" s="8870"/>
      <c r="Z569" s="8870"/>
      <c r="AA569" s="8870"/>
      <c r="AB569" s="8871"/>
      <c r="AC569" s="8869" t="str">
        <f>INDEX(PT_DIFFERENTIATION_NTAR,MATCH(A569,PT_DIFFERENTIATION_NTAR_ID,0))</f>
        <v>Подвоз воды потребителям хутора Коммаяка</v>
      </c>
      <c r="AD569" s="8870"/>
      <c r="AE569" s="8870"/>
      <c r="AF569" s="8870"/>
      <c r="AG569" s="8870"/>
      <c r="AH569" s="8870"/>
      <c r="AI569" s="8870"/>
      <c r="AJ569" s="8871"/>
      <c r="AK56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569" s="1562"/>
      <c r="AM569" s="1544"/>
      <c r="AN569" s="1544" t="str">
        <f t="shared" si="9"/>
        <v>Наименование тарифа</v>
      </c>
      <c r="AO569" s="1544"/>
      <c r="AP569" s="1544"/>
    </row>
    <row r="570" spans="1:42" s="1818" customFormat="1" ht="23.25" customHeight="1">
      <c r="A570" s="1284"/>
      <c r="B570" s="1284" t="s">
        <v>490</v>
      </c>
      <c r="C570" s="1284"/>
      <c r="D570" s="1284"/>
      <c r="E570" s="8884" t="s">
        <v>481</v>
      </c>
      <c r="F570" s="8883">
        <v>1</v>
      </c>
      <c r="G570" s="1284"/>
      <c r="H570" s="1284"/>
      <c r="I570" s="1284"/>
      <c r="J570" s="1284"/>
      <c r="K570" s="1284"/>
      <c r="L570" s="1290"/>
      <c r="M570" s="1286"/>
      <c r="N570" s="1286"/>
      <c r="O570" s="1286"/>
      <c r="P570" s="1807"/>
      <c r="Q570" s="273"/>
      <c r="R570" s="274"/>
      <c r="S570" s="1810" t="str">
        <f>INDEX(PT_DIFFERENTIATION_NUM_TER,MATCH(B570,PT_DIFFERENTIATION_TER_ID,0))</f>
        <v>34.1</v>
      </c>
      <c r="T570" s="1437" t="s">
        <v>862</v>
      </c>
      <c r="U570" s="214"/>
      <c r="V570" s="8869"/>
      <c r="W570" s="8870"/>
      <c r="X570" s="8870"/>
      <c r="Y570" s="8870"/>
      <c r="Z570" s="8870"/>
      <c r="AA570" s="8870"/>
      <c r="AB570" s="8871"/>
      <c r="AC570" s="8869" t="str">
        <f>INDEX(PT_DIFFERENTIATION_TER,MATCH(B570,PT_DIFFERENTIATION_TER_ID,0))</f>
        <v>Территория 10</v>
      </c>
      <c r="AD570" s="8870"/>
      <c r="AE570" s="8870"/>
      <c r="AF570" s="8870"/>
      <c r="AG570" s="8870"/>
      <c r="AH570" s="8870"/>
      <c r="AI570" s="8870"/>
      <c r="AJ570" s="8871"/>
      <c r="AK570" s="1182" t="s">
        <v>863</v>
      </c>
      <c r="AL570" s="1562"/>
      <c r="AM570" s="1544"/>
      <c r="AN570" s="1544" t="str">
        <f t="shared" si="9"/>
        <v>Территория действия тарифа</v>
      </c>
      <c r="AO570" s="1544"/>
      <c r="AP570" s="1544"/>
    </row>
    <row r="571" spans="1:42" s="1818" customFormat="1" ht="23.25" customHeight="1">
      <c r="A571" s="1284"/>
      <c r="B571" s="1284"/>
      <c r="C571" s="1284" t="s">
        <v>491</v>
      </c>
      <c r="D571" s="1284"/>
      <c r="E571" s="8884" t="s">
        <v>481</v>
      </c>
      <c r="F571" s="8884"/>
      <c r="G571" s="8883">
        <v>1</v>
      </c>
      <c r="H571" s="1284"/>
      <c r="I571" s="1284"/>
      <c r="J571" s="1284"/>
      <c r="K571" s="1284"/>
      <c r="L571" s="1290"/>
      <c r="M571" s="1286"/>
      <c r="N571" s="1286"/>
      <c r="O571" s="1286"/>
      <c r="P571" s="275"/>
      <c r="Q571" s="273"/>
      <c r="R571" s="274"/>
      <c r="S571" s="1810" t="str">
        <f>INDEX(PT_DIFFERENTIATION_NUM_CS,MATCH(C571,PT_DIFFERENTIATION_CS_ID,0))</f>
        <v>34.1.1</v>
      </c>
      <c r="T571" s="225" t="s">
        <v>943</v>
      </c>
      <c r="U571" s="214"/>
      <c r="V571" s="8869"/>
      <c r="W571" s="8870"/>
      <c r="X571" s="8870"/>
      <c r="Y571" s="8870"/>
      <c r="Z571" s="8870"/>
      <c r="AA571" s="8870"/>
      <c r="AB571" s="8871"/>
      <c r="AC571" s="8869" t="str">
        <f>INDEX(PT_DIFFERENTIATION_CS,MATCH(C571,PT_DIFFERENTIATION_CS_ID,0))</f>
        <v>без дифференциации</v>
      </c>
      <c r="AD571" s="8870"/>
      <c r="AE571" s="8870"/>
      <c r="AF571" s="8870"/>
      <c r="AG571" s="8870"/>
      <c r="AH571" s="8870"/>
      <c r="AI571" s="8870"/>
      <c r="AJ571" s="8871"/>
      <c r="AK571" s="1182" t="s">
        <v>944</v>
      </c>
      <c r="AL571" s="1562"/>
      <c r="AM571" s="1544"/>
      <c r="AN571" s="1544" t="str">
        <f t="shared" si="9"/>
        <v>Наименование централизованной системы холодного водоснабжения</v>
      </c>
      <c r="AO571" s="1544"/>
      <c r="AP571" s="1544"/>
    </row>
    <row r="572" spans="1:42" s="1818" customFormat="1" ht="23.25" customHeight="1">
      <c r="A572" s="1284"/>
      <c r="B572" s="1284"/>
      <c r="C572" s="1284"/>
      <c r="D572" s="1284"/>
      <c r="E572" s="8884" t="s">
        <v>481</v>
      </c>
      <c r="F572" s="8884"/>
      <c r="G572" s="8884"/>
      <c r="H572" s="8884"/>
      <c r="I572" s="8881" t="str">
        <f>S571&amp;".1"</f>
        <v>34.1.1.1</v>
      </c>
      <c r="J572" s="1284"/>
      <c r="K572" s="1284"/>
      <c r="L572" s="1290"/>
      <c r="M572" s="1696"/>
      <c r="N572" s="1696"/>
      <c r="O572" s="1696"/>
      <c r="P572" s="8882">
        <v>1</v>
      </c>
      <c r="Q572" s="1811"/>
      <c r="R572" s="277"/>
      <c r="S572" s="1810" t="str">
        <f>$I572</f>
        <v>34.1.1.1</v>
      </c>
      <c r="T572" s="200" t="s">
        <v>945</v>
      </c>
      <c r="U572" s="214"/>
      <c r="V572" s="8942"/>
      <c r="W572" s="8943"/>
      <c r="X572" s="8943"/>
      <c r="Y572" s="8943"/>
      <c r="Z572" s="8943"/>
      <c r="AA572" s="8943"/>
      <c r="AB572" s="8944"/>
      <c r="AC572" s="8945"/>
      <c r="AD572" s="8946"/>
      <c r="AE572" s="8946"/>
      <c r="AF572" s="8946"/>
      <c r="AG572" s="8946"/>
      <c r="AH572" s="8946"/>
      <c r="AI572" s="8946"/>
      <c r="AJ572" s="8947"/>
      <c r="AK572" s="1182" t="s">
        <v>946</v>
      </c>
      <c r="AL572" s="1562"/>
      <c r="AM572" s="1544"/>
      <c r="AN572" s="1544" t="str">
        <f t="shared" si="9"/>
        <v>Наименование признака дифференциации</v>
      </c>
      <c r="AO572" s="1544"/>
      <c r="AP572" s="1544"/>
    </row>
    <row r="573" spans="1:42" s="1818" customFormat="1" ht="23.25" customHeight="1">
      <c r="A573" s="1284"/>
      <c r="B573" s="1284"/>
      <c r="C573" s="1284"/>
      <c r="D573" s="1284"/>
      <c r="E573" s="8884" t="s">
        <v>481</v>
      </c>
      <c r="F573" s="8884"/>
      <c r="G573" s="8884"/>
      <c r="H573" s="8884"/>
      <c r="I573" s="8904"/>
      <c r="J573" s="8881" t="str">
        <f>I572&amp;".1"</f>
        <v>34.1.1.1.1</v>
      </c>
      <c r="K573" s="1284"/>
      <c r="L573" s="1290" t="s">
        <v>871</v>
      </c>
      <c r="M573" s="1696"/>
      <c r="N573" s="1696"/>
      <c r="O573" s="1696"/>
      <c r="P573" s="8882"/>
      <c r="Q573" s="8882">
        <v>1</v>
      </c>
      <c r="R573" s="278"/>
      <c r="S573" s="1810" t="str">
        <f>$J573</f>
        <v>34.1.1.1.1</v>
      </c>
      <c r="T573" s="201" t="s">
        <v>872</v>
      </c>
      <c r="U573" s="214"/>
      <c r="V573" s="8872"/>
      <c r="W573" s="8873"/>
      <c r="X573" s="8873"/>
      <c r="Y573" s="8873"/>
      <c r="Z573" s="8873"/>
      <c r="AA573" s="8873"/>
      <c r="AB573" s="8874"/>
      <c r="AC573" s="8872" t="s">
        <v>961</v>
      </c>
      <c r="AD573" s="8873"/>
      <c r="AE573" s="8873"/>
      <c r="AF573" s="8873"/>
      <c r="AG573" s="8873"/>
      <c r="AH573" s="8873"/>
      <c r="AI573" s="8873"/>
      <c r="AJ573" s="8874"/>
      <c r="AK573" s="1231" t="s">
        <v>947</v>
      </c>
      <c r="AL573" s="1562"/>
      <c r="AM573" s="1544"/>
      <c r="AN573" s="1544" t="str">
        <f t="shared" si="9"/>
        <v>Группа потребителей</v>
      </c>
      <c r="AO573" s="1544"/>
      <c r="AP573" s="1544"/>
    </row>
    <row r="574" spans="1:42" s="1818" customFormat="1" ht="23.25" customHeight="1">
      <c r="A574" s="1284"/>
      <c r="B574" s="1284"/>
      <c r="C574" s="1284"/>
      <c r="D574" s="1284"/>
      <c r="E574" s="8884" t="s">
        <v>481</v>
      </c>
      <c r="F574" s="8884"/>
      <c r="G574" s="8884"/>
      <c r="H574" s="8884"/>
      <c r="I574" s="8904"/>
      <c r="J574" s="8904"/>
      <c r="K574" s="8881" t="str">
        <f>J573&amp;".1"</f>
        <v>34.1.1.1.1.1</v>
      </c>
      <c r="L574" s="1290"/>
      <c r="M574" s="1696"/>
      <c r="N574" s="1696"/>
      <c r="O574" s="1696"/>
      <c r="P574" s="8882"/>
      <c r="Q574" s="8882"/>
      <c r="R574" s="278">
        <v>1</v>
      </c>
      <c r="S574" s="1810" t="str">
        <f>$K574</f>
        <v>34.1.1.1.1.1</v>
      </c>
      <c r="T574" s="1357" t="s">
        <v>962</v>
      </c>
      <c r="U574" s="214"/>
      <c r="V574" s="666"/>
      <c r="W574" s="666"/>
      <c r="X574" s="1181"/>
      <c r="Y574" s="8886"/>
      <c r="Z574" s="8734" t="s">
        <v>63</v>
      </c>
      <c r="AA574" s="8886"/>
      <c r="AB574" s="8734" t="s">
        <v>63</v>
      </c>
      <c r="AC574" s="666">
        <v>562.78</v>
      </c>
      <c r="AD574" s="666"/>
      <c r="AE574" s="1181"/>
      <c r="AF574" s="8886">
        <v>45292</v>
      </c>
      <c r="AG574" s="8734" t="s">
        <v>63</v>
      </c>
      <c r="AH574" s="8905">
        <v>45657</v>
      </c>
      <c r="AI574" s="8734" t="s">
        <v>63</v>
      </c>
      <c r="AJ574" s="1358"/>
      <c r="AK57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74" s="1562" t="e">
        <f ca="1">STRCHECKDATE(V575:AJ575)</f>
        <v>#NAME?</v>
      </c>
      <c r="AM574" s="1544"/>
      <c r="AN574" s="1544" t="str">
        <f t="shared" si="9"/>
        <v>Тариф для населения, руб. за 1 куб. метр с НДС</v>
      </c>
      <c r="AO574" s="1544"/>
      <c r="AP574" s="1544"/>
    </row>
    <row r="575" spans="1:42" s="1818" customFormat="1" ht="14.25" customHeight="1">
      <c r="A575" s="1284"/>
      <c r="B575" s="1284"/>
      <c r="C575" s="1284"/>
      <c r="D575" s="1284"/>
      <c r="E575" s="8884" t="s">
        <v>481</v>
      </c>
      <c r="F575" s="8884"/>
      <c r="G575" s="8884"/>
      <c r="H575" s="8884"/>
      <c r="I575" s="8904"/>
      <c r="J575" s="8904"/>
      <c r="K575" s="8881"/>
      <c r="L575" s="1290"/>
      <c r="M575" s="1696"/>
      <c r="N575" s="1696"/>
      <c r="O575" s="1696"/>
      <c r="P575" s="8882"/>
      <c r="Q575" s="8882"/>
      <c r="R575" s="278"/>
      <c r="S575" s="1815"/>
      <c r="T575" s="214"/>
      <c r="U575" s="214"/>
      <c r="V575" s="246"/>
      <c r="W575" s="246"/>
      <c r="X575" s="250" t="str">
        <f>Y574&amp;"-"&amp;AA574</f>
        <v>-</v>
      </c>
      <c r="Y575" s="8887"/>
      <c r="Z575" s="8734"/>
      <c r="AA575" s="8887"/>
      <c r="AB575" s="8734"/>
      <c r="AC575" s="246"/>
      <c r="AD575" s="246"/>
      <c r="AE575" s="250" t="str">
        <f>AF574&amp;"-"&amp;AH574</f>
        <v>45292-45657</v>
      </c>
      <c r="AF575" s="8887"/>
      <c r="AG575" s="8734"/>
      <c r="AH575" s="8906"/>
      <c r="AI575" s="8734"/>
      <c r="AJ575" s="1359"/>
      <c r="AK575" s="8941"/>
      <c r="AL575" s="1562"/>
      <c r="AM575" s="1544"/>
      <c r="AN575" s="1544" t="str">
        <f t="shared" si="9"/>
        <v/>
      </c>
      <c r="AO575" s="1544"/>
      <c r="AP575" s="1544"/>
    </row>
    <row r="576" spans="1:42" s="1818" customFormat="1" ht="21" customHeight="1">
      <c r="A576" s="1284"/>
      <c r="B576" s="1284"/>
      <c r="C576" s="1284"/>
      <c r="D576" s="1284"/>
      <c r="E576" s="8884" t="s">
        <v>481</v>
      </c>
      <c r="F576" s="8884"/>
      <c r="G576" s="8884"/>
      <c r="H576" s="8884"/>
      <c r="I576" s="8904"/>
      <c r="J576" s="8881"/>
      <c r="K576" s="1284"/>
      <c r="L576" s="1290"/>
      <c r="M576" s="1696"/>
      <c r="N576" s="1696"/>
      <c r="O576" s="1696"/>
      <c r="P576" s="8882"/>
      <c r="Q576" s="8882"/>
      <c r="R576" s="277"/>
      <c r="S576" s="4241"/>
      <c r="T576" s="4242" t="s">
        <v>948</v>
      </c>
      <c r="U576" s="4243"/>
      <c r="V576" s="4244"/>
      <c r="W576" s="4245"/>
      <c r="X576" s="4246"/>
      <c r="Y576" s="4247"/>
      <c r="Z576" s="4248"/>
      <c r="AA576" s="4249"/>
      <c r="AB576" s="4250"/>
      <c r="AC576" s="4251"/>
      <c r="AD576" s="4252"/>
      <c r="AE576" s="4253"/>
      <c r="AF576" s="4254"/>
      <c r="AG576" s="4255"/>
      <c r="AH576" s="4256"/>
      <c r="AI576" s="4257"/>
      <c r="AJ576" s="4258"/>
      <c r="AK576" s="1182" t="s">
        <v>949</v>
      </c>
      <c r="AL576" s="1562"/>
      <c r="AM576" s="1544"/>
      <c r="AN576" s="1544" t="str">
        <f t="shared" si="9"/>
        <v>Добавить значение признака дифференциации</v>
      </c>
      <c r="AO576" s="1544"/>
      <c r="AP576" s="1544"/>
    </row>
    <row r="577" spans="1:42" s="1818" customFormat="1" ht="23.25" customHeight="1">
      <c r="A577" s="1284"/>
      <c r="B577" s="1284"/>
      <c r="C577" s="1284"/>
      <c r="D577" s="1284"/>
      <c r="E577" s="8884"/>
      <c r="F577" s="8884"/>
      <c r="G577" s="8884"/>
      <c r="H577" s="8884"/>
      <c r="I577" s="8904"/>
      <c r="J577" s="8881" t="str">
        <f>I572&amp;".2"</f>
        <v>34.1.1.1.2</v>
      </c>
      <c r="K577" s="1284"/>
      <c r="L577" s="1290" t="s">
        <v>871</v>
      </c>
      <c r="M577" s="1696"/>
      <c r="N577" s="1696"/>
      <c r="O577" s="1696"/>
      <c r="P577" s="8882"/>
      <c r="Q577" s="8948" t="s">
        <v>100</v>
      </c>
      <c r="R577" s="278"/>
      <c r="S577" s="1810" t="str">
        <f>$J577</f>
        <v>34.1.1.1.2</v>
      </c>
      <c r="T577" s="201" t="s">
        <v>872</v>
      </c>
      <c r="U577" s="214"/>
      <c r="V577" s="8872"/>
      <c r="W577" s="8873"/>
      <c r="X577" s="8873"/>
      <c r="Y577" s="8873"/>
      <c r="Z577" s="8873"/>
      <c r="AA577" s="8873"/>
      <c r="AB577" s="8874"/>
      <c r="AC577" s="8872" t="s">
        <v>963</v>
      </c>
      <c r="AD577" s="8873"/>
      <c r="AE577" s="8873"/>
      <c r="AF577" s="8873"/>
      <c r="AG577" s="8873"/>
      <c r="AH577" s="8873"/>
      <c r="AI577" s="8873"/>
      <c r="AJ577" s="8874"/>
      <c r="AK577" s="1231" t="s">
        <v>947</v>
      </c>
      <c r="AL577" s="1562"/>
      <c r="AM577" s="1544"/>
      <c r="AN577" s="1544" t="str">
        <f t="shared" si="9"/>
        <v>Группа потребителей</v>
      </c>
      <c r="AO577" s="1544"/>
      <c r="AP577" s="1544"/>
    </row>
    <row r="578" spans="1:42" s="1818" customFormat="1" ht="23.25" customHeight="1">
      <c r="A578" s="1284"/>
      <c r="B578" s="1284"/>
      <c r="C578" s="1284"/>
      <c r="D578" s="1284"/>
      <c r="E578" s="8884"/>
      <c r="F578" s="8884"/>
      <c r="G578" s="8884"/>
      <c r="H578" s="8884"/>
      <c r="I578" s="8904"/>
      <c r="J578" s="8904" t="str">
        <f>I572&amp;".1"</f>
        <v>34.1.1.1.1</v>
      </c>
      <c r="K578" s="8881" t="str">
        <f>J577&amp;".1"</f>
        <v>34.1.1.1.2.1</v>
      </c>
      <c r="L578" s="1290"/>
      <c r="M578" s="1696"/>
      <c r="N578" s="1696"/>
      <c r="O578" s="1696"/>
      <c r="P578" s="8882"/>
      <c r="Q578" s="8882"/>
      <c r="R578" s="278">
        <v>1</v>
      </c>
      <c r="S578" s="1810" t="str">
        <f>$K578</f>
        <v>34.1.1.1.2.1</v>
      </c>
      <c r="T578" s="1357" t="s">
        <v>964</v>
      </c>
      <c r="U578" s="214"/>
      <c r="V578" s="666"/>
      <c r="W578" s="666"/>
      <c r="X578" s="1181"/>
      <c r="Y578" s="8886"/>
      <c r="Z578" s="8734" t="s">
        <v>63</v>
      </c>
      <c r="AA578" s="8886"/>
      <c r="AB578" s="8734" t="s">
        <v>63</v>
      </c>
      <c r="AC578" s="666">
        <v>468.98</v>
      </c>
      <c r="AD578" s="666"/>
      <c r="AE578" s="1181"/>
      <c r="AF578" s="8886">
        <v>45292</v>
      </c>
      <c r="AG578" s="8734" t="s">
        <v>63</v>
      </c>
      <c r="AH578" s="8905">
        <v>45657</v>
      </c>
      <c r="AI578" s="8734" t="s">
        <v>63</v>
      </c>
      <c r="AJ578" s="1358"/>
      <c r="AK57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78" s="1562" t="e">
        <f ca="1">STRCHECKDATE(V579:AJ579)</f>
        <v>#NAME?</v>
      </c>
      <c r="AM578" s="1544"/>
      <c r="AN578" s="1544" t="str">
        <f t="shared" si="9"/>
        <v>Тариф, руб. за 1 куб. метр без НДС</v>
      </c>
      <c r="AO578" s="1544"/>
      <c r="AP578" s="1544"/>
    </row>
    <row r="579" spans="1:42" s="1818" customFormat="1" ht="14.25" customHeight="1">
      <c r="A579" s="1284"/>
      <c r="B579" s="1284"/>
      <c r="C579" s="1284"/>
      <c r="D579" s="1284"/>
      <c r="E579" s="8884"/>
      <c r="F579" s="8884"/>
      <c r="G579" s="8884"/>
      <c r="H579" s="8884"/>
      <c r="I579" s="8904"/>
      <c r="J579" s="8904" t="str">
        <f>I572&amp;".1"</f>
        <v>34.1.1.1.1</v>
      </c>
      <c r="K579" s="8881"/>
      <c r="L579" s="1290"/>
      <c r="M579" s="1696"/>
      <c r="N579" s="1696"/>
      <c r="O579" s="1696"/>
      <c r="P579" s="8882"/>
      <c r="Q579" s="8882"/>
      <c r="R579" s="278"/>
      <c r="S579" s="1815"/>
      <c r="T579" s="214"/>
      <c r="U579" s="214"/>
      <c r="V579" s="246"/>
      <c r="W579" s="246"/>
      <c r="X579" s="250" t="str">
        <f>Y578&amp;"-"&amp;AA578</f>
        <v>-</v>
      </c>
      <c r="Y579" s="8887"/>
      <c r="Z579" s="8734"/>
      <c r="AA579" s="8887"/>
      <c r="AB579" s="8734"/>
      <c r="AC579" s="246"/>
      <c r="AD579" s="246"/>
      <c r="AE579" s="250" t="str">
        <f>AF578&amp;"-"&amp;AH578</f>
        <v>45292-45657</v>
      </c>
      <c r="AF579" s="8887"/>
      <c r="AG579" s="8734"/>
      <c r="AH579" s="8906"/>
      <c r="AI579" s="8734"/>
      <c r="AJ579" s="1359"/>
      <c r="AK579" s="8941"/>
      <c r="AL579" s="1562"/>
      <c r="AM579" s="1544"/>
      <c r="AN579" s="1544" t="str">
        <f t="shared" si="9"/>
        <v/>
      </c>
      <c r="AO579" s="1544"/>
      <c r="AP579" s="1544"/>
    </row>
    <row r="580" spans="1:42" s="1818" customFormat="1" ht="21" customHeight="1">
      <c r="A580" s="1284"/>
      <c r="B580" s="1284"/>
      <c r="C580" s="1284"/>
      <c r="D580" s="1284"/>
      <c r="E580" s="8884"/>
      <c r="F580" s="8884"/>
      <c r="G580" s="8884"/>
      <c r="H580" s="8884"/>
      <c r="I580" s="8904"/>
      <c r="J580" s="8881" t="str">
        <f>I572&amp;".1"</f>
        <v>34.1.1.1.1</v>
      </c>
      <c r="K580" s="1284"/>
      <c r="L580" s="1290"/>
      <c r="M580" s="1696"/>
      <c r="N580" s="1696"/>
      <c r="O580" s="1696"/>
      <c r="P580" s="8882"/>
      <c r="Q580" s="8882"/>
      <c r="R580" s="277"/>
      <c r="S580" s="4259"/>
      <c r="T580" s="4260" t="s">
        <v>948</v>
      </c>
      <c r="U580" s="4261"/>
      <c r="V580" s="4262"/>
      <c r="W580" s="4263"/>
      <c r="X580" s="4264"/>
      <c r="Y580" s="4265"/>
      <c r="Z580" s="4266"/>
      <c r="AA580" s="4267"/>
      <c r="AB580" s="4268"/>
      <c r="AC580" s="4269"/>
      <c r="AD580" s="4270"/>
      <c r="AE580" s="4271"/>
      <c r="AF580" s="4272"/>
      <c r="AG580" s="4273"/>
      <c r="AH580" s="4274"/>
      <c r="AI580" s="4275"/>
      <c r="AJ580" s="4276"/>
      <c r="AK580" s="1182" t="s">
        <v>949</v>
      </c>
      <c r="AL580" s="1562"/>
      <c r="AM580" s="1544"/>
      <c r="AN580" s="1544" t="str">
        <f t="shared" si="9"/>
        <v>Добавить значение признака дифференциации</v>
      </c>
      <c r="AO580" s="1544"/>
      <c r="AP580" s="1544"/>
    </row>
    <row r="581" spans="1:42" s="1818" customFormat="1" ht="21" customHeight="1">
      <c r="A581" s="1284"/>
      <c r="B581" s="1284"/>
      <c r="C581" s="1284"/>
      <c r="D581" s="1284"/>
      <c r="E581" s="8884" t="s">
        <v>481</v>
      </c>
      <c r="F581" s="8884"/>
      <c r="G581" s="8884"/>
      <c r="H581" s="8884"/>
      <c r="I581" s="8881"/>
      <c r="J581" s="1284"/>
      <c r="K581" s="1284"/>
      <c r="L581" s="1290"/>
      <c r="M581" s="1696"/>
      <c r="N581" s="1696"/>
      <c r="O581" s="1696"/>
      <c r="P581" s="8882"/>
      <c r="Q581" s="1811"/>
      <c r="R581" s="277"/>
      <c r="S581" s="4277"/>
      <c r="T581" s="4278" t="s">
        <v>877</v>
      </c>
      <c r="U581" s="4279"/>
      <c r="V581" s="4280"/>
      <c r="W581" s="4281"/>
      <c r="X581" s="4282"/>
      <c r="Y581" s="4283"/>
      <c r="Z581" s="4284"/>
      <c r="AA581" s="4285"/>
      <c r="AB581" s="4286"/>
      <c r="AC581" s="4287"/>
      <c r="AD581" s="4288"/>
      <c r="AE581" s="4289"/>
      <c r="AF581" s="4290"/>
      <c r="AG581" s="4291"/>
      <c r="AH581" s="4292"/>
      <c r="AI581" s="4293"/>
      <c r="AJ581" s="4294"/>
      <c r="AK581" s="4295"/>
      <c r="AL581" s="1562"/>
      <c r="AM581" s="1544"/>
      <c r="AN581" s="1544" t="str">
        <f t="shared" si="9"/>
        <v>Добавить группу потребителей</v>
      </c>
      <c r="AO581" s="1544"/>
      <c r="AP581" s="1544"/>
    </row>
    <row r="582" spans="1:42" s="1818" customFormat="1" ht="21" customHeight="1">
      <c r="A582" s="1284"/>
      <c r="B582" s="1284"/>
      <c r="C582" s="1284"/>
      <c r="D582" s="1284"/>
      <c r="E582" s="8884" t="s">
        <v>481</v>
      </c>
      <c r="F582" s="8884"/>
      <c r="G582" s="8884"/>
      <c r="H582" s="8883"/>
      <c r="I582" s="1284"/>
      <c r="J582" s="1284"/>
      <c r="K582" s="1284"/>
      <c r="L582" s="1290"/>
      <c r="M582" s="1286"/>
      <c r="N582" s="1286"/>
      <c r="O582" s="1287"/>
      <c r="P582" s="1742"/>
      <c r="Q582" s="299"/>
      <c r="R582" s="276"/>
      <c r="S582" s="4296"/>
      <c r="T582" s="4297" t="s">
        <v>950</v>
      </c>
      <c r="U582" s="4298"/>
      <c r="V582" s="4299"/>
      <c r="W582" s="4300"/>
      <c r="X582" s="4301"/>
      <c r="Y582" s="4302"/>
      <c r="Z582" s="4303"/>
      <c r="AA582" s="4304"/>
      <c r="AB582" s="4305"/>
      <c r="AC582" s="4306"/>
      <c r="AD582" s="4307"/>
      <c r="AE582" s="4308"/>
      <c r="AF582" s="4309"/>
      <c r="AG582" s="4310"/>
      <c r="AH582" s="4311"/>
      <c r="AI582" s="4312"/>
      <c r="AJ582" s="4313"/>
      <c r="AK582" s="4314"/>
      <c r="AL582" s="1562"/>
      <c r="AM582" s="1544"/>
      <c r="AN582" s="1544" t="str">
        <f t="shared" si="9"/>
        <v>Добавить наименование признака дифференциации</v>
      </c>
      <c r="AO582" s="1544"/>
      <c r="AP582" s="1544"/>
    </row>
    <row r="583" spans="1:42" s="541" customFormat="1" ht="14.25" customHeight="1">
      <c r="A583" s="1265"/>
      <c r="B583" s="1265"/>
      <c r="C583" s="1265"/>
      <c r="D583" s="1265"/>
      <c r="E583" s="8884" t="s">
        <v>481</v>
      </c>
      <c r="F583" s="8883"/>
      <c r="G583" s="1265"/>
      <c r="H583" s="1265"/>
      <c r="I583" s="1265"/>
      <c r="J583" s="1265"/>
      <c r="K583" s="1265"/>
      <c r="L583" s="1466"/>
      <c r="M583" s="1244"/>
      <c r="N583" s="1244"/>
      <c r="O583" s="1562"/>
      <c r="P583" s="1239"/>
      <c r="Q583" s="1266"/>
      <c r="R583" s="1239"/>
      <c r="S583" s="1245"/>
      <c r="T583" s="1248" t="s">
        <v>314</v>
      </c>
      <c r="U583" s="1247"/>
      <c r="V583" s="1247"/>
      <c r="W583" s="1247"/>
      <c r="X583" s="1247"/>
      <c r="Y583" s="1247"/>
      <c r="Z583" s="1247"/>
      <c r="AA583" s="1247"/>
      <c r="AB583" s="1247"/>
      <c r="AC583" s="1247"/>
      <c r="AD583" s="1247"/>
      <c r="AE583" s="1247"/>
      <c r="AF583" s="1247"/>
      <c r="AG583" s="1247"/>
      <c r="AH583" s="1247"/>
      <c r="AI583" s="1247"/>
      <c r="AJ583" s="1247"/>
      <c r="AK583" s="1247"/>
      <c r="AL583" s="1562"/>
      <c r="AM583" s="1544"/>
      <c r="AN583" s="1544" t="str">
        <f t="shared" si="9"/>
        <v>Добавить централизованную систему для дифференциации</v>
      </c>
      <c r="AO583" s="1544"/>
      <c r="AP583" s="1544"/>
    </row>
    <row r="584" spans="1:42" s="541" customFormat="1" ht="14.25" customHeight="1">
      <c r="A584" s="1265"/>
      <c r="B584" s="1265"/>
      <c r="C584" s="1265"/>
      <c r="D584" s="1265"/>
      <c r="E584" s="8883" t="s">
        <v>481</v>
      </c>
      <c r="F584" s="1265"/>
      <c r="G584" s="1265"/>
      <c r="H584" s="1265"/>
      <c r="I584" s="1265"/>
      <c r="J584" s="1265"/>
      <c r="K584" s="1265"/>
      <c r="L584" s="1466"/>
      <c r="M584" s="1244"/>
      <c r="N584" s="1244"/>
      <c r="O584" s="1562"/>
      <c r="P584" s="1239"/>
      <c r="Q584" s="1266"/>
      <c r="R584" s="1239"/>
      <c r="S584" s="1245"/>
      <c r="T584" s="1248" t="s">
        <v>315</v>
      </c>
      <c r="U584" s="1247"/>
      <c r="V584" s="1247"/>
      <c r="W584" s="1247"/>
      <c r="X584" s="1247"/>
      <c r="Y584" s="1247"/>
      <c r="Z584" s="1247"/>
      <c r="AA584" s="1247"/>
      <c r="AB584" s="1247"/>
      <c r="AC584" s="1247"/>
      <c r="AD584" s="1247"/>
      <c r="AE584" s="1247"/>
      <c r="AF584" s="1247"/>
      <c r="AG584" s="1247"/>
      <c r="AH584" s="1247"/>
      <c r="AI584" s="1247"/>
      <c r="AJ584" s="1247"/>
      <c r="AK584" s="1247"/>
      <c r="AL584" s="1562"/>
      <c r="AM584" s="1544"/>
      <c r="AN584" s="1544" t="str">
        <f t="shared" si="9"/>
        <v>Добавить территорию для дифференциации</v>
      </c>
      <c r="AO584" s="1544"/>
      <c r="AP584" s="1544"/>
    </row>
    <row r="585" spans="1:42" s="1818" customFormat="1" ht="23.25" customHeight="1">
      <c r="A585" s="1284" t="s">
        <v>495</v>
      </c>
      <c r="B585" s="1284"/>
      <c r="C585" s="1284"/>
      <c r="D585" s="1284"/>
      <c r="E585" s="8883" t="s">
        <v>493</v>
      </c>
      <c r="F585" s="1284"/>
      <c r="G585" s="1284"/>
      <c r="H585" s="1284"/>
      <c r="I585" s="1284"/>
      <c r="J585" s="1284"/>
      <c r="K585" s="1284"/>
      <c r="L585" s="1290"/>
      <c r="M585" s="1286"/>
      <c r="N585" s="1286"/>
      <c r="O585" s="1286"/>
      <c r="P585" s="1812"/>
      <c r="Q585" s="1742"/>
      <c r="R585" s="276"/>
      <c r="S585" s="1810" t="str">
        <f>INDEX(PT_DIFFERENTIATION_NUM_NTAR,MATCH(A585,PT_DIFFERENTIATION_NTAR_ID,0))</f>
        <v>35</v>
      </c>
      <c r="T585" s="1440" t="s">
        <v>211</v>
      </c>
      <c r="U585" s="214"/>
      <c r="V585" s="8869"/>
      <c r="W585" s="8870"/>
      <c r="X585" s="8870"/>
      <c r="Y585" s="8870"/>
      <c r="Z585" s="8870"/>
      <c r="AA585" s="8870"/>
      <c r="AB585" s="8871"/>
      <c r="AC585" s="8869" t="str">
        <f>INDEX(PT_DIFFERENTIATION_NTAR,MATCH(A585,PT_DIFFERENTIATION_NTAR_ID,0))</f>
        <v>Подвоз воды потребителям хутора Садового</v>
      </c>
      <c r="AD585" s="8870"/>
      <c r="AE585" s="8870"/>
      <c r="AF585" s="8870"/>
      <c r="AG585" s="8870"/>
      <c r="AH585" s="8870"/>
      <c r="AI585" s="8870"/>
      <c r="AJ585" s="8871"/>
      <c r="AK58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585" s="1562"/>
      <c r="AM585" s="1544"/>
      <c r="AN585" s="1544" t="str">
        <f t="shared" si="9"/>
        <v>Наименование тарифа</v>
      </c>
      <c r="AO585" s="1544"/>
      <c r="AP585" s="1544"/>
    </row>
    <row r="586" spans="1:42" s="1818" customFormat="1" ht="23.25" customHeight="1">
      <c r="A586" s="1284"/>
      <c r="B586" s="1284" t="s">
        <v>496</v>
      </c>
      <c r="C586" s="1284"/>
      <c r="D586" s="1284"/>
      <c r="E586" s="8884" t="s">
        <v>487</v>
      </c>
      <c r="F586" s="8883">
        <v>1</v>
      </c>
      <c r="G586" s="1284"/>
      <c r="H586" s="1284"/>
      <c r="I586" s="1284"/>
      <c r="J586" s="1284"/>
      <c r="K586" s="1284"/>
      <c r="L586" s="1290"/>
      <c r="M586" s="1286"/>
      <c r="N586" s="1286"/>
      <c r="O586" s="1286"/>
      <c r="P586" s="1807"/>
      <c r="Q586" s="273"/>
      <c r="R586" s="274"/>
      <c r="S586" s="1810" t="str">
        <f>INDEX(PT_DIFFERENTIATION_NUM_TER,MATCH(B586,PT_DIFFERENTIATION_TER_ID,0))</f>
        <v>35.1</v>
      </c>
      <c r="T586" s="1437" t="s">
        <v>862</v>
      </c>
      <c r="U586" s="214"/>
      <c r="V586" s="8869"/>
      <c r="W586" s="8870"/>
      <c r="X586" s="8870"/>
      <c r="Y586" s="8870"/>
      <c r="Z586" s="8870"/>
      <c r="AA586" s="8870"/>
      <c r="AB586" s="8871"/>
      <c r="AC586" s="8869" t="str">
        <f>INDEX(PT_DIFFERENTIATION_TER,MATCH(B586,PT_DIFFERENTIATION_TER_ID,0))</f>
        <v>Территория 10</v>
      </c>
      <c r="AD586" s="8870"/>
      <c r="AE586" s="8870"/>
      <c r="AF586" s="8870"/>
      <c r="AG586" s="8870"/>
      <c r="AH586" s="8870"/>
      <c r="AI586" s="8870"/>
      <c r="AJ586" s="8871"/>
      <c r="AK586" s="1182" t="s">
        <v>863</v>
      </c>
      <c r="AL586" s="1562"/>
      <c r="AM586" s="1544"/>
      <c r="AN586" s="1544" t="str">
        <f t="shared" si="9"/>
        <v>Территория действия тарифа</v>
      </c>
      <c r="AO586" s="1544"/>
      <c r="AP586" s="1544"/>
    </row>
    <row r="587" spans="1:42" s="1818" customFormat="1" ht="23.25" customHeight="1">
      <c r="A587" s="1284"/>
      <c r="B587" s="1284"/>
      <c r="C587" s="1284" t="s">
        <v>497</v>
      </c>
      <c r="D587" s="1284"/>
      <c r="E587" s="8884" t="s">
        <v>487</v>
      </c>
      <c r="F587" s="8884"/>
      <c r="G587" s="8883">
        <v>1</v>
      </c>
      <c r="H587" s="1284"/>
      <c r="I587" s="1284"/>
      <c r="J587" s="1284"/>
      <c r="K587" s="1284"/>
      <c r="L587" s="1290"/>
      <c r="M587" s="1286"/>
      <c r="N587" s="1286"/>
      <c r="O587" s="1286"/>
      <c r="P587" s="275"/>
      <c r="Q587" s="273"/>
      <c r="R587" s="274"/>
      <c r="S587" s="1810" t="str">
        <f>INDEX(PT_DIFFERENTIATION_NUM_CS,MATCH(C587,PT_DIFFERENTIATION_CS_ID,0))</f>
        <v>35.1.1</v>
      </c>
      <c r="T587" s="225" t="s">
        <v>943</v>
      </c>
      <c r="U587" s="214"/>
      <c r="V587" s="8869"/>
      <c r="W587" s="8870"/>
      <c r="X587" s="8870"/>
      <c r="Y587" s="8870"/>
      <c r="Z587" s="8870"/>
      <c r="AA587" s="8870"/>
      <c r="AB587" s="8871"/>
      <c r="AC587" s="8869" t="str">
        <f>INDEX(PT_DIFFERENTIATION_CS,MATCH(C587,PT_DIFFERENTIATION_CS_ID,0))</f>
        <v>без дифференциации</v>
      </c>
      <c r="AD587" s="8870"/>
      <c r="AE587" s="8870"/>
      <c r="AF587" s="8870"/>
      <c r="AG587" s="8870"/>
      <c r="AH587" s="8870"/>
      <c r="AI587" s="8870"/>
      <c r="AJ587" s="8871"/>
      <c r="AK587" s="1182" t="s">
        <v>944</v>
      </c>
      <c r="AL587" s="1562"/>
      <c r="AM587" s="1544"/>
      <c r="AN587" s="1544" t="str">
        <f t="shared" si="9"/>
        <v>Наименование централизованной системы холодного водоснабжения</v>
      </c>
      <c r="AO587" s="1544"/>
      <c r="AP587" s="1544"/>
    </row>
    <row r="588" spans="1:42" s="1818" customFormat="1" ht="23.25" customHeight="1">
      <c r="A588" s="1284"/>
      <c r="B588" s="1284"/>
      <c r="C588" s="1284"/>
      <c r="D588" s="1284"/>
      <c r="E588" s="8884" t="s">
        <v>487</v>
      </c>
      <c r="F588" s="8884"/>
      <c r="G588" s="8884"/>
      <c r="H588" s="8884"/>
      <c r="I588" s="8881" t="str">
        <f>S587&amp;".1"</f>
        <v>35.1.1.1</v>
      </c>
      <c r="J588" s="1284"/>
      <c r="K588" s="1284"/>
      <c r="L588" s="1290"/>
      <c r="M588" s="1696"/>
      <c r="N588" s="1696"/>
      <c r="O588" s="1696"/>
      <c r="P588" s="8882">
        <v>1</v>
      </c>
      <c r="Q588" s="1811"/>
      <c r="R588" s="277"/>
      <c r="S588" s="1810" t="str">
        <f>$I588</f>
        <v>35.1.1.1</v>
      </c>
      <c r="T588" s="200" t="s">
        <v>945</v>
      </c>
      <c r="U588" s="214"/>
      <c r="V588" s="8942"/>
      <c r="W588" s="8943"/>
      <c r="X588" s="8943"/>
      <c r="Y588" s="8943"/>
      <c r="Z588" s="8943"/>
      <c r="AA588" s="8943"/>
      <c r="AB588" s="8944"/>
      <c r="AC588" s="8945"/>
      <c r="AD588" s="8946"/>
      <c r="AE588" s="8946"/>
      <c r="AF588" s="8946"/>
      <c r="AG588" s="8946"/>
      <c r="AH588" s="8946"/>
      <c r="AI588" s="8946"/>
      <c r="AJ588" s="8947"/>
      <c r="AK588" s="1182" t="s">
        <v>946</v>
      </c>
      <c r="AL588" s="1562"/>
      <c r="AM588" s="1544"/>
      <c r="AN588" s="1544" t="str">
        <f t="shared" si="9"/>
        <v>Наименование признака дифференциации</v>
      </c>
      <c r="AO588" s="1544"/>
      <c r="AP588" s="1544"/>
    </row>
    <row r="589" spans="1:42" s="1818" customFormat="1" ht="23.25" customHeight="1">
      <c r="A589" s="1284"/>
      <c r="B589" s="1284"/>
      <c r="C589" s="1284"/>
      <c r="D589" s="1284"/>
      <c r="E589" s="8884" t="s">
        <v>487</v>
      </c>
      <c r="F589" s="8884"/>
      <c r="G589" s="8884"/>
      <c r="H589" s="8884"/>
      <c r="I589" s="8904"/>
      <c r="J589" s="8881" t="str">
        <f>I588&amp;".1"</f>
        <v>35.1.1.1.1</v>
      </c>
      <c r="K589" s="1284"/>
      <c r="L589" s="1290" t="s">
        <v>871</v>
      </c>
      <c r="M589" s="1696"/>
      <c r="N589" s="1696"/>
      <c r="O589" s="1696"/>
      <c r="P589" s="8882"/>
      <c r="Q589" s="8882">
        <v>1</v>
      </c>
      <c r="R589" s="278"/>
      <c r="S589" s="1810" t="str">
        <f>$J589</f>
        <v>35.1.1.1.1</v>
      </c>
      <c r="T589" s="201" t="s">
        <v>872</v>
      </c>
      <c r="U589" s="214"/>
      <c r="V589" s="8872"/>
      <c r="W589" s="8873"/>
      <c r="X589" s="8873"/>
      <c r="Y589" s="8873"/>
      <c r="Z589" s="8873"/>
      <c r="AA589" s="8873"/>
      <c r="AB589" s="8874"/>
      <c r="AC589" s="8872" t="s">
        <v>961</v>
      </c>
      <c r="AD589" s="8873"/>
      <c r="AE589" s="8873"/>
      <c r="AF589" s="8873"/>
      <c r="AG589" s="8873"/>
      <c r="AH589" s="8873"/>
      <c r="AI589" s="8873"/>
      <c r="AJ589" s="8874"/>
      <c r="AK589" s="1231" t="s">
        <v>947</v>
      </c>
      <c r="AL589" s="1562"/>
      <c r="AM589" s="1544"/>
      <c r="AN589" s="1544" t="str">
        <f t="shared" si="9"/>
        <v>Группа потребителей</v>
      </c>
      <c r="AO589" s="1544"/>
      <c r="AP589" s="1544"/>
    </row>
    <row r="590" spans="1:42" s="1818" customFormat="1" ht="23.25" customHeight="1">
      <c r="A590" s="1284"/>
      <c r="B590" s="1284"/>
      <c r="C590" s="1284"/>
      <c r="D590" s="1284"/>
      <c r="E590" s="8884" t="s">
        <v>487</v>
      </c>
      <c r="F590" s="8884"/>
      <c r="G590" s="8884"/>
      <c r="H590" s="8884"/>
      <c r="I590" s="8904"/>
      <c r="J590" s="8904"/>
      <c r="K590" s="8881" t="str">
        <f>J589&amp;".1"</f>
        <v>35.1.1.1.1.1</v>
      </c>
      <c r="L590" s="1290"/>
      <c r="M590" s="1696"/>
      <c r="N590" s="1696"/>
      <c r="O590" s="1696"/>
      <c r="P590" s="8882"/>
      <c r="Q590" s="8882"/>
      <c r="R590" s="278">
        <v>1</v>
      </c>
      <c r="S590" s="1810" t="str">
        <f>$K590</f>
        <v>35.1.1.1.1.1</v>
      </c>
      <c r="T590" s="1357" t="s">
        <v>962</v>
      </c>
      <c r="U590" s="214"/>
      <c r="V590" s="666"/>
      <c r="W590" s="666"/>
      <c r="X590" s="1181"/>
      <c r="Y590" s="8886"/>
      <c r="Z590" s="8734" t="s">
        <v>63</v>
      </c>
      <c r="AA590" s="8886"/>
      <c r="AB590" s="8734" t="s">
        <v>63</v>
      </c>
      <c r="AC590" s="666">
        <v>927.76</v>
      </c>
      <c r="AD590" s="666"/>
      <c r="AE590" s="1181"/>
      <c r="AF590" s="8886">
        <v>45292</v>
      </c>
      <c r="AG590" s="8734" t="s">
        <v>63</v>
      </c>
      <c r="AH590" s="8905">
        <v>45657</v>
      </c>
      <c r="AI590" s="8734" t="s">
        <v>63</v>
      </c>
      <c r="AJ590" s="1358"/>
      <c r="AK59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90" s="1562" t="e">
        <f ca="1">STRCHECKDATE(V591:AJ591)</f>
        <v>#NAME?</v>
      </c>
      <c r="AM590" s="1544"/>
      <c r="AN590" s="1544" t="str">
        <f t="shared" si="9"/>
        <v>Тариф для населения, руб. за 1 куб. метр с НДС</v>
      </c>
      <c r="AO590" s="1544"/>
      <c r="AP590" s="1544"/>
    </row>
    <row r="591" spans="1:42" s="1818" customFormat="1" ht="14.25" customHeight="1">
      <c r="A591" s="1284"/>
      <c r="B591" s="1284"/>
      <c r="C591" s="1284"/>
      <c r="D591" s="1284"/>
      <c r="E591" s="8884" t="s">
        <v>487</v>
      </c>
      <c r="F591" s="8884"/>
      <c r="G591" s="8884"/>
      <c r="H591" s="8884"/>
      <c r="I591" s="8904"/>
      <c r="J591" s="8904"/>
      <c r="K591" s="8881"/>
      <c r="L591" s="1290"/>
      <c r="M591" s="1696"/>
      <c r="N591" s="1696"/>
      <c r="O591" s="1696"/>
      <c r="P591" s="8882"/>
      <c r="Q591" s="8882"/>
      <c r="R591" s="278"/>
      <c r="S591" s="1815"/>
      <c r="T591" s="214"/>
      <c r="U591" s="214"/>
      <c r="V591" s="246"/>
      <c r="W591" s="246"/>
      <c r="X591" s="250" t="str">
        <f>Y590&amp;"-"&amp;AA590</f>
        <v>-</v>
      </c>
      <c r="Y591" s="8887"/>
      <c r="Z591" s="8734"/>
      <c r="AA591" s="8887"/>
      <c r="AB591" s="8734"/>
      <c r="AC591" s="246"/>
      <c r="AD591" s="246"/>
      <c r="AE591" s="250" t="str">
        <f>AF590&amp;"-"&amp;AH590</f>
        <v>45292-45657</v>
      </c>
      <c r="AF591" s="8887"/>
      <c r="AG591" s="8734"/>
      <c r="AH591" s="8906"/>
      <c r="AI591" s="8734"/>
      <c r="AJ591" s="1359"/>
      <c r="AK591" s="8941"/>
      <c r="AL591" s="1562"/>
      <c r="AM591" s="1544"/>
      <c r="AN591" s="1544" t="str">
        <f t="shared" si="9"/>
        <v/>
      </c>
      <c r="AO591" s="1544"/>
      <c r="AP591" s="1544"/>
    </row>
    <row r="592" spans="1:42" s="1818" customFormat="1" ht="21" customHeight="1">
      <c r="A592" s="1284"/>
      <c r="B592" s="1284"/>
      <c r="C592" s="1284"/>
      <c r="D592" s="1284"/>
      <c r="E592" s="8884" t="s">
        <v>487</v>
      </c>
      <c r="F592" s="8884"/>
      <c r="G592" s="8884"/>
      <c r="H592" s="8884"/>
      <c r="I592" s="8904"/>
      <c r="J592" s="8881"/>
      <c r="K592" s="1284"/>
      <c r="L592" s="1290"/>
      <c r="M592" s="1696"/>
      <c r="N592" s="1696"/>
      <c r="O592" s="1696"/>
      <c r="P592" s="8882"/>
      <c r="Q592" s="8882"/>
      <c r="R592" s="277"/>
      <c r="S592" s="4315"/>
      <c r="T592" s="4316" t="s">
        <v>948</v>
      </c>
      <c r="U592" s="4317"/>
      <c r="V592" s="4318"/>
      <c r="W592" s="4319"/>
      <c r="X592" s="4320"/>
      <c r="Y592" s="4321"/>
      <c r="Z592" s="4322"/>
      <c r="AA592" s="4323"/>
      <c r="AB592" s="4324"/>
      <c r="AC592" s="4325"/>
      <c r="AD592" s="4326"/>
      <c r="AE592" s="4327"/>
      <c r="AF592" s="4328"/>
      <c r="AG592" s="4329"/>
      <c r="AH592" s="4330"/>
      <c r="AI592" s="4331"/>
      <c r="AJ592" s="4332"/>
      <c r="AK592" s="1182" t="s">
        <v>949</v>
      </c>
      <c r="AL592" s="1562"/>
      <c r="AM592" s="1544"/>
      <c r="AN592" s="1544" t="str">
        <f t="shared" si="9"/>
        <v>Добавить значение признака дифференциации</v>
      </c>
      <c r="AO592" s="1544"/>
      <c r="AP592" s="1544"/>
    </row>
    <row r="593" spans="1:42" s="1818" customFormat="1" ht="23.25" customHeight="1">
      <c r="A593" s="1284"/>
      <c r="B593" s="1284"/>
      <c r="C593" s="1284"/>
      <c r="D593" s="1284"/>
      <c r="E593" s="8884"/>
      <c r="F593" s="8884"/>
      <c r="G593" s="8884"/>
      <c r="H593" s="8884"/>
      <c r="I593" s="8904"/>
      <c r="J593" s="8881" t="str">
        <f>I588&amp;".2"</f>
        <v>35.1.1.1.2</v>
      </c>
      <c r="K593" s="1284"/>
      <c r="L593" s="1290" t="s">
        <v>871</v>
      </c>
      <c r="M593" s="1696"/>
      <c r="N593" s="1696"/>
      <c r="O593" s="1696"/>
      <c r="P593" s="8882"/>
      <c r="Q593" s="8948" t="s">
        <v>100</v>
      </c>
      <c r="R593" s="278"/>
      <c r="S593" s="1810" t="str">
        <f>$J593</f>
        <v>35.1.1.1.2</v>
      </c>
      <c r="T593" s="201" t="s">
        <v>872</v>
      </c>
      <c r="U593" s="214"/>
      <c r="V593" s="8872"/>
      <c r="W593" s="8873"/>
      <c r="X593" s="8873"/>
      <c r="Y593" s="8873"/>
      <c r="Z593" s="8873"/>
      <c r="AA593" s="8873"/>
      <c r="AB593" s="8874"/>
      <c r="AC593" s="8872" t="s">
        <v>963</v>
      </c>
      <c r="AD593" s="8873"/>
      <c r="AE593" s="8873"/>
      <c r="AF593" s="8873"/>
      <c r="AG593" s="8873"/>
      <c r="AH593" s="8873"/>
      <c r="AI593" s="8873"/>
      <c r="AJ593" s="8874"/>
      <c r="AK593" s="1231" t="s">
        <v>947</v>
      </c>
      <c r="AL593" s="1562"/>
      <c r="AM593" s="1544"/>
      <c r="AN593" s="1544" t="str">
        <f t="shared" si="9"/>
        <v>Группа потребителей</v>
      </c>
      <c r="AO593" s="1544"/>
      <c r="AP593" s="1544"/>
    </row>
    <row r="594" spans="1:42" s="1818" customFormat="1" ht="23.25" customHeight="1">
      <c r="A594" s="1284"/>
      <c r="B594" s="1284"/>
      <c r="C594" s="1284"/>
      <c r="D594" s="1284"/>
      <c r="E594" s="8884"/>
      <c r="F594" s="8884"/>
      <c r="G594" s="8884"/>
      <c r="H594" s="8884"/>
      <c r="I594" s="8904"/>
      <c r="J594" s="8904" t="str">
        <f>I588&amp;".1"</f>
        <v>35.1.1.1.1</v>
      </c>
      <c r="K594" s="8881" t="str">
        <f>J593&amp;".1"</f>
        <v>35.1.1.1.2.1</v>
      </c>
      <c r="L594" s="1290"/>
      <c r="M594" s="1696"/>
      <c r="N594" s="1696"/>
      <c r="O594" s="1696"/>
      <c r="P594" s="8882"/>
      <c r="Q594" s="8882"/>
      <c r="R594" s="278">
        <v>1</v>
      </c>
      <c r="S594" s="1810" t="str">
        <f>$K594</f>
        <v>35.1.1.1.2.1</v>
      </c>
      <c r="T594" s="1357" t="s">
        <v>964</v>
      </c>
      <c r="U594" s="214"/>
      <c r="V594" s="666"/>
      <c r="W594" s="666"/>
      <c r="X594" s="1181"/>
      <c r="Y594" s="8886"/>
      <c r="Z594" s="8734" t="s">
        <v>63</v>
      </c>
      <c r="AA594" s="8886"/>
      <c r="AB594" s="8734" t="s">
        <v>63</v>
      </c>
      <c r="AC594" s="666">
        <v>773.13</v>
      </c>
      <c r="AD594" s="666"/>
      <c r="AE594" s="1181"/>
      <c r="AF594" s="8886">
        <v>45292</v>
      </c>
      <c r="AG594" s="8734" t="s">
        <v>63</v>
      </c>
      <c r="AH594" s="8905">
        <v>45657</v>
      </c>
      <c r="AI594" s="8734" t="s">
        <v>63</v>
      </c>
      <c r="AJ594" s="1358"/>
      <c r="AK59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94" s="1562" t="e">
        <f ca="1">STRCHECKDATE(V595:AJ595)</f>
        <v>#NAME?</v>
      </c>
      <c r="AM594" s="1544"/>
      <c r="AN594" s="1544" t="str">
        <f t="shared" si="9"/>
        <v>Тариф, руб. за 1 куб. метр без НДС</v>
      </c>
      <c r="AO594" s="1544"/>
      <c r="AP594" s="1544"/>
    </row>
    <row r="595" spans="1:42" s="1818" customFormat="1" ht="14.25" customHeight="1">
      <c r="A595" s="1284"/>
      <c r="B595" s="1284"/>
      <c r="C595" s="1284"/>
      <c r="D595" s="1284"/>
      <c r="E595" s="8884"/>
      <c r="F595" s="8884"/>
      <c r="G595" s="8884"/>
      <c r="H595" s="8884"/>
      <c r="I595" s="8904"/>
      <c r="J595" s="8904" t="str">
        <f>I588&amp;".1"</f>
        <v>35.1.1.1.1</v>
      </c>
      <c r="K595" s="8881"/>
      <c r="L595" s="1290"/>
      <c r="M595" s="1696"/>
      <c r="N595" s="1696"/>
      <c r="O595" s="1696"/>
      <c r="P595" s="8882"/>
      <c r="Q595" s="8882"/>
      <c r="R595" s="278"/>
      <c r="S595" s="1815"/>
      <c r="T595" s="214"/>
      <c r="U595" s="214"/>
      <c r="V595" s="246"/>
      <c r="W595" s="246"/>
      <c r="X595" s="250" t="str">
        <f>Y594&amp;"-"&amp;AA594</f>
        <v>-</v>
      </c>
      <c r="Y595" s="8887"/>
      <c r="Z595" s="8734"/>
      <c r="AA595" s="8887"/>
      <c r="AB595" s="8734"/>
      <c r="AC595" s="246"/>
      <c r="AD595" s="246"/>
      <c r="AE595" s="250" t="str">
        <f>AF594&amp;"-"&amp;AH594</f>
        <v>45292-45657</v>
      </c>
      <c r="AF595" s="8887"/>
      <c r="AG595" s="8734"/>
      <c r="AH595" s="8906"/>
      <c r="AI595" s="8734"/>
      <c r="AJ595" s="1359"/>
      <c r="AK595" s="8941"/>
      <c r="AL595" s="1562"/>
      <c r="AM595" s="1544"/>
      <c r="AN595" s="1544" t="str">
        <f t="shared" si="9"/>
        <v/>
      </c>
      <c r="AO595" s="1544"/>
      <c r="AP595" s="1544"/>
    </row>
    <row r="596" spans="1:42" s="1818" customFormat="1" ht="21" customHeight="1">
      <c r="A596" s="1284"/>
      <c r="B596" s="1284"/>
      <c r="C596" s="1284"/>
      <c r="D596" s="1284"/>
      <c r="E596" s="8884"/>
      <c r="F596" s="8884"/>
      <c r="G596" s="8884"/>
      <c r="H596" s="8884"/>
      <c r="I596" s="8904"/>
      <c r="J596" s="8881" t="str">
        <f>I588&amp;".1"</f>
        <v>35.1.1.1.1</v>
      </c>
      <c r="K596" s="1284"/>
      <c r="L596" s="1290"/>
      <c r="M596" s="1696"/>
      <c r="N596" s="1696"/>
      <c r="O596" s="1696"/>
      <c r="P596" s="8882"/>
      <c r="Q596" s="8882"/>
      <c r="R596" s="277"/>
      <c r="S596" s="4333"/>
      <c r="T596" s="4334" t="s">
        <v>948</v>
      </c>
      <c r="U596" s="4335"/>
      <c r="V596" s="4336"/>
      <c r="W596" s="4337"/>
      <c r="X596" s="4338"/>
      <c r="Y596" s="4339"/>
      <c r="Z596" s="4340"/>
      <c r="AA596" s="4341"/>
      <c r="AB596" s="4342"/>
      <c r="AC596" s="4343"/>
      <c r="AD596" s="4344"/>
      <c r="AE596" s="4345"/>
      <c r="AF596" s="4346"/>
      <c r="AG596" s="4347"/>
      <c r="AH596" s="4348"/>
      <c r="AI596" s="4349"/>
      <c r="AJ596" s="4350"/>
      <c r="AK596" s="1182" t="s">
        <v>949</v>
      </c>
      <c r="AL596" s="1562"/>
      <c r="AM596" s="1544"/>
      <c r="AN596" s="1544" t="str">
        <f t="shared" si="9"/>
        <v>Добавить значение признака дифференциации</v>
      </c>
      <c r="AO596" s="1544"/>
      <c r="AP596" s="1544"/>
    </row>
    <row r="597" spans="1:42" s="1818" customFormat="1" ht="21" customHeight="1">
      <c r="A597" s="1284"/>
      <c r="B597" s="1284"/>
      <c r="C597" s="1284"/>
      <c r="D597" s="1284"/>
      <c r="E597" s="8884" t="s">
        <v>487</v>
      </c>
      <c r="F597" s="8884"/>
      <c r="G597" s="8884"/>
      <c r="H597" s="8884"/>
      <c r="I597" s="8881"/>
      <c r="J597" s="1284"/>
      <c r="K597" s="1284"/>
      <c r="L597" s="1290"/>
      <c r="M597" s="1696"/>
      <c r="N597" s="1696"/>
      <c r="O597" s="1696"/>
      <c r="P597" s="8882"/>
      <c r="Q597" s="1811"/>
      <c r="R597" s="277"/>
      <c r="S597" s="4351"/>
      <c r="T597" s="4352" t="s">
        <v>877</v>
      </c>
      <c r="U597" s="4353"/>
      <c r="V597" s="4354"/>
      <c r="W597" s="4355"/>
      <c r="X597" s="4356"/>
      <c r="Y597" s="4357"/>
      <c r="Z597" s="4358"/>
      <c r="AA597" s="4359"/>
      <c r="AB597" s="4360"/>
      <c r="AC597" s="4361"/>
      <c r="AD597" s="4362"/>
      <c r="AE597" s="4363"/>
      <c r="AF597" s="4364"/>
      <c r="AG597" s="4365"/>
      <c r="AH597" s="4366"/>
      <c r="AI597" s="4367"/>
      <c r="AJ597" s="4368"/>
      <c r="AK597" s="4369"/>
      <c r="AL597" s="1562"/>
      <c r="AM597" s="1544"/>
      <c r="AN597" s="1544" t="str">
        <f t="shared" si="9"/>
        <v>Добавить группу потребителей</v>
      </c>
      <c r="AO597" s="1544"/>
      <c r="AP597" s="1544"/>
    </row>
    <row r="598" spans="1:42" s="1818" customFormat="1" ht="21" customHeight="1">
      <c r="A598" s="1284"/>
      <c r="B598" s="1284"/>
      <c r="C598" s="1284"/>
      <c r="D598" s="1284"/>
      <c r="E598" s="8884" t="s">
        <v>487</v>
      </c>
      <c r="F598" s="8884"/>
      <c r="G598" s="8884"/>
      <c r="H598" s="8883"/>
      <c r="I598" s="1284"/>
      <c r="J598" s="1284"/>
      <c r="K598" s="1284"/>
      <c r="L598" s="1290"/>
      <c r="M598" s="1286"/>
      <c r="N598" s="1286"/>
      <c r="O598" s="1287"/>
      <c r="P598" s="1742"/>
      <c r="Q598" s="299"/>
      <c r="R598" s="276"/>
      <c r="S598" s="4370"/>
      <c r="T598" s="4371" t="s">
        <v>950</v>
      </c>
      <c r="U598" s="4372"/>
      <c r="V598" s="4373"/>
      <c r="W598" s="4374"/>
      <c r="X598" s="4375"/>
      <c r="Y598" s="4376"/>
      <c r="Z598" s="4377"/>
      <c r="AA598" s="4378"/>
      <c r="AB598" s="4379"/>
      <c r="AC598" s="4380"/>
      <c r="AD598" s="4381"/>
      <c r="AE598" s="4382"/>
      <c r="AF598" s="4383"/>
      <c r="AG598" s="4384"/>
      <c r="AH598" s="4385"/>
      <c r="AI598" s="4386"/>
      <c r="AJ598" s="4387"/>
      <c r="AK598" s="4388"/>
      <c r="AL598" s="1562"/>
      <c r="AM598" s="1544"/>
      <c r="AN598" s="1544" t="str">
        <f t="shared" si="9"/>
        <v>Добавить наименование признака дифференциации</v>
      </c>
      <c r="AO598" s="1544"/>
      <c r="AP598" s="1544"/>
    </row>
    <row r="599" spans="1:42" s="541" customFormat="1" ht="14.25" customHeight="1">
      <c r="A599" s="1265"/>
      <c r="B599" s="1265"/>
      <c r="C599" s="1265"/>
      <c r="D599" s="1265"/>
      <c r="E599" s="8884" t="s">
        <v>487</v>
      </c>
      <c r="F599" s="8883"/>
      <c r="G599" s="1265"/>
      <c r="H599" s="1265"/>
      <c r="I599" s="1265"/>
      <c r="J599" s="1265"/>
      <c r="K599" s="1265"/>
      <c r="L599" s="1466"/>
      <c r="M599" s="1244"/>
      <c r="N599" s="1244"/>
      <c r="O599" s="1562"/>
      <c r="P599" s="1239"/>
      <c r="Q599" s="1266"/>
      <c r="R599" s="1239"/>
      <c r="S599" s="1245"/>
      <c r="T599" s="1248" t="s">
        <v>314</v>
      </c>
      <c r="U599" s="1247"/>
      <c r="V599" s="1247"/>
      <c r="W599" s="1247"/>
      <c r="X599" s="1247"/>
      <c r="Y599" s="1247"/>
      <c r="Z599" s="1247"/>
      <c r="AA599" s="1247"/>
      <c r="AB599" s="1247"/>
      <c r="AC599" s="1247"/>
      <c r="AD599" s="1247"/>
      <c r="AE599" s="1247"/>
      <c r="AF599" s="1247"/>
      <c r="AG599" s="1247"/>
      <c r="AH599" s="1247"/>
      <c r="AI599" s="1247"/>
      <c r="AJ599" s="1247"/>
      <c r="AK599" s="1247"/>
      <c r="AL599" s="1562"/>
      <c r="AM599" s="1544"/>
      <c r="AN599" s="1544" t="str">
        <f t="shared" si="9"/>
        <v>Добавить централизованную систему для дифференциации</v>
      </c>
      <c r="AO599" s="1544"/>
      <c r="AP599" s="1544"/>
    </row>
    <row r="600" spans="1:42" s="541" customFormat="1" ht="14.25" customHeight="1">
      <c r="A600" s="1265"/>
      <c r="B600" s="1265"/>
      <c r="C600" s="1265"/>
      <c r="D600" s="1265"/>
      <c r="E600" s="8883" t="s">
        <v>487</v>
      </c>
      <c r="F600" s="1265"/>
      <c r="G600" s="1265"/>
      <c r="H600" s="1265"/>
      <c r="I600" s="1265"/>
      <c r="J600" s="1265"/>
      <c r="K600" s="1265"/>
      <c r="L600" s="1466"/>
      <c r="M600" s="1244"/>
      <c r="N600" s="1244"/>
      <c r="O600" s="1562"/>
      <c r="P600" s="1239"/>
      <c r="Q600" s="1266"/>
      <c r="R600" s="1239"/>
      <c r="S600" s="1245"/>
      <c r="T600" s="1248" t="s">
        <v>315</v>
      </c>
      <c r="U600" s="1247"/>
      <c r="V600" s="1247"/>
      <c r="W600" s="1247"/>
      <c r="X600" s="1247"/>
      <c r="Y600" s="1247"/>
      <c r="Z600" s="1247"/>
      <c r="AA600" s="1247"/>
      <c r="AB600" s="1247"/>
      <c r="AC600" s="1247"/>
      <c r="AD600" s="1247"/>
      <c r="AE600" s="1247"/>
      <c r="AF600" s="1247"/>
      <c r="AG600" s="1247"/>
      <c r="AH600" s="1247"/>
      <c r="AI600" s="1247"/>
      <c r="AJ600" s="1247"/>
      <c r="AK600" s="1247"/>
      <c r="AL600" s="1562"/>
      <c r="AM600" s="1544"/>
      <c r="AN600" s="1544" t="str">
        <f t="shared" si="9"/>
        <v>Добавить территорию для дифференциации</v>
      </c>
      <c r="AO600" s="1544"/>
      <c r="AP600" s="1544"/>
    </row>
    <row r="601" spans="1:42" s="1818" customFormat="1" ht="23.25" customHeight="1">
      <c r="A601" s="1284" t="s">
        <v>501</v>
      </c>
      <c r="B601" s="1284"/>
      <c r="C601" s="1284"/>
      <c r="D601" s="1284"/>
      <c r="E601" s="8883" t="s">
        <v>499</v>
      </c>
      <c r="F601" s="1284"/>
      <c r="G601" s="1284"/>
      <c r="H601" s="1284"/>
      <c r="I601" s="1284"/>
      <c r="J601" s="1284"/>
      <c r="K601" s="1284"/>
      <c r="L601" s="1290"/>
      <c r="M601" s="1286"/>
      <c r="N601" s="1286"/>
      <c r="O601" s="1286"/>
      <c r="P601" s="1812"/>
      <c r="Q601" s="1742"/>
      <c r="R601" s="276"/>
      <c r="S601" s="1810" t="str">
        <f>INDEX(PT_DIFFERENTIATION_NUM_NTAR,MATCH(A601,PT_DIFFERENTIATION_NTAR_ID,0))</f>
        <v>36</v>
      </c>
      <c r="T601" s="1440" t="s">
        <v>211</v>
      </c>
      <c r="U601" s="214"/>
      <c r="V601" s="8869"/>
      <c r="W601" s="8870"/>
      <c r="X601" s="8870"/>
      <c r="Y601" s="8870"/>
      <c r="Z601" s="8870"/>
      <c r="AA601" s="8870"/>
      <c r="AB601" s="8871"/>
      <c r="AC601" s="8869" t="str">
        <f>INDEX(PT_DIFFERENTIATION_NTAR,MATCH(A601,PT_DIFFERENTIATION_NTAR_ID,0))</f>
        <v>Подвоз воды потребителям хутора Кофанова</v>
      </c>
      <c r="AD601" s="8870"/>
      <c r="AE601" s="8870"/>
      <c r="AF601" s="8870"/>
      <c r="AG601" s="8870"/>
      <c r="AH601" s="8870"/>
      <c r="AI601" s="8870"/>
      <c r="AJ601" s="8871"/>
      <c r="AK60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601" s="1562"/>
      <c r="AM601" s="1544"/>
      <c r="AN601" s="1544" t="str">
        <f t="shared" si="9"/>
        <v>Наименование тарифа</v>
      </c>
      <c r="AO601" s="1544"/>
      <c r="AP601" s="1544"/>
    </row>
    <row r="602" spans="1:42" s="1818" customFormat="1" ht="23.25" customHeight="1">
      <c r="A602" s="1284"/>
      <c r="B602" s="1284" t="s">
        <v>502</v>
      </c>
      <c r="C602" s="1284"/>
      <c r="D602" s="1284"/>
      <c r="E602" s="8884" t="s">
        <v>493</v>
      </c>
      <c r="F602" s="8883">
        <v>1</v>
      </c>
      <c r="G602" s="1284"/>
      <c r="H602" s="1284"/>
      <c r="I602" s="1284"/>
      <c r="J602" s="1284"/>
      <c r="K602" s="1284"/>
      <c r="L602" s="1290"/>
      <c r="M602" s="1286"/>
      <c r="N602" s="1286"/>
      <c r="O602" s="1286"/>
      <c r="P602" s="1807"/>
      <c r="Q602" s="273"/>
      <c r="R602" s="274"/>
      <c r="S602" s="1810" t="str">
        <f>INDEX(PT_DIFFERENTIATION_NUM_TER,MATCH(B602,PT_DIFFERENTIATION_TER_ID,0))</f>
        <v>36.1</v>
      </c>
      <c r="T602" s="1437" t="s">
        <v>862</v>
      </c>
      <c r="U602" s="214"/>
      <c r="V602" s="8869"/>
      <c r="W602" s="8870"/>
      <c r="X602" s="8870"/>
      <c r="Y602" s="8870"/>
      <c r="Z602" s="8870"/>
      <c r="AA602" s="8870"/>
      <c r="AB602" s="8871"/>
      <c r="AC602" s="8869" t="str">
        <f>INDEX(PT_DIFFERENTIATION_TER,MATCH(B602,PT_DIFFERENTIATION_TER_ID,0))</f>
        <v>Территория 11</v>
      </c>
      <c r="AD602" s="8870"/>
      <c r="AE602" s="8870"/>
      <c r="AF602" s="8870"/>
      <c r="AG602" s="8870"/>
      <c r="AH602" s="8870"/>
      <c r="AI602" s="8870"/>
      <c r="AJ602" s="8871"/>
      <c r="AK602" s="1182" t="s">
        <v>863</v>
      </c>
      <c r="AL602" s="1562"/>
      <c r="AM602" s="1544"/>
      <c r="AN602" s="1544" t="str">
        <f t="shared" si="9"/>
        <v>Территория действия тарифа</v>
      </c>
      <c r="AO602" s="1544"/>
      <c r="AP602" s="1544"/>
    </row>
    <row r="603" spans="1:42" s="1818" customFormat="1" ht="23.25" customHeight="1">
      <c r="A603" s="1284"/>
      <c r="B603" s="1284"/>
      <c r="C603" s="1284" t="s">
        <v>503</v>
      </c>
      <c r="D603" s="1284"/>
      <c r="E603" s="8884" t="s">
        <v>493</v>
      </c>
      <c r="F603" s="8884"/>
      <c r="G603" s="8883">
        <v>1</v>
      </c>
      <c r="H603" s="1284"/>
      <c r="I603" s="1284"/>
      <c r="J603" s="1284"/>
      <c r="K603" s="1284"/>
      <c r="L603" s="1290"/>
      <c r="M603" s="1286"/>
      <c r="N603" s="1286"/>
      <c r="O603" s="1286"/>
      <c r="P603" s="275"/>
      <c r="Q603" s="273"/>
      <c r="R603" s="274"/>
      <c r="S603" s="1810" t="str">
        <f>INDEX(PT_DIFFERENTIATION_NUM_CS,MATCH(C603,PT_DIFFERENTIATION_CS_ID,0))</f>
        <v>36.1.1</v>
      </c>
      <c r="T603" s="225" t="s">
        <v>943</v>
      </c>
      <c r="U603" s="214"/>
      <c r="V603" s="8869"/>
      <c r="W603" s="8870"/>
      <c r="X603" s="8870"/>
      <c r="Y603" s="8870"/>
      <c r="Z603" s="8870"/>
      <c r="AA603" s="8870"/>
      <c r="AB603" s="8871"/>
      <c r="AC603" s="8869" t="str">
        <f>INDEX(PT_DIFFERENTIATION_CS,MATCH(C603,PT_DIFFERENTIATION_CS_ID,0))</f>
        <v>без дифференциации</v>
      </c>
      <c r="AD603" s="8870"/>
      <c r="AE603" s="8870"/>
      <c r="AF603" s="8870"/>
      <c r="AG603" s="8870"/>
      <c r="AH603" s="8870"/>
      <c r="AI603" s="8870"/>
      <c r="AJ603" s="8871"/>
      <c r="AK603" s="1182" t="s">
        <v>944</v>
      </c>
      <c r="AL603" s="1562"/>
      <c r="AM603" s="1544"/>
      <c r="AN603" s="1544" t="str">
        <f t="shared" si="9"/>
        <v>Наименование централизованной системы холодного водоснабжения</v>
      </c>
      <c r="AO603" s="1544"/>
      <c r="AP603" s="1544"/>
    </row>
    <row r="604" spans="1:42" s="1818" customFormat="1" ht="23.25" customHeight="1">
      <c r="A604" s="1284"/>
      <c r="B604" s="1284"/>
      <c r="C604" s="1284"/>
      <c r="D604" s="1284"/>
      <c r="E604" s="8884" t="s">
        <v>493</v>
      </c>
      <c r="F604" s="8884"/>
      <c r="G604" s="8884"/>
      <c r="H604" s="8884"/>
      <c r="I604" s="8881" t="str">
        <f>S603&amp;".1"</f>
        <v>36.1.1.1</v>
      </c>
      <c r="J604" s="1284"/>
      <c r="K604" s="1284"/>
      <c r="L604" s="1290"/>
      <c r="M604" s="1696"/>
      <c r="N604" s="1696"/>
      <c r="O604" s="1696"/>
      <c r="P604" s="8882">
        <v>1</v>
      </c>
      <c r="Q604" s="1811"/>
      <c r="R604" s="277"/>
      <c r="S604" s="1810" t="str">
        <f>$I604</f>
        <v>36.1.1.1</v>
      </c>
      <c r="T604" s="200" t="s">
        <v>945</v>
      </c>
      <c r="U604" s="214"/>
      <c r="V604" s="8942"/>
      <c r="W604" s="8943"/>
      <c r="X604" s="8943"/>
      <c r="Y604" s="8943"/>
      <c r="Z604" s="8943"/>
      <c r="AA604" s="8943"/>
      <c r="AB604" s="8944"/>
      <c r="AC604" s="8945"/>
      <c r="AD604" s="8946"/>
      <c r="AE604" s="8946"/>
      <c r="AF604" s="8946"/>
      <c r="AG604" s="8946"/>
      <c r="AH604" s="8946"/>
      <c r="AI604" s="8946"/>
      <c r="AJ604" s="8947"/>
      <c r="AK604" s="1182" t="s">
        <v>946</v>
      </c>
      <c r="AL604" s="1562"/>
      <c r="AM604" s="1544"/>
      <c r="AN604" s="1544" t="str">
        <f t="shared" si="9"/>
        <v>Наименование признака дифференциации</v>
      </c>
      <c r="AO604" s="1544"/>
      <c r="AP604" s="1544"/>
    </row>
    <row r="605" spans="1:42" s="1818" customFormat="1" ht="23.25" customHeight="1">
      <c r="A605" s="1284"/>
      <c r="B605" s="1284"/>
      <c r="C605" s="1284"/>
      <c r="D605" s="1284"/>
      <c r="E605" s="8884" t="s">
        <v>493</v>
      </c>
      <c r="F605" s="8884"/>
      <c r="G605" s="8884"/>
      <c r="H605" s="8884"/>
      <c r="I605" s="8904"/>
      <c r="J605" s="8881" t="str">
        <f>I604&amp;".1"</f>
        <v>36.1.1.1.1</v>
      </c>
      <c r="K605" s="1284"/>
      <c r="L605" s="1290" t="s">
        <v>871</v>
      </c>
      <c r="M605" s="1696"/>
      <c r="N605" s="1696"/>
      <c r="O605" s="1696"/>
      <c r="P605" s="8882"/>
      <c r="Q605" s="8882">
        <v>1</v>
      </c>
      <c r="R605" s="278"/>
      <c r="S605" s="1810" t="str">
        <f>$J605</f>
        <v>36.1.1.1.1</v>
      </c>
      <c r="T605" s="201" t="s">
        <v>872</v>
      </c>
      <c r="U605" s="214"/>
      <c r="V605" s="8872"/>
      <c r="W605" s="8873"/>
      <c r="X605" s="8873"/>
      <c r="Y605" s="8873"/>
      <c r="Z605" s="8873"/>
      <c r="AA605" s="8873"/>
      <c r="AB605" s="8874"/>
      <c r="AC605" s="8872" t="s">
        <v>961</v>
      </c>
      <c r="AD605" s="8873"/>
      <c r="AE605" s="8873"/>
      <c r="AF605" s="8873"/>
      <c r="AG605" s="8873"/>
      <c r="AH605" s="8873"/>
      <c r="AI605" s="8873"/>
      <c r="AJ605" s="8874"/>
      <c r="AK605" s="1231" t="s">
        <v>947</v>
      </c>
      <c r="AL605" s="1562"/>
      <c r="AM605" s="1544"/>
      <c r="AN605" s="1544" t="str">
        <f t="shared" si="9"/>
        <v>Группа потребителей</v>
      </c>
      <c r="AO605" s="1544"/>
      <c r="AP605" s="1544"/>
    </row>
    <row r="606" spans="1:42" s="1818" customFormat="1" ht="23.25" customHeight="1">
      <c r="A606" s="1284"/>
      <c r="B606" s="1284"/>
      <c r="C606" s="1284"/>
      <c r="D606" s="1284"/>
      <c r="E606" s="8884" t="s">
        <v>493</v>
      </c>
      <c r="F606" s="8884"/>
      <c r="G606" s="8884"/>
      <c r="H606" s="8884"/>
      <c r="I606" s="8904"/>
      <c r="J606" s="8904"/>
      <c r="K606" s="8881" t="str">
        <f>J605&amp;".1"</f>
        <v>36.1.1.1.1.1</v>
      </c>
      <c r="L606" s="1290"/>
      <c r="M606" s="1696"/>
      <c r="N606" s="1696"/>
      <c r="O606" s="1696"/>
      <c r="P606" s="8882"/>
      <c r="Q606" s="8882"/>
      <c r="R606" s="278">
        <v>1</v>
      </c>
      <c r="S606" s="1810" t="str">
        <f>$K606</f>
        <v>36.1.1.1.1.1</v>
      </c>
      <c r="T606" s="1357" t="s">
        <v>962</v>
      </c>
      <c r="U606" s="214"/>
      <c r="V606" s="666"/>
      <c r="W606" s="666"/>
      <c r="X606" s="1181"/>
      <c r="Y606" s="8886"/>
      <c r="Z606" s="8734" t="s">
        <v>63</v>
      </c>
      <c r="AA606" s="8886"/>
      <c r="AB606" s="8734" t="s">
        <v>63</v>
      </c>
      <c r="AC606" s="666">
        <v>601.91999999999996</v>
      </c>
      <c r="AD606" s="666"/>
      <c r="AE606" s="1181"/>
      <c r="AF606" s="8886">
        <v>45292</v>
      </c>
      <c r="AG606" s="8734" t="s">
        <v>63</v>
      </c>
      <c r="AH606" s="8905">
        <v>45657</v>
      </c>
      <c r="AI606" s="8734" t="s">
        <v>63</v>
      </c>
      <c r="AJ606" s="1358"/>
      <c r="AK60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06" s="1562" t="e">
        <f ca="1">STRCHECKDATE(V607:AJ607)</f>
        <v>#NAME?</v>
      </c>
      <c r="AM606" s="1544"/>
      <c r="AN606" s="1544" t="str">
        <f t="shared" si="9"/>
        <v>Тариф для населения, руб. за 1 куб. метр с НДС</v>
      </c>
      <c r="AO606" s="1544"/>
      <c r="AP606" s="1544"/>
    </row>
    <row r="607" spans="1:42" s="1818" customFormat="1" ht="14.25" customHeight="1">
      <c r="A607" s="1284"/>
      <c r="B607" s="1284"/>
      <c r="C607" s="1284"/>
      <c r="D607" s="1284"/>
      <c r="E607" s="8884" t="s">
        <v>493</v>
      </c>
      <c r="F607" s="8884"/>
      <c r="G607" s="8884"/>
      <c r="H607" s="8884"/>
      <c r="I607" s="8904"/>
      <c r="J607" s="8904"/>
      <c r="K607" s="8881"/>
      <c r="L607" s="1290"/>
      <c r="M607" s="1696"/>
      <c r="N607" s="1696"/>
      <c r="O607" s="1696"/>
      <c r="P607" s="8882"/>
      <c r="Q607" s="8882"/>
      <c r="R607" s="278"/>
      <c r="S607" s="1815"/>
      <c r="T607" s="214"/>
      <c r="U607" s="214"/>
      <c r="V607" s="246"/>
      <c r="W607" s="246"/>
      <c r="X607" s="250" t="str">
        <f>Y606&amp;"-"&amp;AA606</f>
        <v>-</v>
      </c>
      <c r="Y607" s="8887"/>
      <c r="Z607" s="8734"/>
      <c r="AA607" s="8887"/>
      <c r="AB607" s="8734"/>
      <c r="AC607" s="246"/>
      <c r="AD607" s="246"/>
      <c r="AE607" s="250" t="str">
        <f>AF606&amp;"-"&amp;AH606</f>
        <v>45292-45657</v>
      </c>
      <c r="AF607" s="8887"/>
      <c r="AG607" s="8734"/>
      <c r="AH607" s="8906"/>
      <c r="AI607" s="8734"/>
      <c r="AJ607" s="1359"/>
      <c r="AK607" s="8941"/>
      <c r="AL607" s="1562"/>
      <c r="AM607" s="1544"/>
      <c r="AN607" s="1544" t="str">
        <f t="shared" si="9"/>
        <v/>
      </c>
      <c r="AO607" s="1544"/>
      <c r="AP607" s="1544"/>
    </row>
    <row r="608" spans="1:42" s="1818" customFormat="1" ht="21" customHeight="1">
      <c r="A608" s="1284"/>
      <c r="B608" s="1284"/>
      <c r="C608" s="1284"/>
      <c r="D608" s="1284"/>
      <c r="E608" s="8884" t="s">
        <v>493</v>
      </c>
      <c r="F608" s="8884"/>
      <c r="G608" s="8884"/>
      <c r="H608" s="8884"/>
      <c r="I608" s="8904"/>
      <c r="J608" s="8881"/>
      <c r="K608" s="1284"/>
      <c r="L608" s="1290"/>
      <c r="M608" s="1696"/>
      <c r="N608" s="1696"/>
      <c r="O608" s="1696"/>
      <c r="P608" s="8882"/>
      <c r="Q608" s="8882"/>
      <c r="R608" s="277"/>
      <c r="S608" s="4389"/>
      <c r="T608" s="4390" t="s">
        <v>948</v>
      </c>
      <c r="U608" s="4391"/>
      <c r="V608" s="4392"/>
      <c r="W608" s="4393"/>
      <c r="X608" s="4394"/>
      <c r="Y608" s="4395"/>
      <c r="Z608" s="4396"/>
      <c r="AA608" s="4397"/>
      <c r="AB608" s="4398"/>
      <c r="AC608" s="4399"/>
      <c r="AD608" s="4400"/>
      <c r="AE608" s="4401"/>
      <c r="AF608" s="4402"/>
      <c r="AG608" s="4403"/>
      <c r="AH608" s="4404"/>
      <c r="AI608" s="4405"/>
      <c r="AJ608" s="4406"/>
      <c r="AK608" s="1182" t="s">
        <v>949</v>
      </c>
      <c r="AL608" s="1562"/>
      <c r="AM608" s="1544"/>
      <c r="AN608" s="1544" t="str">
        <f t="shared" si="9"/>
        <v>Добавить значение признака дифференциации</v>
      </c>
      <c r="AO608" s="1544"/>
      <c r="AP608" s="1544"/>
    </row>
    <row r="609" spans="1:42" s="1818" customFormat="1" ht="23.25" customHeight="1">
      <c r="A609" s="1284"/>
      <c r="B609" s="1284"/>
      <c r="C609" s="1284"/>
      <c r="D609" s="1284"/>
      <c r="E609" s="8884"/>
      <c r="F609" s="8884"/>
      <c r="G609" s="8884"/>
      <c r="H609" s="8884"/>
      <c r="I609" s="8904"/>
      <c r="J609" s="8881" t="str">
        <f>I604&amp;".2"</f>
        <v>36.1.1.1.2</v>
      </c>
      <c r="K609" s="1284"/>
      <c r="L609" s="1290" t="s">
        <v>871</v>
      </c>
      <c r="M609" s="1696"/>
      <c r="N609" s="1696"/>
      <c r="O609" s="1696"/>
      <c r="P609" s="8882"/>
      <c r="Q609" s="8948" t="s">
        <v>100</v>
      </c>
      <c r="R609" s="278"/>
      <c r="S609" s="1810" t="str">
        <f>$J609</f>
        <v>36.1.1.1.2</v>
      </c>
      <c r="T609" s="201" t="s">
        <v>872</v>
      </c>
      <c r="U609" s="214"/>
      <c r="V609" s="8872"/>
      <c r="W609" s="8873"/>
      <c r="X609" s="8873"/>
      <c r="Y609" s="8873"/>
      <c r="Z609" s="8873"/>
      <c r="AA609" s="8873"/>
      <c r="AB609" s="8874"/>
      <c r="AC609" s="8872" t="s">
        <v>963</v>
      </c>
      <c r="AD609" s="8873"/>
      <c r="AE609" s="8873"/>
      <c r="AF609" s="8873"/>
      <c r="AG609" s="8873"/>
      <c r="AH609" s="8873"/>
      <c r="AI609" s="8873"/>
      <c r="AJ609" s="8874"/>
      <c r="AK609" s="1231" t="s">
        <v>947</v>
      </c>
      <c r="AL609" s="1562"/>
      <c r="AM609" s="1544"/>
      <c r="AN609" s="1544" t="str">
        <f t="shared" si="9"/>
        <v>Группа потребителей</v>
      </c>
      <c r="AO609" s="1544"/>
      <c r="AP609" s="1544"/>
    </row>
    <row r="610" spans="1:42" s="1818" customFormat="1" ht="23.25" customHeight="1">
      <c r="A610" s="1284"/>
      <c r="B610" s="1284"/>
      <c r="C610" s="1284"/>
      <c r="D610" s="1284"/>
      <c r="E610" s="8884"/>
      <c r="F610" s="8884"/>
      <c r="G610" s="8884"/>
      <c r="H610" s="8884"/>
      <c r="I610" s="8904"/>
      <c r="J610" s="8904" t="str">
        <f>I604&amp;".1"</f>
        <v>36.1.1.1.1</v>
      </c>
      <c r="K610" s="8881" t="str">
        <f>J609&amp;".1"</f>
        <v>36.1.1.1.2.1</v>
      </c>
      <c r="L610" s="1290"/>
      <c r="M610" s="1696"/>
      <c r="N610" s="1696"/>
      <c r="O610" s="1696"/>
      <c r="P610" s="8882"/>
      <c r="Q610" s="8882"/>
      <c r="R610" s="278">
        <v>1</v>
      </c>
      <c r="S610" s="1810" t="str">
        <f>$K610</f>
        <v>36.1.1.1.2.1</v>
      </c>
      <c r="T610" s="1357" t="s">
        <v>964</v>
      </c>
      <c r="U610" s="214"/>
      <c r="V610" s="666"/>
      <c r="W610" s="666"/>
      <c r="X610" s="1181"/>
      <c r="Y610" s="8886"/>
      <c r="Z610" s="8734" t="s">
        <v>63</v>
      </c>
      <c r="AA610" s="8886"/>
      <c r="AB610" s="8734" t="s">
        <v>63</v>
      </c>
      <c r="AC610" s="666">
        <v>501.6</v>
      </c>
      <c r="AD610" s="666"/>
      <c r="AE610" s="1181"/>
      <c r="AF610" s="8886">
        <v>45292</v>
      </c>
      <c r="AG610" s="8734" t="s">
        <v>63</v>
      </c>
      <c r="AH610" s="8905">
        <v>45657</v>
      </c>
      <c r="AI610" s="8734" t="s">
        <v>63</v>
      </c>
      <c r="AJ610" s="1358"/>
      <c r="AK61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10" s="1562" t="e">
        <f ca="1">STRCHECKDATE(V611:AJ611)</f>
        <v>#NAME?</v>
      </c>
      <c r="AM610" s="1544"/>
      <c r="AN610" s="1544" t="str">
        <f t="shared" si="9"/>
        <v>Тариф, руб. за 1 куб. метр без НДС</v>
      </c>
      <c r="AO610" s="1544"/>
      <c r="AP610" s="1544"/>
    </row>
    <row r="611" spans="1:42" s="1818" customFormat="1" ht="14.25" customHeight="1">
      <c r="A611" s="1284"/>
      <c r="B611" s="1284"/>
      <c r="C611" s="1284"/>
      <c r="D611" s="1284"/>
      <c r="E611" s="8884"/>
      <c r="F611" s="8884"/>
      <c r="G611" s="8884"/>
      <c r="H611" s="8884"/>
      <c r="I611" s="8904"/>
      <c r="J611" s="8904" t="str">
        <f>I604&amp;".1"</f>
        <v>36.1.1.1.1</v>
      </c>
      <c r="K611" s="8881"/>
      <c r="L611" s="1290"/>
      <c r="M611" s="1696"/>
      <c r="N611" s="1696"/>
      <c r="O611" s="1696"/>
      <c r="P611" s="8882"/>
      <c r="Q611" s="8882"/>
      <c r="R611" s="278"/>
      <c r="S611" s="1815"/>
      <c r="T611" s="214"/>
      <c r="U611" s="214"/>
      <c r="V611" s="246"/>
      <c r="W611" s="246"/>
      <c r="X611" s="250" t="str">
        <f>Y610&amp;"-"&amp;AA610</f>
        <v>-</v>
      </c>
      <c r="Y611" s="8887"/>
      <c r="Z611" s="8734"/>
      <c r="AA611" s="8887"/>
      <c r="AB611" s="8734"/>
      <c r="AC611" s="246"/>
      <c r="AD611" s="246"/>
      <c r="AE611" s="250" t="str">
        <f>AF610&amp;"-"&amp;AH610</f>
        <v>45292-45657</v>
      </c>
      <c r="AF611" s="8887"/>
      <c r="AG611" s="8734"/>
      <c r="AH611" s="8906"/>
      <c r="AI611" s="8734"/>
      <c r="AJ611" s="1359"/>
      <c r="AK611" s="8941"/>
      <c r="AL611" s="1562"/>
      <c r="AM611" s="1544"/>
      <c r="AN611" s="1544" t="str">
        <f t="shared" si="9"/>
        <v/>
      </c>
      <c r="AO611" s="1544"/>
      <c r="AP611" s="1544"/>
    </row>
    <row r="612" spans="1:42" s="1818" customFormat="1" ht="21" customHeight="1">
      <c r="A612" s="1284"/>
      <c r="B612" s="1284"/>
      <c r="C612" s="1284"/>
      <c r="D612" s="1284"/>
      <c r="E612" s="8884"/>
      <c r="F612" s="8884"/>
      <c r="G612" s="8884"/>
      <c r="H612" s="8884"/>
      <c r="I612" s="8904"/>
      <c r="J612" s="8881" t="str">
        <f>I604&amp;".1"</f>
        <v>36.1.1.1.1</v>
      </c>
      <c r="K612" s="1284"/>
      <c r="L612" s="1290"/>
      <c r="M612" s="1696"/>
      <c r="N612" s="1696"/>
      <c r="O612" s="1696"/>
      <c r="P612" s="8882"/>
      <c r="Q612" s="8882"/>
      <c r="R612" s="277"/>
      <c r="S612" s="4407"/>
      <c r="T612" s="4408" t="s">
        <v>948</v>
      </c>
      <c r="U612" s="4409"/>
      <c r="V612" s="4410"/>
      <c r="W612" s="4411"/>
      <c r="X612" s="4412"/>
      <c r="Y612" s="4413"/>
      <c r="Z612" s="4414"/>
      <c r="AA612" s="4415"/>
      <c r="AB612" s="4416"/>
      <c r="AC612" s="4417"/>
      <c r="AD612" s="4418"/>
      <c r="AE612" s="4419"/>
      <c r="AF612" s="4420"/>
      <c r="AG612" s="4421"/>
      <c r="AH612" s="4422"/>
      <c r="AI612" s="4423"/>
      <c r="AJ612" s="4424"/>
      <c r="AK612" s="1182" t="s">
        <v>949</v>
      </c>
      <c r="AL612" s="1562"/>
      <c r="AM612" s="1544"/>
      <c r="AN612" s="1544" t="str">
        <f t="shared" si="9"/>
        <v>Добавить значение признака дифференциации</v>
      </c>
      <c r="AO612" s="1544"/>
      <c r="AP612" s="1544"/>
    </row>
    <row r="613" spans="1:42" s="1818" customFormat="1" ht="21" customHeight="1">
      <c r="A613" s="1284"/>
      <c r="B613" s="1284"/>
      <c r="C613" s="1284"/>
      <c r="D613" s="1284"/>
      <c r="E613" s="8884" t="s">
        <v>493</v>
      </c>
      <c r="F613" s="8884"/>
      <c r="G613" s="8884"/>
      <c r="H613" s="8884"/>
      <c r="I613" s="8881"/>
      <c r="J613" s="1284"/>
      <c r="K613" s="1284"/>
      <c r="L613" s="1290"/>
      <c r="M613" s="1696"/>
      <c r="N613" s="1696"/>
      <c r="O613" s="1696"/>
      <c r="P613" s="8882"/>
      <c r="Q613" s="1811"/>
      <c r="R613" s="277"/>
      <c r="S613" s="4425"/>
      <c r="T613" s="4426" t="s">
        <v>877</v>
      </c>
      <c r="U613" s="4427"/>
      <c r="V613" s="4428"/>
      <c r="W613" s="4429"/>
      <c r="X613" s="4430"/>
      <c r="Y613" s="4431"/>
      <c r="Z613" s="4432"/>
      <c r="AA613" s="4433"/>
      <c r="AB613" s="4434"/>
      <c r="AC613" s="4435"/>
      <c r="AD613" s="4436"/>
      <c r="AE613" s="4437"/>
      <c r="AF613" s="4438"/>
      <c r="AG613" s="4439"/>
      <c r="AH613" s="4440"/>
      <c r="AI613" s="4441"/>
      <c r="AJ613" s="4442"/>
      <c r="AK613" s="4443"/>
      <c r="AL613" s="1562"/>
      <c r="AM613" s="1544"/>
      <c r="AN613" s="1544" t="str">
        <f t="shared" si="9"/>
        <v>Добавить группу потребителей</v>
      </c>
      <c r="AO613" s="1544"/>
      <c r="AP613" s="1544"/>
    </row>
    <row r="614" spans="1:42" s="1818" customFormat="1" ht="21" customHeight="1">
      <c r="A614" s="1284"/>
      <c r="B614" s="1284"/>
      <c r="C614" s="1284"/>
      <c r="D614" s="1284"/>
      <c r="E614" s="8884" t="s">
        <v>493</v>
      </c>
      <c r="F614" s="8884"/>
      <c r="G614" s="8884"/>
      <c r="H614" s="8883"/>
      <c r="I614" s="1284"/>
      <c r="J614" s="1284"/>
      <c r="K614" s="1284"/>
      <c r="L614" s="1290"/>
      <c r="M614" s="1286"/>
      <c r="N614" s="1286"/>
      <c r="O614" s="1287"/>
      <c r="P614" s="1742"/>
      <c r="Q614" s="299"/>
      <c r="R614" s="276"/>
      <c r="S614" s="4444"/>
      <c r="T614" s="4445" t="s">
        <v>950</v>
      </c>
      <c r="U614" s="4446"/>
      <c r="V614" s="4447"/>
      <c r="W614" s="4448"/>
      <c r="X614" s="4449"/>
      <c r="Y614" s="4450"/>
      <c r="Z614" s="4451"/>
      <c r="AA614" s="4452"/>
      <c r="AB614" s="4453"/>
      <c r="AC614" s="4454"/>
      <c r="AD614" s="4455"/>
      <c r="AE614" s="4456"/>
      <c r="AF614" s="4457"/>
      <c r="AG614" s="4458"/>
      <c r="AH614" s="4459"/>
      <c r="AI614" s="4460"/>
      <c r="AJ614" s="4461"/>
      <c r="AK614" s="4462"/>
      <c r="AL614" s="1562"/>
      <c r="AM614" s="1544"/>
      <c r="AN614" s="1544" t="str">
        <f t="shared" si="9"/>
        <v>Добавить наименование признака дифференциации</v>
      </c>
      <c r="AO614" s="1544"/>
      <c r="AP614" s="1544"/>
    </row>
    <row r="615" spans="1:42" s="541" customFormat="1" ht="14.25" customHeight="1">
      <c r="A615" s="1265"/>
      <c r="B615" s="1265"/>
      <c r="C615" s="1265"/>
      <c r="D615" s="1265"/>
      <c r="E615" s="8884" t="s">
        <v>493</v>
      </c>
      <c r="F615" s="8883"/>
      <c r="G615" s="1265"/>
      <c r="H615" s="1265"/>
      <c r="I615" s="1265"/>
      <c r="J615" s="1265"/>
      <c r="K615" s="1265"/>
      <c r="L615" s="1466"/>
      <c r="M615" s="1244"/>
      <c r="N615" s="1244"/>
      <c r="O615" s="1562"/>
      <c r="P615" s="1239"/>
      <c r="Q615" s="1266"/>
      <c r="R615" s="1239"/>
      <c r="S615" s="1245"/>
      <c r="T615" s="1248" t="s">
        <v>314</v>
      </c>
      <c r="U615" s="1247"/>
      <c r="V615" s="1247"/>
      <c r="W615" s="1247"/>
      <c r="X615" s="1247"/>
      <c r="Y615" s="1247"/>
      <c r="Z615" s="1247"/>
      <c r="AA615" s="1247"/>
      <c r="AB615" s="1247"/>
      <c r="AC615" s="1247"/>
      <c r="AD615" s="1247"/>
      <c r="AE615" s="1247"/>
      <c r="AF615" s="1247"/>
      <c r="AG615" s="1247"/>
      <c r="AH615" s="1247"/>
      <c r="AI615" s="1247"/>
      <c r="AJ615" s="1247"/>
      <c r="AK615" s="1247"/>
      <c r="AL615" s="1562"/>
      <c r="AM615" s="1544"/>
      <c r="AN615" s="1544" t="str">
        <f t="shared" si="9"/>
        <v>Добавить централизованную систему для дифференциации</v>
      </c>
      <c r="AO615" s="1544"/>
      <c r="AP615" s="1544"/>
    </row>
    <row r="616" spans="1:42" s="541" customFormat="1" ht="14.25" customHeight="1">
      <c r="A616" s="1265"/>
      <c r="B616" s="1265"/>
      <c r="C616" s="1265"/>
      <c r="D616" s="1265"/>
      <c r="E616" s="8883" t="s">
        <v>493</v>
      </c>
      <c r="F616" s="1265"/>
      <c r="G616" s="1265"/>
      <c r="H616" s="1265"/>
      <c r="I616" s="1265"/>
      <c r="J616" s="1265"/>
      <c r="K616" s="1265"/>
      <c r="L616" s="1466"/>
      <c r="M616" s="1244"/>
      <c r="N616" s="1244"/>
      <c r="O616" s="1562"/>
      <c r="P616" s="1239"/>
      <c r="Q616" s="1266"/>
      <c r="R616" s="1239"/>
      <c r="S616" s="1245"/>
      <c r="T616" s="1248" t="s">
        <v>315</v>
      </c>
      <c r="U616" s="1247"/>
      <c r="V616" s="1247"/>
      <c r="W616" s="1247"/>
      <c r="X616" s="1247"/>
      <c r="Y616" s="1247"/>
      <c r="Z616" s="1247"/>
      <c r="AA616" s="1247"/>
      <c r="AB616" s="1247"/>
      <c r="AC616" s="1247"/>
      <c r="AD616" s="1247"/>
      <c r="AE616" s="1247"/>
      <c r="AF616" s="1247"/>
      <c r="AG616" s="1247"/>
      <c r="AH616" s="1247"/>
      <c r="AI616" s="1247"/>
      <c r="AJ616" s="1247"/>
      <c r="AK616" s="1247"/>
      <c r="AL616" s="1562"/>
      <c r="AM616" s="1544"/>
      <c r="AN616" s="1544" t="str">
        <f t="shared" si="9"/>
        <v>Добавить территорию для дифференциации</v>
      </c>
      <c r="AO616" s="1544"/>
      <c r="AP616" s="1544"/>
    </row>
    <row r="617" spans="1:42" s="1818" customFormat="1" ht="23.25" customHeight="1">
      <c r="A617" s="1284" t="s">
        <v>506</v>
      </c>
      <c r="B617" s="1284"/>
      <c r="C617" s="1284"/>
      <c r="D617" s="1284"/>
      <c r="E617" s="8883" t="s">
        <v>110</v>
      </c>
      <c r="F617" s="1284"/>
      <c r="G617" s="1284"/>
      <c r="H617" s="1284"/>
      <c r="I617" s="1284"/>
      <c r="J617" s="1284"/>
      <c r="K617" s="1284"/>
      <c r="L617" s="1290"/>
      <c r="M617" s="1286"/>
      <c r="N617" s="1286"/>
      <c r="O617" s="1286"/>
      <c r="P617" s="1812"/>
      <c r="Q617" s="1742"/>
      <c r="R617" s="276"/>
      <c r="S617" s="1810" t="str">
        <f>INDEX(PT_DIFFERENTIATION_NUM_NTAR,MATCH(A617,PT_DIFFERENTIATION_NTAR_ID,0))</f>
        <v>37</v>
      </c>
      <c r="T617" s="1440" t="s">
        <v>211</v>
      </c>
      <c r="U617" s="214"/>
      <c r="V617" s="8869"/>
      <c r="W617" s="8870"/>
      <c r="X617" s="8870"/>
      <c r="Y617" s="8870"/>
      <c r="Z617" s="8870"/>
      <c r="AA617" s="8870"/>
      <c r="AB617" s="8871"/>
      <c r="AC617" s="8869" t="str">
        <f>INDEX(PT_DIFFERENTIATION_NTAR,MATCH(A617,PT_DIFFERENTIATION_NTAR_ID,0))</f>
        <v>Подвоз воды потребителям хутора Холодногорского</v>
      </c>
      <c r="AD617" s="8870"/>
      <c r="AE617" s="8870"/>
      <c r="AF617" s="8870"/>
      <c r="AG617" s="8870"/>
      <c r="AH617" s="8870"/>
      <c r="AI617" s="8870"/>
      <c r="AJ617" s="8871"/>
      <c r="AK61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617" s="1562"/>
      <c r="AM617" s="1544"/>
      <c r="AN617" s="1544" t="str">
        <f t="shared" ref="AN617:AN680" si="10">IF(T617="","",T617)</f>
        <v>Наименование тарифа</v>
      </c>
      <c r="AO617" s="1544"/>
      <c r="AP617" s="1544"/>
    </row>
    <row r="618" spans="1:42" s="1818" customFormat="1" ht="23.25" customHeight="1">
      <c r="A618" s="1284"/>
      <c r="B618" s="1284" t="s">
        <v>507</v>
      </c>
      <c r="C618" s="1284"/>
      <c r="D618" s="1284"/>
      <c r="E618" s="8884" t="s">
        <v>499</v>
      </c>
      <c r="F618" s="8883">
        <v>1</v>
      </c>
      <c r="G618" s="1284"/>
      <c r="H618" s="1284"/>
      <c r="I618" s="1284"/>
      <c r="J618" s="1284"/>
      <c r="K618" s="1284"/>
      <c r="L618" s="1290"/>
      <c r="M618" s="1286"/>
      <c r="N618" s="1286"/>
      <c r="O618" s="1286"/>
      <c r="P618" s="1807"/>
      <c r="Q618" s="273"/>
      <c r="R618" s="274"/>
      <c r="S618" s="1810" t="str">
        <f>INDEX(PT_DIFFERENTIATION_NUM_TER,MATCH(B618,PT_DIFFERENTIATION_TER_ID,0))</f>
        <v>37.1</v>
      </c>
      <c r="T618" s="1437" t="s">
        <v>862</v>
      </c>
      <c r="U618" s="214"/>
      <c r="V618" s="8869"/>
      <c r="W618" s="8870"/>
      <c r="X618" s="8870"/>
      <c r="Y618" s="8870"/>
      <c r="Z618" s="8870"/>
      <c r="AA618" s="8870"/>
      <c r="AB618" s="8871"/>
      <c r="AC618" s="8869" t="str">
        <f>INDEX(PT_DIFFERENTIATION_TER,MATCH(B618,PT_DIFFERENTIATION_TER_ID,0))</f>
        <v>Территория 12</v>
      </c>
      <c r="AD618" s="8870"/>
      <c r="AE618" s="8870"/>
      <c r="AF618" s="8870"/>
      <c r="AG618" s="8870"/>
      <c r="AH618" s="8870"/>
      <c r="AI618" s="8870"/>
      <c r="AJ618" s="8871"/>
      <c r="AK618" s="1182" t="s">
        <v>863</v>
      </c>
      <c r="AL618" s="1562"/>
      <c r="AM618" s="1544"/>
      <c r="AN618" s="1544" t="str">
        <f t="shared" si="10"/>
        <v>Территория действия тарифа</v>
      </c>
      <c r="AO618" s="1544"/>
      <c r="AP618" s="1544"/>
    </row>
    <row r="619" spans="1:42" s="1818" customFormat="1" ht="23.25" customHeight="1">
      <c r="A619" s="1284"/>
      <c r="B619" s="1284"/>
      <c r="C619" s="1284" t="s">
        <v>508</v>
      </c>
      <c r="D619" s="1284"/>
      <c r="E619" s="8884" t="s">
        <v>499</v>
      </c>
      <c r="F619" s="8884"/>
      <c r="G619" s="8883">
        <v>1</v>
      </c>
      <c r="H619" s="1284"/>
      <c r="I619" s="1284"/>
      <c r="J619" s="1284"/>
      <c r="K619" s="1284"/>
      <c r="L619" s="1290"/>
      <c r="M619" s="1286"/>
      <c r="N619" s="1286"/>
      <c r="O619" s="1286"/>
      <c r="P619" s="275"/>
      <c r="Q619" s="273"/>
      <c r="R619" s="274"/>
      <c r="S619" s="1810" t="str">
        <f>INDEX(PT_DIFFERENTIATION_NUM_CS,MATCH(C619,PT_DIFFERENTIATION_CS_ID,0))</f>
        <v>37.1.1</v>
      </c>
      <c r="T619" s="225" t="s">
        <v>943</v>
      </c>
      <c r="U619" s="214"/>
      <c r="V619" s="8869"/>
      <c r="W619" s="8870"/>
      <c r="X619" s="8870"/>
      <c r="Y619" s="8870"/>
      <c r="Z619" s="8870"/>
      <c r="AA619" s="8870"/>
      <c r="AB619" s="8871"/>
      <c r="AC619" s="8869" t="str">
        <f>INDEX(PT_DIFFERENTIATION_CS,MATCH(C619,PT_DIFFERENTIATION_CS_ID,0))</f>
        <v>без дифференциации</v>
      </c>
      <c r="AD619" s="8870"/>
      <c r="AE619" s="8870"/>
      <c r="AF619" s="8870"/>
      <c r="AG619" s="8870"/>
      <c r="AH619" s="8870"/>
      <c r="AI619" s="8870"/>
      <c r="AJ619" s="8871"/>
      <c r="AK619" s="1182" t="s">
        <v>944</v>
      </c>
      <c r="AL619" s="1562"/>
      <c r="AM619" s="1544"/>
      <c r="AN619" s="1544" t="str">
        <f t="shared" si="10"/>
        <v>Наименование централизованной системы холодного водоснабжения</v>
      </c>
      <c r="AO619" s="1544"/>
      <c r="AP619" s="1544"/>
    </row>
    <row r="620" spans="1:42" s="1818" customFormat="1" ht="23.25" customHeight="1">
      <c r="A620" s="1284"/>
      <c r="B620" s="1284"/>
      <c r="C620" s="1284"/>
      <c r="D620" s="1284"/>
      <c r="E620" s="8884" t="s">
        <v>499</v>
      </c>
      <c r="F620" s="8884"/>
      <c r="G620" s="8884"/>
      <c r="H620" s="8884"/>
      <c r="I620" s="8881" t="str">
        <f>S619&amp;".1"</f>
        <v>37.1.1.1</v>
      </c>
      <c r="J620" s="1284"/>
      <c r="K620" s="1284"/>
      <c r="L620" s="1290"/>
      <c r="M620" s="1696"/>
      <c r="N620" s="1696"/>
      <c r="O620" s="1696"/>
      <c r="P620" s="8882">
        <v>1</v>
      </c>
      <c r="Q620" s="1811"/>
      <c r="R620" s="277"/>
      <c r="S620" s="1810" t="str">
        <f>$I620</f>
        <v>37.1.1.1</v>
      </c>
      <c r="T620" s="200" t="s">
        <v>945</v>
      </c>
      <c r="U620" s="214"/>
      <c r="V620" s="8942"/>
      <c r="W620" s="8943"/>
      <c r="X620" s="8943"/>
      <c r="Y620" s="8943"/>
      <c r="Z620" s="8943"/>
      <c r="AA620" s="8943"/>
      <c r="AB620" s="8944"/>
      <c r="AC620" s="8945"/>
      <c r="AD620" s="8946"/>
      <c r="AE620" s="8946"/>
      <c r="AF620" s="8946"/>
      <c r="AG620" s="8946"/>
      <c r="AH620" s="8946"/>
      <c r="AI620" s="8946"/>
      <c r="AJ620" s="8947"/>
      <c r="AK620" s="1182" t="s">
        <v>946</v>
      </c>
      <c r="AL620" s="1562"/>
      <c r="AM620" s="1544"/>
      <c r="AN620" s="1544" t="str">
        <f t="shared" si="10"/>
        <v>Наименование признака дифференциации</v>
      </c>
      <c r="AO620" s="1544"/>
      <c r="AP620" s="1544"/>
    </row>
    <row r="621" spans="1:42" s="1818" customFormat="1" ht="23.25" customHeight="1">
      <c r="A621" s="1284"/>
      <c r="B621" s="1284"/>
      <c r="C621" s="1284"/>
      <c r="D621" s="1284"/>
      <c r="E621" s="8884" t="s">
        <v>499</v>
      </c>
      <c r="F621" s="8884"/>
      <c r="G621" s="8884"/>
      <c r="H621" s="8884"/>
      <c r="I621" s="8904"/>
      <c r="J621" s="8881" t="str">
        <f>I620&amp;".1"</f>
        <v>37.1.1.1.1</v>
      </c>
      <c r="K621" s="1284"/>
      <c r="L621" s="1290" t="s">
        <v>871</v>
      </c>
      <c r="M621" s="1696"/>
      <c r="N621" s="1696"/>
      <c r="O621" s="1696"/>
      <c r="P621" s="8882"/>
      <c r="Q621" s="8882">
        <v>1</v>
      </c>
      <c r="R621" s="278"/>
      <c r="S621" s="1810" t="str">
        <f>$J621</f>
        <v>37.1.1.1.1</v>
      </c>
      <c r="T621" s="201" t="s">
        <v>872</v>
      </c>
      <c r="U621" s="214"/>
      <c r="V621" s="8872"/>
      <c r="W621" s="8873"/>
      <c r="X621" s="8873"/>
      <c r="Y621" s="8873"/>
      <c r="Z621" s="8873"/>
      <c r="AA621" s="8873"/>
      <c r="AB621" s="8874"/>
      <c r="AC621" s="8872" t="s">
        <v>961</v>
      </c>
      <c r="AD621" s="8873"/>
      <c r="AE621" s="8873"/>
      <c r="AF621" s="8873"/>
      <c r="AG621" s="8873"/>
      <c r="AH621" s="8873"/>
      <c r="AI621" s="8873"/>
      <c r="AJ621" s="8874"/>
      <c r="AK621" s="1231" t="s">
        <v>947</v>
      </c>
      <c r="AL621" s="1562"/>
      <c r="AM621" s="1544"/>
      <c r="AN621" s="1544" t="str">
        <f t="shared" si="10"/>
        <v>Группа потребителей</v>
      </c>
      <c r="AO621" s="1544"/>
      <c r="AP621" s="1544"/>
    </row>
    <row r="622" spans="1:42" s="1818" customFormat="1" ht="23.25" customHeight="1">
      <c r="A622" s="1284"/>
      <c r="B622" s="1284"/>
      <c r="C622" s="1284"/>
      <c r="D622" s="1284"/>
      <c r="E622" s="8884" t="s">
        <v>499</v>
      </c>
      <c r="F622" s="8884"/>
      <c r="G622" s="8884"/>
      <c r="H622" s="8884"/>
      <c r="I622" s="8904"/>
      <c r="J622" s="8904"/>
      <c r="K622" s="8881" t="str">
        <f>J621&amp;".1"</f>
        <v>37.1.1.1.1.1</v>
      </c>
      <c r="L622" s="1290"/>
      <c r="M622" s="1696"/>
      <c r="N622" s="1696"/>
      <c r="O622" s="1696"/>
      <c r="P622" s="8882"/>
      <c r="Q622" s="8882"/>
      <c r="R622" s="278">
        <v>1</v>
      </c>
      <c r="S622" s="1810" t="str">
        <f>$K622</f>
        <v>37.1.1.1.1.1</v>
      </c>
      <c r="T622" s="1357" t="s">
        <v>962</v>
      </c>
      <c r="U622" s="214"/>
      <c r="V622" s="666"/>
      <c r="W622" s="666"/>
      <c r="X622" s="1181"/>
      <c r="Y622" s="8886"/>
      <c r="Z622" s="8734" t="s">
        <v>63</v>
      </c>
      <c r="AA622" s="8886"/>
      <c r="AB622" s="8734" t="s">
        <v>63</v>
      </c>
      <c r="AC622" s="666">
        <v>549.84</v>
      </c>
      <c r="AD622" s="666"/>
      <c r="AE622" s="1181"/>
      <c r="AF622" s="8886">
        <v>45292</v>
      </c>
      <c r="AG622" s="8734" t="s">
        <v>63</v>
      </c>
      <c r="AH622" s="8905">
        <v>45657</v>
      </c>
      <c r="AI622" s="8734" t="s">
        <v>63</v>
      </c>
      <c r="AJ622" s="1358"/>
      <c r="AK62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22" s="1562" t="e">
        <f ca="1">STRCHECKDATE(V623:AJ623)</f>
        <v>#NAME?</v>
      </c>
      <c r="AM622" s="1544"/>
      <c r="AN622" s="1544" t="str">
        <f t="shared" si="10"/>
        <v>Тариф для населения, руб. за 1 куб. метр с НДС</v>
      </c>
      <c r="AO622" s="1544"/>
      <c r="AP622" s="1544"/>
    </row>
    <row r="623" spans="1:42" s="1818" customFormat="1" ht="14.25" customHeight="1">
      <c r="A623" s="1284"/>
      <c r="B623" s="1284"/>
      <c r="C623" s="1284"/>
      <c r="D623" s="1284"/>
      <c r="E623" s="8884" t="s">
        <v>499</v>
      </c>
      <c r="F623" s="8884"/>
      <c r="G623" s="8884"/>
      <c r="H623" s="8884"/>
      <c r="I623" s="8904"/>
      <c r="J623" s="8904"/>
      <c r="K623" s="8881"/>
      <c r="L623" s="1290"/>
      <c r="M623" s="1696"/>
      <c r="N623" s="1696"/>
      <c r="O623" s="1696"/>
      <c r="P623" s="8882"/>
      <c r="Q623" s="8882"/>
      <c r="R623" s="278"/>
      <c r="S623" s="1815"/>
      <c r="T623" s="214"/>
      <c r="U623" s="214"/>
      <c r="V623" s="246"/>
      <c r="W623" s="246"/>
      <c r="X623" s="250" t="str">
        <f>Y622&amp;"-"&amp;AA622</f>
        <v>-</v>
      </c>
      <c r="Y623" s="8887"/>
      <c r="Z623" s="8734"/>
      <c r="AA623" s="8887"/>
      <c r="AB623" s="8734"/>
      <c r="AC623" s="246"/>
      <c r="AD623" s="246"/>
      <c r="AE623" s="250" t="str">
        <f>AF622&amp;"-"&amp;AH622</f>
        <v>45292-45657</v>
      </c>
      <c r="AF623" s="8887"/>
      <c r="AG623" s="8734"/>
      <c r="AH623" s="8906"/>
      <c r="AI623" s="8734"/>
      <c r="AJ623" s="1359"/>
      <c r="AK623" s="8941"/>
      <c r="AL623" s="1562"/>
      <c r="AM623" s="1544"/>
      <c r="AN623" s="1544" t="str">
        <f t="shared" si="10"/>
        <v/>
      </c>
      <c r="AO623" s="1544"/>
      <c r="AP623" s="1544"/>
    </row>
    <row r="624" spans="1:42" s="1818" customFormat="1" ht="21" customHeight="1">
      <c r="A624" s="1284"/>
      <c r="B624" s="1284"/>
      <c r="C624" s="1284"/>
      <c r="D624" s="1284"/>
      <c r="E624" s="8884" t="s">
        <v>499</v>
      </c>
      <c r="F624" s="8884"/>
      <c r="G624" s="8884"/>
      <c r="H624" s="8884"/>
      <c r="I624" s="8904"/>
      <c r="J624" s="8881"/>
      <c r="K624" s="1284"/>
      <c r="L624" s="1290"/>
      <c r="M624" s="1696"/>
      <c r="N624" s="1696"/>
      <c r="O624" s="1696"/>
      <c r="P624" s="8882"/>
      <c r="Q624" s="8882"/>
      <c r="R624" s="277"/>
      <c r="S624" s="4463"/>
      <c r="T624" s="4464" t="s">
        <v>948</v>
      </c>
      <c r="U624" s="4465"/>
      <c r="V624" s="4466"/>
      <c r="W624" s="4467"/>
      <c r="X624" s="4468"/>
      <c r="Y624" s="4469"/>
      <c r="Z624" s="4470"/>
      <c r="AA624" s="4471"/>
      <c r="AB624" s="4472"/>
      <c r="AC624" s="4473"/>
      <c r="AD624" s="4474"/>
      <c r="AE624" s="4475"/>
      <c r="AF624" s="4476"/>
      <c r="AG624" s="4477"/>
      <c r="AH624" s="4478"/>
      <c r="AI624" s="4479"/>
      <c r="AJ624" s="4480"/>
      <c r="AK624" s="1182" t="s">
        <v>949</v>
      </c>
      <c r="AL624" s="1562"/>
      <c r="AM624" s="1544"/>
      <c r="AN624" s="1544" t="str">
        <f t="shared" si="10"/>
        <v>Добавить значение признака дифференциации</v>
      </c>
      <c r="AO624" s="1544"/>
      <c r="AP624" s="1544"/>
    </row>
    <row r="625" spans="1:42" s="1818" customFormat="1" ht="23.25" customHeight="1">
      <c r="A625" s="1284"/>
      <c r="B625" s="1284"/>
      <c r="C625" s="1284"/>
      <c r="D625" s="1284"/>
      <c r="E625" s="8884"/>
      <c r="F625" s="8884"/>
      <c r="G625" s="8884"/>
      <c r="H625" s="8884"/>
      <c r="I625" s="8904"/>
      <c r="J625" s="8881" t="str">
        <f>I620&amp;".2"</f>
        <v>37.1.1.1.2</v>
      </c>
      <c r="K625" s="1284"/>
      <c r="L625" s="1290" t="s">
        <v>871</v>
      </c>
      <c r="M625" s="1696"/>
      <c r="N625" s="1696"/>
      <c r="O625" s="1696"/>
      <c r="P625" s="8882"/>
      <c r="Q625" s="8948" t="s">
        <v>100</v>
      </c>
      <c r="R625" s="278"/>
      <c r="S625" s="1810" t="str">
        <f>$J625</f>
        <v>37.1.1.1.2</v>
      </c>
      <c r="T625" s="201" t="s">
        <v>872</v>
      </c>
      <c r="U625" s="214"/>
      <c r="V625" s="8872"/>
      <c r="W625" s="8873"/>
      <c r="X625" s="8873"/>
      <c r="Y625" s="8873"/>
      <c r="Z625" s="8873"/>
      <c r="AA625" s="8873"/>
      <c r="AB625" s="8874"/>
      <c r="AC625" s="8872" t="s">
        <v>963</v>
      </c>
      <c r="AD625" s="8873"/>
      <c r="AE625" s="8873"/>
      <c r="AF625" s="8873"/>
      <c r="AG625" s="8873"/>
      <c r="AH625" s="8873"/>
      <c r="AI625" s="8873"/>
      <c r="AJ625" s="8874"/>
      <c r="AK625" s="1231" t="s">
        <v>947</v>
      </c>
      <c r="AL625" s="1562"/>
      <c r="AM625" s="1544"/>
      <c r="AN625" s="1544" t="str">
        <f t="shared" si="10"/>
        <v>Группа потребителей</v>
      </c>
      <c r="AO625" s="1544"/>
      <c r="AP625" s="1544"/>
    </row>
    <row r="626" spans="1:42" s="1818" customFormat="1" ht="23.25" customHeight="1">
      <c r="A626" s="1284"/>
      <c r="B626" s="1284"/>
      <c r="C626" s="1284"/>
      <c r="D626" s="1284"/>
      <c r="E626" s="8884"/>
      <c r="F626" s="8884"/>
      <c r="G626" s="8884"/>
      <c r="H626" s="8884"/>
      <c r="I626" s="8904"/>
      <c r="J626" s="8904" t="str">
        <f>I620&amp;".1"</f>
        <v>37.1.1.1.1</v>
      </c>
      <c r="K626" s="8881" t="str">
        <f>J625&amp;".1"</f>
        <v>37.1.1.1.2.1</v>
      </c>
      <c r="L626" s="1290"/>
      <c r="M626" s="1696"/>
      <c r="N626" s="1696"/>
      <c r="O626" s="1696"/>
      <c r="P626" s="8882"/>
      <c r="Q626" s="8882"/>
      <c r="R626" s="278">
        <v>1</v>
      </c>
      <c r="S626" s="1810" t="str">
        <f>$K626</f>
        <v>37.1.1.1.2.1</v>
      </c>
      <c r="T626" s="1357" t="s">
        <v>964</v>
      </c>
      <c r="U626" s="214"/>
      <c r="V626" s="666"/>
      <c r="W626" s="666"/>
      <c r="X626" s="1181"/>
      <c r="Y626" s="8886"/>
      <c r="Z626" s="8734" t="s">
        <v>63</v>
      </c>
      <c r="AA626" s="8886"/>
      <c r="AB626" s="8734" t="s">
        <v>63</v>
      </c>
      <c r="AC626" s="666">
        <v>458.2</v>
      </c>
      <c r="AD626" s="666"/>
      <c r="AE626" s="1181"/>
      <c r="AF626" s="8886">
        <v>45292</v>
      </c>
      <c r="AG626" s="8734" t="s">
        <v>63</v>
      </c>
      <c r="AH626" s="8905">
        <v>45657</v>
      </c>
      <c r="AI626" s="8734" t="s">
        <v>63</v>
      </c>
      <c r="AJ626" s="1358"/>
      <c r="AK62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26" s="1562" t="e">
        <f ca="1">STRCHECKDATE(V627:AJ627)</f>
        <v>#NAME?</v>
      </c>
      <c r="AM626" s="1544"/>
      <c r="AN626" s="1544" t="str">
        <f t="shared" si="10"/>
        <v>Тариф, руб. за 1 куб. метр без НДС</v>
      </c>
      <c r="AO626" s="1544"/>
      <c r="AP626" s="1544"/>
    </row>
    <row r="627" spans="1:42" s="1818" customFormat="1" ht="14.25" customHeight="1">
      <c r="A627" s="1284"/>
      <c r="B627" s="1284"/>
      <c r="C627" s="1284"/>
      <c r="D627" s="1284"/>
      <c r="E627" s="8884"/>
      <c r="F627" s="8884"/>
      <c r="G627" s="8884"/>
      <c r="H627" s="8884"/>
      <c r="I627" s="8904"/>
      <c r="J627" s="8904" t="str">
        <f>I620&amp;".1"</f>
        <v>37.1.1.1.1</v>
      </c>
      <c r="K627" s="8881"/>
      <c r="L627" s="1290"/>
      <c r="M627" s="1696"/>
      <c r="N627" s="1696"/>
      <c r="O627" s="1696"/>
      <c r="P627" s="8882"/>
      <c r="Q627" s="8882"/>
      <c r="R627" s="278"/>
      <c r="S627" s="1815"/>
      <c r="T627" s="214"/>
      <c r="U627" s="214"/>
      <c r="V627" s="246"/>
      <c r="W627" s="246"/>
      <c r="X627" s="250" t="str">
        <f>Y626&amp;"-"&amp;AA626</f>
        <v>-</v>
      </c>
      <c r="Y627" s="8887"/>
      <c r="Z627" s="8734"/>
      <c r="AA627" s="8887"/>
      <c r="AB627" s="8734"/>
      <c r="AC627" s="246"/>
      <c r="AD627" s="246"/>
      <c r="AE627" s="250" t="str">
        <f>AF626&amp;"-"&amp;AH626</f>
        <v>45292-45657</v>
      </c>
      <c r="AF627" s="8887"/>
      <c r="AG627" s="8734"/>
      <c r="AH627" s="8906"/>
      <c r="AI627" s="8734"/>
      <c r="AJ627" s="1359"/>
      <c r="AK627" s="8941"/>
      <c r="AL627" s="1562"/>
      <c r="AM627" s="1544"/>
      <c r="AN627" s="1544" t="str">
        <f t="shared" si="10"/>
        <v/>
      </c>
      <c r="AO627" s="1544"/>
      <c r="AP627" s="1544"/>
    </row>
    <row r="628" spans="1:42" s="1818" customFormat="1" ht="21" customHeight="1">
      <c r="A628" s="1284"/>
      <c r="B628" s="1284"/>
      <c r="C628" s="1284"/>
      <c r="D628" s="1284"/>
      <c r="E628" s="8884"/>
      <c r="F628" s="8884"/>
      <c r="G628" s="8884"/>
      <c r="H628" s="8884"/>
      <c r="I628" s="8904"/>
      <c r="J628" s="8881" t="str">
        <f>I620&amp;".1"</f>
        <v>37.1.1.1.1</v>
      </c>
      <c r="K628" s="1284"/>
      <c r="L628" s="1290"/>
      <c r="M628" s="1696"/>
      <c r="N628" s="1696"/>
      <c r="O628" s="1696"/>
      <c r="P628" s="8882"/>
      <c r="Q628" s="8882"/>
      <c r="R628" s="277"/>
      <c r="S628" s="4481"/>
      <c r="T628" s="4482" t="s">
        <v>948</v>
      </c>
      <c r="U628" s="4483"/>
      <c r="V628" s="4484"/>
      <c r="W628" s="4485"/>
      <c r="X628" s="4486"/>
      <c r="Y628" s="4487"/>
      <c r="Z628" s="4488"/>
      <c r="AA628" s="4489"/>
      <c r="AB628" s="4490"/>
      <c r="AC628" s="4491"/>
      <c r="AD628" s="4492"/>
      <c r="AE628" s="4493"/>
      <c r="AF628" s="4494"/>
      <c r="AG628" s="4495"/>
      <c r="AH628" s="4496"/>
      <c r="AI628" s="4497"/>
      <c r="AJ628" s="4498"/>
      <c r="AK628" s="1182" t="s">
        <v>949</v>
      </c>
      <c r="AL628" s="1562"/>
      <c r="AM628" s="1544"/>
      <c r="AN628" s="1544" t="str">
        <f t="shared" si="10"/>
        <v>Добавить значение признака дифференциации</v>
      </c>
      <c r="AO628" s="1544"/>
      <c r="AP628" s="1544"/>
    </row>
    <row r="629" spans="1:42" s="1818" customFormat="1" ht="21" customHeight="1">
      <c r="A629" s="1284"/>
      <c r="B629" s="1284"/>
      <c r="C629" s="1284"/>
      <c r="D629" s="1284"/>
      <c r="E629" s="8884" t="s">
        <v>499</v>
      </c>
      <c r="F629" s="8884"/>
      <c r="G629" s="8884"/>
      <c r="H629" s="8884"/>
      <c r="I629" s="8881"/>
      <c r="J629" s="1284"/>
      <c r="K629" s="1284"/>
      <c r="L629" s="1290"/>
      <c r="M629" s="1696"/>
      <c r="N629" s="1696"/>
      <c r="O629" s="1696"/>
      <c r="P629" s="8882"/>
      <c r="Q629" s="1811"/>
      <c r="R629" s="277"/>
      <c r="S629" s="4499"/>
      <c r="T629" s="4500" t="s">
        <v>877</v>
      </c>
      <c r="U629" s="4501"/>
      <c r="V629" s="4502"/>
      <c r="W629" s="4503"/>
      <c r="X629" s="4504"/>
      <c r="Y629" s="4505"/>
      <c r="Z629" s="4506"/>
      <c r="AA629" s="4507"/>
      <c r="AB629" s="4508"/>
      <c r="AC629" s="4509"/>
      <c r="AD629" s="4510"/>
      <c r="AE629" s="4511"/>
      <c r="AF629" s="4512"/>
      <c r="AG629" s="4513"/>
      <c r="AH629" s="4514"/>
      <c r="AI629" s="4515"/>
      <c r="AJ629" s="4516"/>
      <c r="AK629" s="4517"/>
      <c r="AL629" s="1562"/>
      <c r="AM629" s="1544"/>
      <c r="AN629" s="1544" t="str">
        <f t="shared" si="10"/>
        <v>Добавить группу потребителей</v>
      </c>
      <c r="AO629" s="1544"/>
      <c r="AP629" s="1544"/>
    </row>
    <row r="630" spans="1:42" s="1818" customFormat="1" ht="21" customHeight="1">
      <c r="A630" s="1284"/>
      <c r="B630" s="1284"/>
      <c r="C630" s="1284"/>
      <c r="D630" s="1284"/>
      <c r="E630" s="8884" t="s">
        <v>499</v>
      </c>
      <c r="F630" s="8884"/>
      <c r="G630" s="8884"/>
      <c r="H630" s="8883"/>
      <c r="I630" s="1284"/>
      <c r="J630" s="1284"/>
      <c r="K630" s="1284"/>
      <c r="L630" s="1290"/>
      <c r="M630" s="1286"/>
      <c r="N630" s="1286"/>
      <c r="O630" s="1287"/>
      <c r="P630" s="1742"/>
      <c r="Q630" s="299"/>
      <c r="R630" s="276"/>
      <c r="S630" s="4518"/>
      <c r="T630" s="4519" t="s">
        <v>950</v>
      </c>
      <c r="U630" s="4520"/>
      <c r="V630" s="4521"/>
      <c r="W630" s="4522"/>
      <c r="X630" s="4523"/>
      <c r="Y630" s="4524"/>
      <c r="Z630" s="4525"/>
      <c r="AA630" s="4526"/>
      <c r="AB630" s="4527"/>
      <c r="AC630" s="4528"/>
      <c r="AD630" s="4529"/>
      <c r="AE630" s="4530"/>
      <c r="AF630" s="4531"/>
      <c r="AG630" s="4532"/>
      <c r="AH630" s="4533"/>
      <c r="AI630" s="4534"/>
      <c r="AJ630" s="4535"/>
      <c r="AK630" s="4536"/>
      <c r="AL630" s="1562"/>
      <c r="AM630" s="1544"/>
      <c r="AN630" s="1544" t="str">
        <f t="shared" si="10"/>
        <v>Добавить наименование признака дифференциации</v>
      </c>
      <c r="AO630" s="1544"/>
      <c r="AP630" s="1544"/>
    </row>
    <row r="631" spans="1:42" s="541" customFormat="1" ht="14.25" customHeight="1">
      <c r="A631" s="1265"/>
      <c r="B631" s="1265"/>
      <c r="C631" s="1265"/>
      <c r="D631" s="1265"/>
      <c r="E631" s="8884" t="s">
        <v>499</v>
      </c>
      <c r="F631" s="8883"/>
      <c r="G631" s="1265"/>
      <c r="H631" s="1265"/>
      <c r="I631" s="1265"/>
      <c r="J631" s="1265"/>
      <c r="K631" s="1265"/>
      <c r="L631" s="1466"/>
      <c r="M631" s="1244"/>
      <c r="N631" s="1244"/>
      <c r="O631" s="1562"/>
      <c r="P631" s="1239"/>
      <c r="Q631" s="1266"/>
      <c r="R631" s="1239"/>
      <c r="S631" s="1245"/>
      <c r="T631" s="1248" t="s">
        <v>314</v>
      </c>
      <c r="U631" s="1247"/>
      <c r="V631" s="1247"/>
      <c r="W631" s="1247"/>
      <c r="X631" s="1247"/>
      <c r="Y631" s="1247"/>
      <c r="Z631" s="1247"/>
      <c r="AA631" s="1247"/>
      <c r="AB631" s="1247"/>
      <c r="AC631" s="1247"/>
      <c r="AD631" s="1247"/>
      <c r="AE631" s="1247"/>
      <c r="AF631" s="1247"/>
      <c r="AG631" s="1247"/>
      <c r="AH631" s="1247"/>
      <c r="AI631" s="1247"/>
      <c r="AJ631" s="1247"/>
      <c r="AK631" s="1247"/>
      <c r="AL631" s="1562"/>
      <c r="AM631" s="1544"/>
      <c r="AN631" s="1544" t="str">
        <f t="shared" si="10"/>
        <v>Добавить централизованную систему для дифференциации</v>
      </c>
      <c r="AO631" s="1544"/>
      <c r="AP631" s="1544"/>
    </row>
    <row r="632" spans="1:42" s="541" customFormat="1" ht="14.25" customHeight="1">
      <c r="A632" s="1265"/>
      <c r="B632" s="1265"/>
      <c r="C632" s="1265"/>
      <c r="D632" s="1265"/>
      <c r="E632" s="8883" t="s">
        <v>499</v>
      </c>
      <c r="F632" s="1265"/>
      <c r="G632" s="1265"/>
      <c r="H632" s="1265"/>
      <c r="I632" s="1265"/>
      <c r="J632" s="1265"/>
      <c r="K632" s="1265"/>
      <c r="L632" s="1466"/>
      <c r="M632" s="1244"/>
      <c r="N632" s="1244"/>
      <c r="O632" s="1562"/>
      <c r="P632" s="1239"/>
      <c r="Q632" s="1266"/>
      <c r="R632" s="1239"/>
      <c r="S632" s="1245"/>
      <c r="T632" s="1248" t="s">
        <v>315</v>
      </c>
      <c r="U632" s="1247"/>
      <c r="V632" s="1247"/>
      <c r="W632" s="1247"/>
      <c r="X632" s="1247"/>
      <c r="Y632" s="1247"/>
      <c r="Z632" s="1247"/>
      <c r="AA632" s="1247"/>
      <c r="AB632" s="1247"/>
      <c r="AC632" s="1247"/>
      <c r="AD632" s="1247"/>
      <c r="AE632" s="1247"/>
      <c r="AF632" s="1247"/>
      <c r="AG632" s="1247"/>
      <c r="AH632" s="1247"/>
      <c r="AI632" s="1247"/>
      <c r="AJ632" s="1247"/>
      <c r="AK632" s="1247"/>
      <c r="AL632" s="1562"/>
      <c r="AM632" s="1544"/>
      <c r="AN632" s="1544" t="str">
        <f t="shared" si="10"/>
        <v>Добавить территорию для дифференциации</v>
      </c>
      <c r="AO632" s="1544"/>
      <c r="AP632" s="1544"/>
    </row>
    <row r="633" spans="1:42" s="1818" customFormat="1" ht="23.25" customHeight="1">
      <c r="A633" s="1284" t="s">
        <v>512</v>
      </c>
      <c r="B633" s="1284"/>
      <c r="C633" s="1284"/>
      <c r="D633" s="1284"/>
      <c r="E633" s="8883" t="s">
        <v>510</v>
      </c>
      <c r="F633" s="1284"/>
      <c r="G633" s="1284"/>
      <c r="H633" s="1284"/>
      <c r="I633" s="1284"/>
      <c r="J633" s="1284"/>
      <c r="K633" s="1284"/>
      <c r="L633" s="1290"/>
      <c r="M633" s="1286"/>
      <c r="N633" s="1286"/>
      <c r="O633" s="1286"/>
      <c r="P633" s="1812"/>
      <c r="Q633" s="1742"/>
      <c r="R633" s="276"/>
      <c r="S633" s="1810" t="str">
        <f>INDEX(PT_DIFFERENTIATION_NUM_NTAR,MATCH(A633,PT_DIFFERENTIATION_NTAR_ID,0))</f>
        <v>38</v>
      </c>
      <c r="T633" s="1440" t="s">
        <v>211</v>
      </c>
      <c r="U633" s="214"/>
      <c r="V633" s="8869"/>
      <c r="W633" s="8870"/>
      <c r="X633" s="8870"/>
      <c r="Y633" s="8870"/>
      <c r="Z633" s="8870"/>
      <c r="AA633" s="8870"/>
      <c r="AB633" s="8871"/>
      <c r="AC633" s="8869" t="str">
        <f>INDEX(PT_DIFFERENTIATION_NTAR,MATCH(A633,PT_DIFFERENTIATION_NTAR_ID,0))</f>
        <v>Подвоз воды потребителям хутора Гремучего</v>
      </c>
      <c r="AD633" s="8870"/>
      <c r="AE633" s="8870"/>
      <c r="AF633" s="8870"/>
      <c r="AG633" s="8870"/>
      <c r="AH633" s="8870"/>
      <c r="AI633" s="8870"/>
      <c r="AJ633" s="8871"/>
      <c r="AK63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633" s="1562"/>
      <c r="AM633" s="1544"/>
      <c r="AN633" s="1544" t="str">
        <f t="shared" si="10"/>
        <v>Наименование тарифа</v>
      </c>
      <c r="AO633" s="1544"/>
      <c r="AP633" s="1544"/>
    </row>
    <row r="634" spans="1:42" s="1818" customFormat="1" ht="23.25" customHeight="1">
      <c r="A634" s="1284"/>
      <c r="B634" s="1284" t="s">
        <v>513</v>
      </c>
      <c r="C634" s="1284"/>
      <c r="D634" s="1284"/>
      <c r="E634" s="8884" t="s">
        <v>110</v>
      </c>
      <c r="F634" s="8883">
        <v>1</v>
      </c>
      <c r="G634" s="1284"/>
      <c r="H634" s="1284"/>
      <c r="I634" s="1284"/>
      <c r="J634" s="1284"/>
      <c r="K634" s="1284"/>
      <c r="L634" s="1290"/>
      <c r="M634" s="1286"/>
      <c r="N634" s="1286"/>
      <c r="O634" s="1286"/>
      <c r="P634" s="1807"/>
      <c r="Q634" s="273"/>
      <c r="R634" s="274"/>
      <c r="S634" s="1810" t="str">
        <f>INDEX(PT_DIFFERENTIATION_NUM_TER,MATCH(B634,PT_DIFFERENTIATION_TER_ID,0))</f>
        <v>38.1</v>
      </c>
      <c r="T634" s="1437" t="s">
        <v>862</v>
      </c>
      <c r="U634" s="214"/>
      <c r="V634" s="8869"/>
      <c r="W634" s="8870"/>
      <c r="X634" s="8870"/>
      <c r="Y634" s="8870"/>
      <c r="Z634" s="8870"/>
      <c r="AA634" s="8870"/>
      <c r="AB634" s="8871"/>
      <c r="AC634" s="8869" t="str">
        <f>INDEX(PT_DIFFERENTIATION_TER,MATCH(B634,PT_DIFFERENTIATION_TER_ID,0))</f>
        <v>Территория 12</v>
      </c>
      <c r="AD634" s="8870"/>
      <c r="AE634" s="8870"/>
      <c r="AF634" s="8870"/>
      <c r="AG634" s="8870"/>
      <c r="AH634" s="8870"/>
      <c r="AI634" s="8870"/>
      <c r="AJ634" s="8871"/>
      <c r="AK634" s="1182" t="s">
        <v>863</v>
      </c>
      <c r="AL634" s="1562"/>
      <c r="AM634" s="1544"/>
      <c r="AN634" s="1544" t="str">
        <f t="shared" si="10"/>
        <v>Территория действия тарифа</v>
      </c>
      <c r="AO634" s="1544"/>
      <c r="AP634" s="1544"/>
    </row>
    <row r="635" spans="1:42" s="1818" customFormat="1" ht="23.25" customHeight="1">
      <c r="A635" s="1284"/>
      <c r="B635" s="1284"/>
      <c r="C635" s="1284" t="s">
        <v>514</v>
      </c>
      <c r="D635" s="1284"/>
      <c r="E635" s="8884" t="s">
        <v>110</v>
      </c>
      <c r="F635" s="8884"/>
      <c r="G635" s="8883">
        <v>1</v>
      </c>
      <c r="H635" s="1284"/>
      <c r="I635" s="1284"/>
      <c r="J635" s="1284"/>
      <c r="K635" s="1284"/>
      <c r="L635" s="1290"/>
      <c r="M635" s="1286"/>
      <c r="N635" s="1286"/>
      <c r="O635" s="1286"/>
      <c r="P635" s="275"/>
      <c r="Q635" s="273"/>
      <c r="R635" s="274"/>
      <c r="S635" s="1810" t="str">
        <f>INDEX(PT_DIFFERENTIATION_NUM_CS,MATCH(C635,PT_DIFFERENTIATION_CS_ID,0))</f>
        <v>38.1.1</v>
      </c>
      <c r="T635" s="225" t="s">
        <v>943</v>
      </c>
      <c r="U635" s="214"/>
      <c r="V635" s="8869"/>
      <c r="W635" s="8870"/>
      <c r="X635" s="8870"/>
      <c r="Y635" s="8870"/>
      <c r="Z635" s="8870"/>
      <c r="AA635" s="8870"/>
      <c r="AB635" s="8871"/>
      <c r="AC635" s="8869" t="str">
        <f>INDEX(PT_DIFFERENTIATION_CS,MATCH(C635,PT_DIFFERENTIATION_CS_ID,0))</f>
        <v>без дифференциации</v>
      </c>
      <c r="AD635" s="8870"/>
      <c r="AE635" s="8870"/>
      <c r="AF635" s="8870"/>
      <c r="AG635" s="8870"/>
      <c r="AH635" s="8870"/>
      <c r="AI635" s="8870"/>
      <c r="AJ635" s="8871"/>
      <c r="AK635" s="1182" t="s">
        <v>944</v>
      </c>
      <c r="AL635" s="1562"/>
      <c r="AM635" s="1544"/>
      <c r="AN635" s="1544" t="str">
        <f t="shared" si="10"/>
        <v>Наименование централизованной системы холодного водоснабжения</v>
      </c>
      <c r="AO635" s="1544"/>
      <c r="AP635" s="1544"/>
    </row>
    <row r="636" spans="1:42" s="1818" customFormat="1" ht="23.25" customHeight="1">
      <c r="A636" s="1284"/>
      <c r="B636" s="1284"/>
      <c r="C636" s="1284"/>
      <c r="D636" s="1284"/>
      <c r="E636" s="8884" t="s">
        <v>110</v>
      </c>
      <c r="F636" s="8884"/>
      <c r="G636" s="8884"/>
      <c r="H636" s="8884"/>
      <c r="I636" s="8881" t="str">
        <f>S635&amp;".1"</f>
        <v>38.1.1.1</v>
      </c>
      <c r="J636" s="1284"/>
      <c r="K636" s="1284"/>
      <c r="L636" s="1290"/>
      <c r="M636" s="1696"/>
      <c r="N636" s="1696"/>
      <c r="O636" s="1696"/>
      <c r="P636" s="8882">
        <v>1</v>
      </c>
      <c r="Q636" s="1811"/>
      <c r="R636" s="277"/>
      <c r="S636" s="1810" t="str">
        <f>$I636</f>
        <v>38.1.1.1</v>
      </c>
      <c r="T636" s="200" t="s">
        <v>945</v>
      </c>
      <c r="U636" s="214"/>
      <c r="V636" s="8942"/>
      <c r="W636" s="8943"/>
      <c r="X636" s="8943"/>
      <c r="Y636" s="8943"/>
      <c r="Z636" s="8943"/>
      <c r="AA636" s="8943"/>
      <c r="AB636" s="8944"/>
      <c r="AC636" s="8945"/>
      <c r="AD636" s="8946"/>
      <c r="AE636" s="8946"/>
      <c r="AF636" s="8946"/>
      <c r="AG636" s="8946"/>
      <c r="AH636" s="8946"/>
      <c r="AI636" s="8946"/>
      <c r="AJ636" s="8947"/>
      <c r="AK636" s="1182" t="s">
        <v>946</v>
      </c>
      <c r="AL636" s="1562"/>
      <c r="AM636" s="1544"/>
      <c r="AN636" s="1544" t="str">
        <f t="shared" si="10"/>
        <v>Наименование признака дифференциации</v>
      </c>
      <c r="AO636" s="1544"/>
      <c r="AP636" s="1544"/>
    </row>
    <row r="637" spans="1:42" s="1818" customFormat="1" ht="23.25" customHeight="1">
      <c r="A637" s="1284"/>
      <c r="B637" s="1284"/>
      <c r="C637" s="1284"/>
      <c r="D637" s="1284"/>
      <c r="E637" s="8884" t="s">
        <v>110</v>
      </c>
      <c r="F637" s="8884"/>
      <c r="G637" s="8884"/>
      <c r="H637" s="8884"/>
      <c r="I637" s="8904"/>
      <c r="J637" s="8881" t="str">
        <f>I636&amp;".1"</f>
        <v>38.1.1.1.1</v>
      </c>
      <c r="K637" s="1284"/>
      <c r="L637" s="1290" t="s">
        <v>871</v>
      </c>
      <c r="M637" s="1696"/>
      <c r="N637" s="1696"/>
      <c r="O637" s="1696"/>
      <c r="P637" s="8882"/>
      <c r="Q637" s="8882">
        <v>1</v>
      </c>
      <c r="R637" s="278"/>
      <c r="S637" s="1810" t="str">
        <f>$J637</f>
        <v>38.1.1.1.1</v>
      </c>
      <c r="T637" s="201" t="s">
        <v>872</v>
      </c>
      <c r="U637" s="214"/>
      <c r="V637" s="8872"/>
      <c r="W637" s="8873"/>
      <c r="X637" s="8873"/>
      <c r="Y637" s="8873"/>
      <c r="Z637" s="8873"/>
      <c r="AA637" s="8873"/>
      <c r="AB637" s="8874"/>
      <c r="AC637" s="8872" t="s">
        <v>961</v>
      </c>
      <c r="AD637" s="8873"/>
      <c r="AE637" s="8873"/>
      <c r="AF637" s="8873"/>
      <c r="AG637" s="8873"/>
      <c r="AH637" s="8873"/>
      <c r="AI637" s="8873"/>
      <c r="AJ637" s="8874"/>
      <c r="AK637" s="1231" t="s">
        <v>947</v>
      </c>
      <c r="AL637" s="1562"/>
      <c r="AM637" s="1544"/>
      <c r="AN637" s="1544" t="str">
        <f t="shared" si="10"/>
        <v>Группа потребителей</v>
      </c>
      <c r="AO637" s="1544"/>
      <c r="AP637" s="1544"/>
    </row>
    <row r="638" spans="1:42" s="1818" customFormat="1" ht="23.25" customHeight="1">
      <c r="A638" s="1284"/>
      <c r="B638" s="1284"/>
      <c r="C638" s="1284"/>
      <c r="D638" s="1284"/>
      <c r="E638" s="8884" t="s">
        <v>110</v>
      </c>
      <c r="F638" s="8884"/>
      <c r="G638" s="8884"/>
      <c r="H638" s="8884"/>
      <c r="I638" s="8904"/>
      <c r="J638" s="8904"/>
      <c r="K638" s="8881" t="str">
        <f>J637&amp;".1"</f>
        <v>38.1.1.1.1.1</v>
      </c>
      <c r="L638" s="1290"/>
      <c r="M638" s="1696"/>
      <c r="N638" s="1696"/>
      <c r="O638" s="1696"/>
      <c r="P638" s="8882"/>
      <c r="Q638" s="8882"/>
      <c r="R638" s="278">
        <v>1</v>
      </c>
      <c r="S638" s="1810" t="str">
        <f>$K638</f>
        <v>38.1.1.1.1.1</v>
      </c>
      <c r="T638" s="1357" t="s">
        <v>962</v>
      </c>
      <c r="U638" s="214"/>
      <c r="V638" s="666"/>
      <c r="W638" s="666"/>
      <c r="X638" s="1181"/>
      <c r="Y638" s="8886"/>
      <c r="Z638" s="8734" t="s">
        <v>63</v>
      </c>
      <c r="AA638" s="8886"/>
      <c r="AB638" s="8734" t="s">
        <v>63</v>
      </c>
      <c r="AC638" s="666">
        <v>539.76</v>
      </c>
      <c r="AD638" s="666"/>
      <c r="AE638" s="1181"/>
      <c r="AF638" s="8886">
        <v>45292</v>
      </c>
      <c r="AG638" s="8734" t="s">
        <v>63</v>
      </c>
      <c r="AH638" s="8905">
        <v>45657</v>
      </c>
      <c r="AI638" s="8734" t="s">
        <v>63</v>
      </c>
      <c r="AJ638" s="1358"/>
      <c r="AK63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38" s="1562" t="e">
        <f ca="1">STRCHECKDATE(V639:AJ639)</f>
        <v>#NAME?</v>
      </c>
      <c r="AM638" s="1544"/>
      <c r="AN638" s="1544" t="str">
        <f t="shared" si="10"/>
        <v>Тариф для населения, руб. за 1 куб. метр с НДС</v>
      </c>
      <c r="AO638" s="1544"/>
      <c r="AP638" s="1544"/>
    </row>
    <row r="639" spans="1:42" s="1818" customFormat="1" ht="14.25" customHeight="1">
      <c r="A639" s="1284"/>
      <c r="B639" s="1284"/>
      <c r="C639" s="1284"/>
      <c r="D639" s="1284"/>
      <c r="E639" s="8884" t="s">
        <v>110</v>
      </c>
      <c r="F639" s="8884"/>
      <c r="G639" s="8884"/>
      <c r="H639" s="8884"/>
      <c r="I639" s="8904"/>
      <c r="J639" s="8904"/>
      <c r="K639" s="8881"/>
      <c r="L639" s="1290"/>
      <c r="M639" s="1696"/>
      <c r="N639" s="1696"/>
      <c r="O639" s="1696"/>
      <c r="P639" s="8882"/>
      <c r="Q639" s="8882"/>
      <c r="R639" s="278"/>
      <c r="S639" s="1815"/>
      <c r="T639" s="214"/>
      <c r="U639" s="214"/>
      <c r="V639" s="246"/>
      <c r="W639" s="246"/>
      <c r="X639" s="250" t="str">
        <f>Y638&amp;"-"&amp;AA638</f>
        <v>-</v>
      </c>
      <c r="Y639" s="8887"/>
      <c r="Z639" s="8734"/>
      <c r="AA639" s="8887"/>
      <c r="AB639" s="8734"/>
      <c r="AC639" s="246"/>
      <c r="AD639" s="246"/>
      <c r="AE639" s="250" t="str">
        <f>AF638&amp;"-"&amp;AH638</f>
        <v>45292-45657</v>
      </c>
      <c r="AF639" s="8887"/>
      <c r="AG639" s="8734"/>
      <c r="AH639" s="8906"/>
      <c r="AI639" s="8734"/>
      <c r="AJ639" s="1359"/>
      <c r="AK639" s="8941"/>
      <c r="AL639" s="1562"/>
      <c r="AM639" s="1544"/>
      <c r="AN639" s="1544" t="str">
        <f t="shared" si="10"/>
        <v/>
      </c>
      <c r="AO639" s="1544"/>
      <c r="AP639" s="1544"/>
    </row>
    <row r="640" spans="1:42" s="1818" customFormat="1" ht="21" customHeight="1">
      <c r="A640" s="1284"/>
      <c r="B640" s="1284"/>
      <c r="C640" s="1284"/>
      <c r="D640" s="1284"/>
      <c r="E640" s="8884" t="s">
        <v>110</v>
      </c>
      <c r="F640" s="8884"/>
      <c r="G640" s="8884"/>
      <c r="H640" s="8884"/>
      <c r="I640" s="8904"/>
      <c r="J640" s="8881"/>
      <c r="K640" s="1284"/>
      <c r="L640" s="1290"/>
      <c r="M640" s="1696"/>
      <c r="N640" s="1696"/>
      <c r="O640" s="1696"/>
      <c r="P640" s="8882"/>
      <c r="Q640" s="8882"/>
      <c r="R640" s="277"/>
      <c r="S640" s="4537"/>
      <c r="T640" s="4538" t="s">
        <v>948</v>
      </c>
      <c r="U640" s="4539"/>
      <c r="V640" s="4540"/>
      <c r="W640" s="4541"/>
      <c r="X640" s="4542"/>
      <c r="Y640" s="4543"/>
      <c r="Z640" s="4544"/>
      <c r="AA640" s="4545"/>
      <c r="AB640" s="4546"/>
      <c r="AC640" s="4547"/>
      <c r="AD640" s="4548"/>
      <c r="AE640" s="4549"/>
      <c r="AF640" s="4550"/>
      <c r="AG640" s="4551"/>
      <c r="AH640" s="4552"/>
      <c r="AI640" s="4553"/>
      <c r="AJ640" s="4554"/>
      <c r="AK640" s="1182" t="s">
        <v>949</v>
      </c>
      <c r="AL640" s="1562"/>
      <c r="AM640" s="1544"/>
      <c r="AN640" s="1544" t="str">
        <f t="shared" si="10"/>
        <v>Добавить значение признака дифференциации</v>
      </c>
      <c r="AO640" s="1544"/>
      <c r="AP640" s="1544"/>
    </row>
    <row r="641" spans="1:42" s="1818" customFormat="1" ht="23.25" customHeight="1">
      <c r="A641" s="1284"/>
      <c r="B641" s="1284"/>
      <c r="C641" s="1284"/>
      <c r="D641" s="1284"/>
      <c r="E641" s="8884"/>
      <c r="F641" s="8884"/>
      <c r="G641" s="8884"/>
      <c r="H641" s="8884"/>
      <c r="I641" s="8904"/>
      <c r="J641" s="8881" t="str">
        <f>I636&amp;".2"</f>
        <v>38.1.1.1.2</v>
      </c>
      <c r="K641" s="1284"/>
      <c r="L641" s="1290" t="s">
        <v>871</v>
      </c>
      <c r="M641" s="1696"/>
      <c r="N641" s="1696"/>
      <c r="O641" s="1696"/>
      <c r="P641" s="8882"/>
      <c r="Q641" s="8948" t="s">
        <v>100</v>
      </c>
      <c r="R641" s="278"/>
      <c r="S641" s="1810" t="str">
        <f>$J641</f>
        <v>38.1.1.1.2</v>
      </c>
      <c r="T641" s="201" t="s">
        <v>872</v>
      </c>
      <c r="U641" s="214"/>
      <c r="V641" s="8872"/>
      <c r="W641" s="8873"/>
      <c r="X641" s="8873"/>
      <c r="Y641" s="8873"/>
      <c r="Z641" s="8873"/>
      <c r="AA641" s="8873"/>
      <c r="AB641" s="8874"/>
      <c r="AC641" s="8872" t="s">
        <v>963</v>
      </c>
      <c r="AD641" s="8873"/>
      <c r="AE641" s="8873"/>
      <c r="AF641" s="8873"/>
      <c r="AG641" s="8873"/>
      <c r="AH641" s="8873"/>
      <c r="AI641" s="8873"/>
      <c r="AJ641" s="8874"/>
      <c r="AK641" s="1231" t="s">
        <v>947</v>
      </c>
      <c r="AL641" s="1562"/>
      <c r="AM641" s="1544"/>
      <c r="AN641" s="1544" t="str">
        <f t="shared" si="10"/>
        <v>Группа потребителей</v>
      </c>
      <c r="AO641" s="1544"/>
      <c r="AP641" s="1544"/>
    </row>
    <row r="642" spans="1:42" s="1818" customFormat="1" ht="23.25" customHeight="1">
      <c r="A642" s="1284"/>
      <c r="B642" s="1284"/>
      <c r="C642" s="1284"/>
      <c r="D642" s="1284"/>
      <c r="E642" s="8884"/>
      <c r="F642" s="8884"/>
      <c r="G642" s="8884"/>
      <c r="H642" s="8884"/>
      <c r="I642" s="8904"/>
      <c r="J642" s="8904" t="str">
        <f>I636&amp;".1"</f>
        <v>38.1.1.1.1</v>
      </c>
      <c r="K642" s="8881" t="str">
        <f>J641&amp;".1"</f>
        <v>38.1.1.1.2.1</v>
      </c>
      <c r="L642" s="1290"/>
      <c r="M642" s="1696"/>
      <c r="N642" s="1696"/>
      <c r="O642" s="1696"/>
      <c r="P642" s="8882"/>
      <c r="Q642" s="8882"/>
      <c r="R642" s="278">
        <v>1</v>
      </c>
      <c r="S642" s="1810" t="str">
        <f>$K642</f>
        <v>38.1.1.1.2.1</v>
      </c>
      <c r="T642" s="1357" t="s">
        <v>964</v>
      </c>
      <c r="U642" s="214"/>
      <c r="V642" s="666"/>
      <c r="W642" s="666"/>
      <c r="X642" s="1181"/>
      <c r="Y642" s="8886"/>
      <c r="Z642" s="8734" t="s">
        <v>63</v>
      </c>
      <c r="AA642" s="8886"/>
      <c r="AB642" s="8734" t="s">
        <v>63</v>
      </c>
      <c r="AC642" s="666">
        <v>449.8</v>
      </c>
      <c r="AD642" s="666"/>
      <c r="AE642" s="1181"/>
      <c r="AF642" s="8886">
        <v>45292</v>
      </c>
      <c r="AG642" s="8734" t="s">
        <v>63</v>
      </c>
      <c r="AH642" s="8905">
        <v>45657</v>
      </c>
      <c r="AI642" s="8734" t="s">
        <v>63</v>
      </c>
      <c r="AJ642" s="1358"/>
      <c r="AK64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42" s="1562" t="e">
        <f ca="1">STRCHECKDATE(V643:AJ643)</f>
        <v>#NAME?</v>
      </c>
      <c r="AM642" s="1544"/>
      <c r="AN642" s="1544" t="str">
        <f t="shared" si="10"/>
        <v>Тариф, руб. за 1 куб. метр без НДС</v>
      </c>
      <c r="AO642" s="1544"/>
      <c r="AP642" s="1544"/>
    </row>
    <row r="643" spans="1:42" s="1818" customFormat="1" ht="14.25" customHeight="1">
      <c r="A643" s="1284"/>
      <c r="B643" s="1284"/>
      <c r="C643" s="1284"/>
      <c r="D643" s="1284"/>
      <c r="E643" s="8884"/>
      <c r="F643" s="8884"/>
      <c r="G643" s="8884"/>
      <c r="H643" s="8884"/>
      <c r="I643" s="8904"/>
      <c r="J643" s="8904" t="str">
        <f>I636&amp;".1"</f>
        <v>38.1.1.1.1</v>
      </c>
      <c r="K643" s="8881"/>
      <c r="L643" s="1290"/>
      <c r="M643" s="1696"/>
      <c r="N643" s="1696"/>
      <c r="O643" s="1696"/>
      <c r="P643" s="8882"/>
      <c r="Q643" s="8882"/>
      <c r="R643" s="278"/>
      <c r="S643" s="1815"/>
      <c r="T643" s="214"/>
      <c r="U643" s="214"/>
      <c r="V643" s="246"/>
      <c r="W643" s="246"/>
      <c r="X643" s="250" t="str">
        <f>Y642&amp;"-"&amp;AA642</f>
        <v>-</v>
      </c>
      <c r="Y643" s="8887"/>
      <c r="Z643" s="8734"/>
      <c r="AA643" s="8887"/>
      <c r="AB643" s="8734"/>
      <c r="AC643" s="246"/>
      <c r="AD643" s="246"/>
      <c r="AE643" s="250" t="str">
        <f>AF642&amp;"-"&amp;AH642</f>
        <v>45292-45657</v>
      </c>
      <c r="AF643" s="8887"/>
      <c r="AG643" s="8734"/>
      <c r="AH643" s="8906"/>
      <c r="AI643" s="8734"/>
      <c r="AJ643" s="1359"/>
      <c r="AK643" s="8941"/>
      <c r="AL643" s="1562"/>
      <c r="AM643" s="1544"/>
      <c r="AN643" s="1544" t="str">
        <f t="shared" si="10"/>
        <v/>
      </c>
      <c r="AO643" s="1544"/>
      <c r="AP643" s="1544"/>
    </row>
    <row r="644" spans="1:42" s="1818" customFormat="1" ht="21" customHeight="1">
      <c r="A644" s="1284"/>
      <c r="B644" s="1284"/>
      <c r="C644" s="1284"/>
      <c r="D644" s="1284"/>
      <c r="E644" s="8884"/>
      <c r="F644" s="8884"/>
      <c r="G644" s="8884"/>
      <c r="H644" s="8884"/>
      <c r="I644" s="8904"/>
      <c r="J644" s="8881" t="str">
        <f>I636&amp;".1"</f>
        <v>38.1.1.1.1</v>
      </c>
      <c r="K644" s="1284"/>
      <c r="L644" s="1290"/>
      <c r="M644" s="1696"/>
      <c r="N644" s="1696"/>
      <c r="O644" s="1696"/>
      <c r="P644" s="8882"/>
      <c r="Q644" s="8882"/>
      <c r="R644" s="277"/>
      <c r="S644" s="4555"/>
      <c r="T644" s="4556" t="s">
        <v>948</v>
      </c>
      <c r="U644" s="4557"/>
      <c r="V644" s="4558"/>
      <c r="W644" s="4559"/>
      <c r="X644" s="4560"/>
      <c r="Y644" s="4561"/>
      <c r="Z644" s="4562"/>
      <c r="AA644" s="4563"/>
      <c r="AB644" s="4564"/>
      <c r="AC644" s="4565"/>
      <c r="AD644" s="4566"/>
      <c r="AE644" s="4567"/>
      <c r="AF644" s="4568"/>
      <c r="AG644" s="4569"/>
      <c r="AH644" s="4570"/>
      <c r="AI644" s="4571"/>
      <c r="AJ644" s="4572"/>
      <c r="AK644" s="1182" t="s">
        <v>949</v>
      </c>
      <c r="AL644" s="1562"/>
      <c r="AM644" s="1544"/>
      <c r="AN644" s="1544" t="str">
        <f t="shared" si="10"/>
        <v>Добавить значение признака дифференциации</v>
      </c>
      <c r="AO644" s="1544"/>
      <c r="AP644" s="1544"/>
    </row>
    <row r="645" spans="1:42" s="1818" customFormat="1" ht="21" customHeight="1">
      <c r="A645" s="1284"/>
      <c r="B645" s="1284"/>
      <c r="C645" s="1284"/>
      <c r="D645" s="1284"/>
      <c r="E645" s="8884" t="s">
        <v>110</v>
      </c>
      <c r="F645" s="8884"/>
      <c r="G645" s="8884"/>
      <c r="H645" s="8884"/>
      <c r="I645" s="8881"/>
      <c r="J645" s="1284"/>
      <c r="K645" s="1284"/>
      <c r="L645" s="1290"/>
      <c r="M645" s="1696"/>
      <c r="N645" s="1696"/>
      <c r="O645" s="1696"/>
      <c r="P645" s="8882"/>
      <c r="Q645" s="1811"/>
      <c r="R645" s="277"/>
      <c r="S645" s="4573"/>
      <c r="T645" s="4574" t="s">
        <v>877</v>
      </c>
      <c r="U645" s="4575"/>
      <c r="V645" s="4576"/>
      <c r="W645" s="4577"/>
      <c r="X645" s="4578"/>
      <c r="Y645" s="4579"/>
      <c r="Z645" s="4580"/>
      <c r="AA645" s="4581"/>
      <c r="AB645" s="4582"/>
      <c r="AC645" s="4583"/>
      <c r="AD645" s="4584"/>
      <c r="AE645" s="4585"/>
      <c r="AF645" s="4586"/>
      <c r="AG645" s="4587"/>
      <c r="AH645" s="4588"/>
      <c r="AI645" s="4589"/>
      <c r="AJ645" s="4590"/>
      <c r="AK645" s="4591"/>
      <c r="AL645" s="1562"/>
      <c r="AM645" s="1544"/>
      <c r="AN645" s="1544" t="str">
        <f t="shared" si="10"/>
        <v>Добавить группу потребителей</v>
      </c>
      <c r="AO645" s="1544"/>
      <c r="AP645" s="1544"/>
    </row>
    <row r="646" spans="1:42" s="1818" customFormat="1" ht="21" customHeight="1">
      <c r="A646" s="1284"/>
      <c r="B646" s="1284"/>
      <c r="C646" s="1284"/>
      <c r="D646" s="1284"/>
      <c r="E646" s="8884" t="s">
        <v>110</v>
      </c>
      <c r="F646" s="8884"/>
      <c r="G646" s="8884"/>
      <c r="H646" s="8883"/>
      <c r="I646" s="1284"/>
      <c r="J646" s="1284"/>
      <c r="K646" s="1284"/>
      <c r="L646" s="1290"/>
      <c r="M646" s="1286"/>
      <c r="N646" s="1286"/>
      <c r="O646" s="1287"/>
      <c r="P646" s="1742"/>
      <c r="Q646" s="299"/>
      <c r="R646" s="276"/>
      <c r="S646" s="4592"/>
      <c r="T646" s="4593" t="s">
        <v>950</v>
      </c>
      <c r="U646" s="4594"/>
      <c r="V646" s="4595"/>
      <c r="W646" s="4596"/>
      <c r="X646" s="4597"/>
      <c r="Y646" s="4598"/>
      <c r="Z646" s="4599"/>
      <c r="AA646" s="4600"/>
      <c r="AB646" s="4601"/>
      <c r="AC646" s="4602"/>
      <c r="AD646" s="4603"/>
      <c r="AE646" s="4604"/>
      <c r="AF646" s="4605"/>
      <c r="AG646" s="4606"/>
      <c r="AH646" s="4607"/>
      <c r="AI646" s="4608"/>
      <c r="AJ646" s="4609"/>
      <c r="AK646" s="4610"/>
      <c r="AL646" s="1562"/>
      <c r="AM646" s="1544"/>
      <c r="AN646" s="1544" t="str">
        <f t="shared" si="10"/>
        <v>Добавить наименование признака дифференциации</v>
      </c>
      <c r="AO646" s="1544"/>
      <c r="AP646" s="1544"/>
    </row>
    <row r="647" spans="1:42" s="541" customFormat="1" ht="14.25" customHeight="1">
      <c r="A647" s="1265"/>
      <c r="B647" s="1265"/>
      <c r="C647" s="1265"/>
      <c r="D647" s="1265"/>
      <c r="E647" s="8884" t="s">
        <v>110</v>
      </c>
      <c r="F647" s="8883"/>
      <c r="G647" s="1265"/>
      <c r="H647" s="1265"/>
      <c r="I647" s="1265"/>
      <c r="J647" s="1265"/>
      <c r="K647" s="1265"/>
      <c r="L647" s="1466"/>
      <c r="M647" s="1244"/>
      <c r="N647" s="1244"/>
      <c r="O647" s="1562"/>
      <c r="P647" s="1239"/>
      <c r="Q647" s="1266"/>
      <c r="R647" s="1239"/>
      <c r="S647" s="1245"/>
      <c r="T647" s="1248" t="s">
        <v>314</v>
      </c>
      <c r="U647" s="1247"/>
      <c r="V647" s="1247"/>
      <c r="W647" s="1247"/>
      <c r="X647" s="1247"/>
      <c r="Y647" s="1247"/>
      <c r="Z647" s="1247"/>
      <c r="AA647" s="1247"/>
      <c r="AB647" s="1247"/>
      <c r="AC647" s="1247"/>
      <c r="AD647" s="1247"/>
      <c r="AE647" s="1247"/>
      <c r="AF647" s="1247"/>
      <c r="AG647" s="1247"/>
      <c r="AH647" s="1247"/>
      <c r="AI647" s="1247"/>
      <c r="AJ647" s="1247"/>
      <c r="AK647" s="1247"/>
      <c r="AL647" s="1562"/>
      <c r="AM647" s="1544"/>
      <c r="AN647" s="1544" t="str">
        <f t="shared" si="10"/>
        <v>Добавить централизованную систему для дифференциации</v>
      </c>
      <c r="AO647" s="1544"/>
      <c r="AP647" s="1544"/>
    </row>
    <row r="648" spans="1:42" s="541" customFormat="1" ht="14.25" customHeight="1">
      <c r="A648" s="1265"/>
      <c r="B648" s="1265"/>
      <c r="C648" s="1265"/>
      <c r="D648" s="1265"/>
      <c r="E648" s="8883" t="s">
        <v>110</v>
      </c>
      <c r="F648" s="1265"/>
      <c r="G648" s="1265"/>
      <c r="H648" s="1265"/>
      <c r="I648" s="1265"/>
      <c r="J648" s="1265"/>
      <c r="K648" s="1265"/>
      <c r="L648" s="1466"/>
      <c r="M648" s="1244"/>
      <c r="N648" s="1244"/>
      <c r="O648" s="1562"/>
      <c r="P648" s="1239"/>
      <c r="Q648" s="1266"/>
      <c r="R648" s="1239"/>
      <c r="S648" s="1245"/>
      <c r="T648" s="1248" t="s">
        <v>315</v>
      </c>
      <c r="U648" s="1247"/>
      <c r="V648" s="1247"/>
      <c r="W648" s="1247"/>
      <c r="X648" s="1247"/>
      <c r="Y648" s="1247"/>
      <c r="Z648" s="1247"/>
      <c r="AA648" s="1247"/>
      <c r="AB648" s="1247"/>
      <c r="AC648" s="1247"/>
      <c r="AD648" s="1247"/>
      <c r="AE648" s="1247"/>
      <c r="AF648" s="1247"/>
      <c r="AG648" s="1247"/>
      <c r="AH648" s="1247"/>
      <c r="AI648" s="1247"/>
      <c r="AJ648" s="1247"/>
      <c r="AK648" s="1247"/>
      <c r="AL648" s="1562"/>
      <c r="AM648" s="1544"/>
      <c r="AN648" s="1544" t="str">
        <f t="shared" si="10"/>
        <v>Добавить территорию для дифференциации</v>
      </c>
      <c r="AO648" s="1544"/>
      <c r="AP648" s="1544"/>
    </row>
    <row r="649" spans="1:42" s="1818" customFormat="1" ht="23.25" customHeight="1">
      <c r="A649" s="1284" t="s">
        <v>518</v>
      </c>
      <c r="B649" s="1284"/>
      <c r="C649" s="1284"/>
      <c r="D649" s="1284"/>
      <c r="E649" s="8883" t="s">
        <v>516</v>
      </c>
      <c r="F649" s="1284"/>
      <c r="G649" s="1284"/>
      <c r="H649" s="1284"/>
      <c r="I649" s="1284"/>
      <c r="J649" s="1284"/>
      <c r="K649" s="1284"/>
      <c r="L649" s="1290"/>
      <c r="M649" s="1286"/>
      <c r="N649" s="1286"/>
      <c r="O649" s="1286"/>
      <c r="P649" s="1812"/>
      <c r="Q649" s="1742"/>
      <c r="R649" s="276"/>
      <c r="S649" s="1810" t="str">
        <f>INDEX(PT_DIFFERENTIATION_NUM_NTAR,MATCH(A649,PT_DIFFERENTIATION_NTAR_ID,0))</f>
        <v>39</v>
      </c>
      <c r="T649" s="1440" t="s">
        <v>211</v>
      </c>
      <c r="U649" s="214"/>
      <c r="V649" s="8869"/>
      <c r="W649" s="8870"/>
      <c r="X649" s="8870"/>
      <c r="Y649" s="8870"/>
      <c r="Z649" s="8870"/>
      <c r="AA649" s="8870"/>
      <c r="AB649" s="8871"/>
      <c r="AC649" s="8869" t="str">
        <f>INDEX(PT_DIFFERENTIATION_NTAR,MATCH(A649,PT_DIFFERENTIATION_NTAR_ID,0))</f>
        <v>Подвоз воды потребителям поселка Верхнедубовского</v>
      </c>
      <c r="AD649" s="8870"/>
      <c r="AE649" s="8870"/>
      <c r="AF649" s="8870"/>
      <c r="AG649" s="8870"/>
      <c r="AH649" s="8870"/>
      <c r="AI649" s="8870"/>
      <c r="AJ649" s="8871"/>
      <c r="AK64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649" s="1562"/>
      <c r="AM649" s="1544"/>
      <c r="AN649" s="1544" t="str">
        <f t="shared" si="10"/>
        <v>Наименование тарифа</v>
      </c>
      <c r="AO649" s="1544"/>
      <c r="AP649" s="1544"/>
    </row>
    <row r="650" spans="1:42" s="1818" customFormat="1" ht="23.25" customHeight="1">
      <c r="A650" s="1284"/>
      <c r="B650" s="1284" t="s">
        <v>519</v>
      </c>
      <c r="C650" s="1284"/>
      <c r="D650" s="1284"/>
      <c r="E650" s="8884" t="s">
        <v>510</v>
      </c>
      <c r="F650" s="8883">
        <v>1</v>
      </c>
      <c r="G650" s="1284"/>
      <c r="H650" s="1284"/>
      <c r="I650" s="1284"/>
      <c r="J650" s="1284"/>
      <c r="K650" s="1284"/>
      <c r="L650" s="1290"/>
      <c r="M650" s="1286"/>
      <c r="N650" s="1286"/>
      <c r="O650" s="1286"/>
      <c r="P650" s="1807"/>
      <c r="Q650" s="273"/>
      <c r="R650" s="274"/>
      <c r="S650" s="1810" t="str">
        <f>INDEX(PT_DIFFERENTIATION_NUM_TER,MATCH(B650,PT_DIFFERENTIATION_TER_ID,0))</f>
        <v>39.1</v>
      </c>
      <c r="T650" s="1437" t="s">
        <v>862</v>
      </c>
      <c r="U650" s="214"/>
      <c r="V650" s="8869"/>
      <c r="W650" s="8870"/>
      <c r="X650" s="8870"/>
      <c r="Y650" s="8870"/>
      <c r="Z650" s="8870"/>
      <c r="AA650" s="8870"/>
      <c r="AB650" s="8871"/>
      <c r="AC650" s="8869" t="str">
        <f>INDEX(PT_DIFFERENTIATION_TER,MATCH(B650,PT_DIFFERENTIATION_TER_ID,0))</f>
        <v>Территория 12</v>
      </c>
      <c r="AD650" s="8870"/>
      <c r="AE650" s="8870"/>
      <c r="AF650" s="8870"/>
      <c r="AG650" s="8870"/>
      <c r="AH650" s="8870"/>
      <c r="AI650" s="8870"/>
      <c r="AJ650" s="8871"/>
      <c r="AK650" s="1182" t="s">
        <v>863</v>
      </c>
      <c r="AL650" s="1562"/>
      <c r="AM650" s="1544"/>
      <c r="AN650" s="1544" t="str">
        <f t="shared" si="10"/>
        <v>Территория действия тарифа</v>
      </c>
      <c r="AO650" s="1544"/>
      <c r="AP650" s="1544"/>
    </row>
    <row r="651" spans="1:42" s="1818" customFormat="1" ht="23.25" customHeight="1">
      <c r="A651" s="1284"/>
      <c r="B651" s="1284"/>
      <c r="C651" s="1284" t="s">
        <v>520</v>
      </c>
      <c r="D651" s="1284"/>
      <c r="E651" s="8884" t="s">
        <v>510</v>
      </c>
      <c r="F651" s="8884"/>
      <c r="G651" s="8883">
        <v>1</v>
      </c>
      <c r="H651" s="1284"/>
      <c r="I651" s="1284"/>
      <c r="J651" s="1284"/>
      <c r="K651" s="1284"/>
      <c r="L651" s="1290"/>
      <c r="M651" s="1286"/>
      <c r="N651" s="1286"/>
      <c r="O651" s="1286"/>
      <c r="P651" s="275"/>
      <c r="Q651" s="273"/>
      <c r="R651" s="274"/>
      <c r="S651" s="1810" t="str">
        <f>INDEX(PT_DIFFERENTIATION_NUM_CS,MATCH(C651,PT_DIFFERENTIATION_CS_ID,0))</f>
        <v>39.1.1</v>
      </c>
      <c r="T651" s="225" t="s">
        <v>943</v>
      </c>
      <c r="U651" s="214"/>
      <c r="V651" s="8869"/>
      <c r="W651" s="8870"/>
      <c r="X651" s="8870"/>
      <c r="Y651" s="8870"/>
      <c r="Z651" s="8870"/>
      <c r="AA651" s="8870"/>
      <c r="AB651" s="8871"/>
      <c r="AC651" s="8869" t="str">
        <f>INDEX(PT_DIFFERENTIATION_CS,MATCH(C651,PT_DIFFERENTIATION_CS_ID,0))</f>
        <v>без дифференциации</v>
      </c>
      <c r="AD651" s="8870"/>
      <c r="AE651" s="8870"/>
      <c r="AF651" s="8870"/>
      <c r="AG651" s="8870"/>
      <c r="AH651" s="8870"/>
      <c r="AI651" s="8870"/>
      <c r="AJ651" s="8871"/>
      <c r="AK651" s="1182" t="s">
        <v>944</v>
      </c>
      <c r="AL651" s="1562"/>
      <c r="AM651" s="1544"/>
      <c r="AN651" s="1544" t="str">
        <f t="shared" si="10"/>
        <v>Наименование централизованной системы холодного водоснабжения</v>
      </c>
      <c r="AO651" s="1544"/>
      <c r="AP651" s="1544"/>
    </row>
    <row r="652" spans="1:42" s="1818" customFormat="1" ht="23.25" customHeight="1">
      <c r="A652" s="1284"/>
      <c r="B652" s="1284"/>
      <c r="C652" s="1284"/>
      <c r="D652" s="1284"/>
      <c r="E652" s="8884" t="s">
        <v>510</v>
      </c>
      <c r="F652" s="8884"/>
      <c r="G652" s="8884"/>
      <c r="H652" s="8884"/>
      <c r="I652" s="8881" t="str">
        <f>S651&amp;".1"</f>
        <v>39.1.1.1</v>
      </c>
      <c r="J652" s="1284"/>
      <c r="K652" s="1284"/>
      <c r="L652" s="1290"/>
      <c r="M652" s="1696"/>
      <c r="N652" s="1696"/>
      <c r="O652" s="1696"/>
      <c r="P652" s="8882">
        <v>1</v>
      </c>
      <c r="Q652" s="1811"/>
      <c r="R652" s="277"/>
      <c r="S652" s="1810" t="str">
        <f>$I652</f>
        <v>39.1.1.1</v>
      </c>
      <c r="T652" s="200" t="s">
        <v>945</v>
      </c>
      <c r="U652" s="214"/>
      <c r="V652" s="8942"/>
      <c r="W652" s="8943"/>
      <c r="X652" s="8943"/>
      <c r="Y652" s="8943"/>
      <c r="Z652" s="8943"/>
      <c r="AA652" s="8943"/>
      <c r="AB652" s="8944"/>
      <c r="AC652" s="8945"/>
      <c r="AD652" s="8946"/>
      <c r="AE652" s="8946"/>
      <c r="AF652" s="8946"/>
      <c r="AG652" s="8946"/>
      <c r="AH652" s="8946"/>
      <c r="AI652" s="8946"/>
      <c r="AJ652" s="8947"/>
      <c r="AK652" s="1182" t="s">
        <v>946</v>
      </c>
      <c r="AL652" s="1562"/>
      <c r="AM652" s="1544"/>
      <c r="AN652" s="1544" t="str">
        <f t="shared" si="10"/>
        <v>Наименование признака дифференциации</v>
      </c>
      <c r="AO652" s="1544"/>
      <c r="AP652" s="1544"/>
    </row>
    <row r="653" spans="1:42" s="1818" customFormat="1" ht="23.25" customHeight="1">
      <c r="A653" s="1284"/>
      <c r="B653" s="1284"/>
      <c r="C653" s="1284"/>
      <c r="D653" s="1284"/>
      <c r="E653" s="8884" t="s">
        <v>510</v>
      </c>
      <c r="F653" s="8884"/>
      <c r="G653" s="8884"/>
      <c r="H653" s="8884"/>
      <c r="I653" s="8904"/>
      <c r="J653" s="8881" t="str">
        <f>I652&amp;".1"</f>
        <v>39.1.1.1.1</v>
      </c>
      <c r="K653" s="1284"/>
      <c r="L653" s="1290" t="s">
        <v>871</v>
      </c>
      <c r="M653" s="1696"/>
      <c r="N653" s="1696"/>
      <c r="O653" s="1696"/>
      <c r="P653" s="8882"/>
      <c r="Q653" s="8882">
        <v>1</v>
      </c>
      <c r="R653" s="278"/>
      <c r="S653" s="1810" t="str">
        <f>$J653</f>
        <v>39.1.1.1.1</v>
      </c>
      <c r="T653" s="201" t="s">
        <v>872</v>
      </c>
      <c r="U653" s="214"/>
      <c r="V653" s="8872"/>
      <c r="W653" s="8873"/>
      <c r="X653" s="8873"/>
      <c r="Y653" s="8873"/>
      <c r="Z653" s="8873"/>
      <c r="AA653" s="8873"/>
      <c r="AB653" s="8874"/>
      <c r="AC653" s="8872" t="s">
        <v>961</v>
      </c>
      <c r="AD653" s="8873"/>
      <c r="AE653" s="8873"/>
      <c r="AF653" s="8873"/>
      <c r="AG653" s="8873"/>
      <c r="AH653" s="8873"/>
      <c r="AI653" s="8873"/>
      <c r="AJ653" s="8874"/>
      <c r="AK653" s="1231" t="s">
        <v>947</v>
      </c>
      <c r="AL653" s="1562"/>
      <c r="AM653" s="1544"/>
      <c r="AN653" s="1544" t="str">
        <f t="shared" si="10"/>
        <v>Группа потребителей</v>
      </c>
      <c r="AO653" s="1544"/>
      <c r="AP653" s="1544"/>
    </row>
    <row r="654" spans="1:42" s="1818" customFormat="1" ht="23.25" customHeight="1">
      <c r="A654" s="1284"/>
      <c r="B654" s="1284"/>
      <c r="C654" s="1284"/>
      <c r="D654" s="1284"/>
      <c r="E654" s="8884" t="s">
        <v>510</v>
      </c>
      <c r="F654" s="8884"/>
      <c r="G654" s="8884"/>
      <c r="H654" s="8884"/>
      <c r="I654" s="8904"/>
      <c r="J654" s="8904"/>
      <c r="K654" s="8881" t="str">
        <f>J653&amp;".1"</f>
        <v>39.1.1.1.1.1</v>
      </c>
      <c r="L654" s="1290"/>
      <c r="M654" s="1696"/>
      <c r="N654" s="1696"/>
      <c r="O654" s="1696"/>
      <c r="P654" s="8882"/>
      <c r="Q654" s="8882"/>
      <c r="R654" s="278">
        <v>1</v>
      </c>
      <c r="S654" s="1810" t="str">
        <f>$K654</f>
        <v>39.1.1.1.1.1</v>
      </c>
      <c r="T654" s="1357" t="s">
        <v>962</v>
      </c>
      <c r="U654" s="214"/>
      <c r="V654" s="666"/>
      <c r="W654" s="666"/>
      <c r="X654" s="1181"/>
      <c r="Y654" s="8886"/>
      <c r="Z654" s="8734" t="s">
        <v>63</v>
      </c>
      <c r="AA654" s="8886"/>
      <c r="AB654" s="8734" t="s">
        <v>63</v>
      </c>
      <c r="AC654" s="666">
        <v>479.68</v>
      </c>
      <c r="AD654" s="666"/>
      <c r="AE654" s="1181"/>
      <c r="AF654" s="8886">
        <v>45292</v>
      </c>
      <c r="AG654" s="8734" t="s">
        <v>63</v>
      </c>
      <c r="AH654" s="8905">
        <v>45657</v>
      </c>
      <c r="AI654" s="8734" t="s">
        <v>63</v>
      </c>
      <c r="AJ654" s="1358"/>
      <c r="AK65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54" s="1562" t="e">
        <f ca="1">STRCHECKDATE(V655:AJ655)</f>
        <v>#NAME?</v>
      </c>
      <c r="AM654" s="1544"/>
      <c r="AN654" s="1544" t="str">
        <f t="shared" si="10"/>
        <v>Тариф для населения, руб. за 1 куб. метр с НДС</v>
      </c>
      <c r="AO654" s="1544"/>
      <c r="AP654" s="1544"/>
    </row>
    <row r="655" spans="1:42" s="1818" customFormat="1" ht="14.25" customHeight="1">
      <c r="A655" s="1284"/>
      <c r="B655" s="1284"/>
      <c r="C655" s="1284"/>
      <c r="D655" s="1284"/>
      <c r="E655" s="8884" t="s">
        <v>510</v>
      </c>
      <c r="F655" s="8884"/>
      <c r="G655" s="8884"/>
      <c r="H655" s="8884"/>
      <c r="I655" s="8904"/>
      <c r="J655" s="8904"/>
      <c r="K655" s="8881"/>
      <c r="L655" s="1290"/>
      <c r="M655" s="1696"/>
      <c r="N655" s="1696"/>
      <c r="O655" s="1696"/>
      <c r="P655" s="8882"/>
      <c r="Q655" s="8882"/>
      <c r="R655" s="278"/>
      <c r="S655" s="1815"/>
      <c r="T655" s="214"/>
      <c r="U655" s="214"/>
      <c r="V655" s="246"/>
      <c r="W655" s="246"/>
      <c r="X655" s="250" t="str">
        <f>Y654&amp;"-"&amp;AA654</f>
        <v>-</v>
      </c>
      <c r="Y655" s="8887"/>
      <c r="Z655" s="8734"/>
      <c r="AA655" s="8887"/>
      <c r="AB655" s="8734"/>
      <c r="AC655" s="246"/>
      <c r="AD655" s="246"/>
      <c r="AE655" s="250" t="str">
        <f>AF654&amp;"-"&amp;AH654</f>
        <v>45292-45657</v>
      </c>
      <c r="AF655" s="8887"/>
      <c r="AG655" s="8734"/>
      <c r="AH655" s="8906"/>
      <c r="AI655" s="8734"/>
      <c r="AJ655" s="1359"/>
      <c r="AK655" s="8941"/>
      <c r="AL655" s="1562"/>
      <c r="AM655" s="1544"/>
      <c r="AN655" s="1544" t="str">
        <f t="shared" si="10"/>
        <v/>
      </c>
      <c r="AO655" s="1544"/>
      <c r="AP655" s="1544"/>
    </row>
    <row r="656" spans="1:42" s="1818" customFormat="1" ht="21" customHeight="1">
      <c r="A656" s="1284"/>
      <c r="B656" s="1284"/>
      <c r="C656" s="1284"/>
      <c r="D656" s="1284"/>
      <c r="E656" s="8884" t="s">
        <v>510</v>
      </c>
      <c r="F656" s="8884"/>
      <c r="G656" s="8884"/>
      <c r="H656" s="8884"/>
      <c r="I656" s="8904"/>
      <c r="J656" s="8881"/>
      <c r="K656" s="1284"/>
      <c r="L656" s="1290"/>
      <c r="M656" s="1696"/>
      <c r="N656" s="1696"/>
      <c r="O656" s="1696"/>
      <c r="P656" s="8882"/>
      <c r="Q656" s="8882"/>
      <c r="R656" s="277"/>
      <c r="S656" s="4611"/>
      <c r="T656" s="4612" t="s">
        <v>948</v>
      </c>
      <c r="U656" s="4613"/>
      <c r="V656" s="4614"/>
      <c r="W656" s="4615"/>
      <c r="X656" s="4616"/>
      <c r="Y656" s="4617"/>
      <c r="Z656" s="4618"/>
      <c r="AA656" s="4619"/>
      <c r="AB656" s="4620"/>
      <c r="AC656" s="4621"/>
      <c r="AD656" s="4622"/>
      <c r="AE656" s="4623"/>
      <c r="AF656" s="4624"/>
      <c r="AG656" s="4625"/>
      <c r="AH656" s="4626"/>
      <c r="AI656" s="4627"/>
      <c r="AJ656" s="4628"/>
      <c r="AK656" s="1182" t="s">
        <v>949</v>
      </c>
      <c r="AL656" s="1562"/>
      <c r="AM656" s="1544"/>
      <c r="AN656" s="1544" t="str">
        <f t="shared" si="10"/>
        <v>Добавить значение признака дифференциации</v>
      </c>
      <c r="AO656" s="1544"/>
      <c r="AP656" s="1544"/>
    </row>
    <row r="657" spans="1:42" s="1818" customFormat="1" ht="23.25" customHeight="1">
      <c r="A657" s="1284"/>
      <c r="B657" s="1284"/>
      <c r="C657" s="1284"/>
      <c r="D657" s="1284"/>
      <c r="E657" s="8884"/>
      <c r="F657" s="8884"/>
      <c r="G657" s="8884"/>
      <c r="H657" s="8884"/>
      <c r="I657" s="8904"/>
      <c r="J657" s="8881" t="str">
        <f>I652&amp;".2"</f>
        <v>39.1.1.1.2</v>
      </c>
      <c r="K657" s="1284"/>
      <c r="L657" s="1290" t="s">
        <v>871</v>
      </c>
      <c r="M657" s="1696"/>
      <c r="N657" s="1696"/>
      <c r="O657" s="1696"/>
      <c r="P657" s="8882"/>
      <c r="Q657" s="8948" t="s">
        <v>100</v>
      </c>
      <c r="R657" s="278"/>
      <c r="S657" s="1810" t="str">
        <f>$J657</f>
        <v>39.1.1.1.2</v>
      </c>
      <c r="T657" s="201" t="s">
        <v>872</v>
      </c>
      <c r="U657" s="214"/>
      <c r="V657" s="8872"/>
      <c r="W657" s="8873"/>
      <c r="X657" s="8873"/>
      <c r="Y657" s="8873"/>
      <c r="Z657" s="8873"/>
      <c r="AA657" s="8873"/>
      <c r="AB657" s="8874"/>
      <c r="AC657" s="8872" t="s">
        <v>963</v>
      </c>
      <c r="AD657" s="8873"/>
      <c r="AE657" s="8873"/>
      <c r="AF657" s="8873"/>
      <c r="AG657" s="8873"/>
      <c r="AH657" s="8873"/>
      <c r="AI657" s="8873"/>
      <c r="AJ657" s="8874"/>
      <c r="AK657" s="1231" t="s">
        <v>947</v>
      </c>
      <c r="AL657" s="1562"/>
      <c r="AM657" s="1544"/>
      <c r="AN657" s="1544" t="str">
        <f t="shared" si="10"/>
        <v>Группа потребителей</v>
      </c>
      <c r="AO657" s="1544"/>
      <c r="AP657" s="1544"/>
    </row>
    <row r="658" spans="1:42" s="1818" customFormat="1" ht="23.25" customHeight="1">
      <c r="A658" s="1284"/>
      <c r="B658" s="1284"/>
      <c r="C658" s="1284"/>
      <c r="D658" s="1284"/>
      <c r="E658" s="8884"/>
      <c r="F658" s="8884"/>
      <c r="G658" s="8884"/>
      <c r="H658" s="8884"/>
      <c r="I658" s="8904"/>
      <c r="J658" s="8904" t="str">
        <f>I652&amp;".1"</f>
        <v>39.1.1.1.1</v>
      </c>
      <c r="K658" s="8881" t="str">
        <f>J657&amp;".1"</f>
        <v>39.1.1.1.2.1</v>
      </c>
      <c r="L658" s="1290"/>
      <c r="M658" s="1696"/>
      <c r="N658" s="1696"/>
      <c r="O658" s="1696"/>
      <c r="P658" s="8882"/>
      <c r="Q658" s="8882"/>
      <c r="R658" s="278">
        <v>1</v>
      </c>
      <c r="S658" s="1810" t="str">
        <f>$K658</f>
        <v>39.1.1.1.2.1</v>
      </c>
      <c r="T658" s="1357" t="s">
        <v>964</v>
      </c>
      <c r="U658" s="214"/>
      <c r="V658" s="666"/>
      <c r="W658" s="666"/>
      <c r="X658" s="1181"/>
      <c r="Y658" s="8886"/>
      <c r="Z658" s="8734" t="s">
        <v>63</v>
      </c>
      <c r="AA658" s="8886"/>
      <c r="AB658" s="8734" t="s">
        <v>63</v>
      </c>
      <c r="AC658" s="666">
        <v>399.73</v>
      </c>
      <c r="AD658" s="666"/>
      <c r="AE658" s="1181"/>
      <c r="AF658" s="8886">
        <v>45292</v>
      </c>
      <c r="AG658" s="8734" t="s">
        <v>63</v>
      </c>
      <c r="AH658" s="8905">
        <v>45657</v>
      </c>
      <c r="AI658" s="8734" t="s">
        <v>63</v>
      </c>
      <c r="AJ658" s="1358"/>
      <c r="AK65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58" s="1562" t="e">
        <f ca="1">STRCHECKDATE(V659:AJ659)</f>
        <v>#NAME?</v>
      </c>
      <c r="AM658" s="1544"/>
      <c r="AN658" s="1544" t="str">
        <f t="shared" si="10"/>
        <v>Тариф, руб. за 1 куб. метр без НДС</v>
      </c>
      <c r="AO658" s="1544"/>
      <c r="AP658" s="1544"/>
    </row>
    <row r="659" spans="1:42" s="1818" customFormat="1" ht="14.25" customHeight="1">
      <c r="A659" s="1284"/>
      <c r="B659" s="1284"/>
      <c r="C659" s="1284"/>
      <c r="D659" s="1284"/>
      <c r="E659" s="8884"/>
      <c r="F659" s="8884"/>
      <c r="G659" s="8884"/>
      <c r="H659" s="8884"/>
      <c r="I659" s="8904"/>
      <c r="J659" s="8904" t="str">
        <f>I652&amp;".1"</f>
        <v>39.1.1.1.1</v>
      </c>
      <c r="K659" s="8881"/>
      <c r="L659" s="1290"/>
      <c r="M659" s="1696"/>
      <c r="N659" s="1696"/>
      <c r="O659" s="1696"/>
      <c r="P659" s="8882"/>
      <c r="Q659" s="8882"/>
      <c r="R659" s="278"/>
      <c r="S659" s="1815"/>
      <c r="T659" s="214"/>
      <c r="U659" s="214"/>
      <c r="V659" s="246"/>
      <c r="W659" s="246"/>
      <c r="X659" s="250" t="str">
        <f>Y658&amp;"-"&amp;AA658</f>
        <v>-</v>
      </c>
      <c r="Y659" s="8887"/>
      <c r="Z659" s="8734"/>
      <c r="AA659" s="8887"/>
      <c r="AB659" s="8734"/>
      <c r="AC659" s="246"/>
      <c r="AD659" s="246"/>
      <c r="AE659" s="250" t="str">
        <f>AF658&amp;"-"&amp;AH658</f>
        <v>45292-45657</v>
      </c>
      <c r="AF659" s="8887"/>
      <c r="AG659" s="8734"/>
      <c r="AH659" s="8906"/>
      <c r="AI659" s="8734"/>
      <c r="AJ659" s="1359"/>
      <c r="AK659" s="8941"/>
      <c r="AL659" s="1562"/>
      <c r="AM659" s="1544"/>
      <c r="AN659" s="1544" t="str">
        <f t="shared" si="10"/>
        <v/>
      </c>
      <c r="AO659" s="1544"/>
      <c r="AP659" s="1544"/>
    </row>
    <row r="660" spans="1:42" s="1818" customFormat="1" ht="21" customHeight="1">
      <c r="A660" s="1284"/>
      <c r="B660" s="1284"/>
      <c r="C660" s="1284"/>
      <c r="D660" s="1284"/>
      <c r="E660" s="8884"/>
      <c r="F660" s="8884"/>
      <c r="G660" s="8884"/>
      <c r="H660" s="8884"/>
      <c r="I660" s="8904"/>
      <c r="J660" s="8881" t="str">
        <f>I652&amp;".1"</f>
        <v>39.1.1.1.1</v>
      </c>
      <c r="K660" s="1284"/>
      <c r="L660" s="1290"/>
      <c r="M660" s="1696"/>
      <c r="N660" s="1696"/>
      <c r="O660" s="1696"/>
      <c r="P660" s="8882"/>
      <c r="Q660" s="8882"/>
      <c r="R660" s="277"/>
      <c r="S660" s="4629"/>
      <c r="T660" s="4630" t="s">
        <v>948</v>
      </c>
      <c r="U660" s="4631"/>
      <c r="V660" s="4632"/>
      <c r="W660" s="4633"/>
      <c r="X660" s="4634"/>
      <c r="Y660" s="4635"/>
      <c r="Z660" s="4636"/>
      <c r="AA660" s="4637"/>
      <c r="AB660" s="4638"/>
      <c r="AC660" s="4639"/>
      <c r="AD660" s="4640"/>
      <c r="AE660" s="4641"/>
      <c r="AF660" s="4642"/>
      <c r="AG660" s="4643"/>
      <c r="AH660" s="4644"/>
      <c r="AI660" s="4645"/>
      <c r="AJ660" s="4646"/>
      <c r="AK660" s="1182" t="s">
        <v>949</v>
      </c>
      <c r="AL660" s="1562"/>
      <c r="AM660" s="1544"/>
      <c r="AN660" s="1544" t="str">
        <f t="shared" si="10"/>
        <v>Добавить значение признака дифференциации</v>
      </c>
      <c r="AO660" s="1544"/>
      <c r="AP660" s="1544"/>
    </row>
    <row r="661" spans="1:42" s="1818" customFormat="1" ht="21" customHeight="1">
      <c r="A661" s="1284"/>
      <c r="B661" s="1284"/>
      <c r="C661" s="1284"/>
      <c r="D661" s="1284"/>
      <c r="E661" s="8884" t="s">
        <v>510</v>
      </c>
      <c r="F661" s="8884"/>
      <c r="G661" s="8884"/>
      <c r="H661" s="8884"/>
      <c r="I661" s="8881"/>
      <c r="J661" s="1284"/>
      <c r="K661" s="1284"/>
      <c r="L661" s="1290"/>
      <c r="M661" s="1696"/>
      <c r="N661" s="1696"/>
      <c r="O661" s="1696"/>
      <c r="P661" s="8882"/>
      <c r="Q661" s="1811"/>
      <c r="R661" s="277"/>
      <c r="S661" s="4647"/>
      <c r="T661" s="4648" t="s">
        <v>877</v>
      </c>
      <c r="U661" s="4649"/>
      <c r="V661" s="4650"/>
      <c r="W661" s="4651"/>
      <c r="X661" s="4652"/>
      <c r="Y661" s="4653"/>
      <c r="Z661" s="4654"/>
      <c r="AA661" s="4655"/>
      <c r="AB661" s="4656"/>
      <c r="AC661" s="4657"/>
      <c r="AD661" s="4658"/>
      <c r="AE661" s="4659"/>
      <c r="AF661" s="4660"/>
      <c r="AG661" s="4661"/>
      <c r="AH661" s="4662"/>
      <c r="AI661" s="4663"/>
      <c r="AJ661" s="4664"/>
      <c r="AK661" s="4665"/>
      <c r="AL661" s="1562"/>
      <c r="AM661" s="1544"/>
      <c r="AN661" s="1544" t="str">
        <f t="shared" si="10"/>
        <v>Добавить группу потребителей</v>
      </c>
      <c r="AO661" s="1544"/>
      <c r="AP661" s="1544"/>
    </row>
    <row r="662" spans="1:42" s="1818" customFormat="1" ht="21" customHeight="1">
      <c r="A662" s="1284"/>
      <c r="B662" s="1284"/>
      <c r="C662" s="1284"/>
      <c r="D662" s="1284"/>
      <c r="E662" s="8884" t="s">
        <v>510</v>
      </c>
      <c r="F662" s="8884"/>
      <c r="G662" s="8884"/>
      <c r="H662" s="8883"/>
      <c r="I662" s="1284"/>
      <c r="J662" s="1284"/>
      <c r="K662" s="1284"/>
      <c r="L662" s="1290"/>
      <c r="M662" s="1286"/>
      <c r="N662" s="1286"/>
      <c r="O662" s="1287"/>
      <c r="P662" s="1742"/>
      <c r="Q662" s="299"/>
      <c r="R662" s="276"/>
      <c r="S662" s="4666"/>
      <c r="T662" s="4667" t="s">
        <v>950</v>
      </c>
      <c r="U662" s="4668"/>
      <c r="V662" s="4669"/>
      <c r="W662" s="4670"/>
      <c r="X662" s="4671"/>
      <c r="Y662" s="4672"/>
      <c r="Z662" s="4673"/>
      <c r="AA662" s="4674"/>
      <c r="AB662" s="4675"/>
      <c r="AC662" s="4676"/>
      <c r="AD662" s="4677"/>
      <c r="AE662" s="4678"/>
      <c r="AF662" s="4679"/>
      <c r="AG662" s="4680"/>
      <c r="AH662" s="4681"/>
      <c r="AI662" s="4682"/>
      <c r="AJ662" s="4683"/>
      <c r="AK662" s="4684"/>
      <c r="AL662" s="1562"/>
      <c r="AM662" s="1544"/>
      <c r="AN662" s="1544" t="str">
        <f t="shared" si="10"/>
        <v>Добавить наименование признака дифференциации</v>
      </c>
      <c r="AO662" s="1544"/>
      <c r="AP662" s="1544"/>
    </row>
    <row r="663" spans="1:42" s="541" customFormat="1" ht="14.25" customHeight="1">
      <c r="A663" s="1265"/>
      <c r="B663" s="1265"/>
      <c r="C663" s="1265"/>
      <c r="D663" s="1265"/>
      <c r="E663" s="8884" t="s">
        <v>510</v>
      </c>
      <c r="F663" s="8883"/>
      <c r="G663" s="1265"/>
      <c r="H663" s="1265"/>
      <c r="I663" s="1265"/>
      <c r="J663" s="1265"/>
      <c r="K663" s="1265"/>
      <c r="L663" s="1466"/>
      <c r="M663" s="1244"/>
      <c r="N663" s="1244"/>
      <c r="O663" s="1562"/>
      <c r="P663" s="1239"/>
      <c r="Q663" s="1266"/>
      <c r="R663" s="1239"/>
      <c r="S663" s="1245"/>
      <c r="T663" s="1248" t="s">
        <v>314</v>
      </c>
      <c r="U663" s="1247"/>
      <c r="V663" s="1247"/>
      <c r="W663" s="1247"/>
      <c r="X663" s="1247"/>
      <c r="Y663" s="1247"/>
      <c r="Z663" s="1247"/>
      <c r="AA663" s="1247"/>
      <c r="AB663" s="1247"/>
      <c r="AC663" s="1247"/>
      <c r="AD663" s="1247"/>
      <c r="AE663" s="1247"/>
      <c r="AF663" s="1247"/>
      <c r="AG663" s="1247"/>
      <c r="AH663" s="1247"/>
      <c r="AI663" s="1247"/>
      <c r="AJ663" s="1247"/>
      <c r="AK663" s="1247"/>
      <c r="AL663" s="1562"/>
      <c r="AM663" s="1544"/>
      <c r="AN663" s="1544" t="str">
        <f t="shared" si="10"/>
        <v>Добавить централизованную систему для дифференциации</v>
      </c>
      <c r="AO663" s="1544"/>
      <c r="AP663" s="1544"/>
    </row>
    <row r="664" spans="1:42" s="541" customFormat="1" ht="14.25" customHeight="1">
      <c r="A664" s="1265"/>
      <c r="B664" s="1265"/>
      <c r="C664" s="1265"/>
      <c r="D664" s="1265"/>
      <c r="E664" s="8883" t="s">
        <v>510</v>
      </c>
      <c r="F664" s="1265"/>
      <c r="G664" s="1265"/>
      <c r="H664" s="1265"/>
      <c r="I664" s="1265"/>
      <c r="J664" s="1265"/>
      <c r="K664" s="1265"/>
      <c r="L664" s="1466"/>
      <c r="M664" s="1244"/>
      <c r="N664" s="1244"/>
      <c r="O664" s="1562"/>
      <c r="P664" s="1239"/>
      <c r="Q664" s="1266"/>
      <c r="R664" s="1239"/>
      <c r="S664" s="1245"/>
      <c r="T664" s="1248" t="s">
        <v>315</v>
      </c>
      <c r="U664" s="1247"/>
      <c r="V664" s="1247"/>
      <c r="W664" s="1247"/>
      <c r="X664" s="1247"/>
      <c r="Y664" s="1247"/>
      <c r="Z664" s="1247"/>
      <c r="AA664" s="1247"/>
      <c r="AB664" s="1247"/>
      <c r="AC664" s="1247"/>
      <c r="AD664" s="1247"/>
      <c r="AE664" s="1247"/>
      <c r="AF664" s="1247"/>
      <c r="AG664" s="1247"/>
      <c r="AH664" s="1247"/>
      <c r="AI664" s="1247"/>
      <c r="AJ664" s="1247"/>
      <c r="AK664" s="1247"/>
      <c r="AL664" s="1562"/>
      <c r="AM664" s="1544"/>
      <c r="AN664" s="1544" t="str">
        <f t="shared" si="10"/>
        <v>Добавить территорию для дифференциации</v>
      </c>
      <c r="AO664" s="1544"/>
      <c r="AP664" s="1544"/>
    </row>
    <row r="665" spans="1:42" s="1818" customFormat="1" ht="23.25" customHeight="1">
      <c r="A665" s="1284" t="s">
        <v>524</v>
      </c>
      <c r="B665" s="1284"/>
      <c r="C665" s="1284"/>
      <c r="D665" s="1284"/>
      <c r="E665" s="8883" t="s">
        <v>522</v>
      </c>
      <c r="F665" s="1284"/>
      <c r="G665" s="1284"/>
      <c r="H665" s="1284"/>
      <c r="I665" s="1284"/>
      <c r="J665" s="1284"/>
      <c r="K665" s="1284"/>
      <c r="L665" s="1290"/>
      <c r="M665" s="1286"/>
      <c r="N665" s="1286"/>
      <c r="O665" s="1286"/>
      <c r="P665" s="1812"/>
      <c r="Q665" s="1742"/>
      <c r="R665" s="276"/>
      <c r="S665" s="1810" t="str">
        <f>INDEX(PT_DIFFERENTIATION_NUM_NTAR,MATCH(A665,PT_DIFFERENTIATION_NTAR_ID,0))</f>
        <v>40</v>
      </c>
      <c r="T665" s="1440" t="s">
        <v>211</v>
      </c>
      <c r="U665" s="214"/>
      <c r="V665" s="8869"/>
      <c r="W665" s="8870"/>
      <c r="X665" s="8870"/>
      <c r="Y665" s="8870"/>
      <c r="Z665" s="8870"/>
      <c r="AA665" s="8870"/>
      <c r="AB665" s="8871"/>
      <c r="AC665" s="8869" t="str">
        <f>INDEX(PT_DIFFERENTIATION_NTAR,MATCH(A665,PT_DIFFERENTIATION_NTAR_ID,0))</f>
        <v>Подвоз воды потребителям хутора Богатого</v>
      </c>
      <c r="AD665" s="8870"/>
      <c r="AE665" s="8870"/>
      <c r="AF665" s="8870"/>
      <c r="AG665" s="8870"/>
      <c r="AH665" s="8870"/>
      <c r="AI665" s="8870"/>
      <c r="AJ665" s="8871"/>
      <c r="AK66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665" s="1562"/>
      <c r="AM665" s="1544"/>
      <c r="AN665" s="1544" t="str">
        <f t="shared" si="10"/>
        <v>Наименование тарифа</v>
      </c>
      <c r="AO665" s="1544"/>
      <c r="AP665" s="1544"/>
    </row>
    <row r="666" spans="1:42" s="1818" customFormat="1" ht="23.25" customHeight="1">
      <c r="A666" s="1284"/>
      <c r="B666" s="1284" t="s">
        <v>525</v>
      </c>
      <c r="C666" s="1284"/>
      <c r="D666" s="1284"/>
      <c r="E666" s="8884" t="s">
        <v>516</v>
      </c>
      <c r="F666" s="8883">
        <v>1</v>
      </c>
      <c r="G666" s="1284"/>
      <c r="H666" s="1284"/>
      <c r="I666" s="1284"/>
      <c r="J666" s="1284"/>
      <c r="K666" s="1284"/>
      <c r="L666" s="1290"/>
      <c r="M666" s="1286"/>
      <c r="N666" s="1286"/>
      <c r="O666" s="1286"/>
      <c r="P666" s="1807"/>
      <c r="Q666" s="273"/>
      <c r="R666" s="274"/>
      <c r="S666" s="1810" t="str">
        <f>INDEX(PT_DIFFERENTIATION_NUM_TER,MATCH(B666,PT_DIFFERENTIATION_TER_ID,0))</f>
        <v>40.1</v>
      </c>
      <c r="T666" s="1437" t="s">
        <v>862</v>
      </c>
      <c r="U666" s="214"/>
      <c r="V666" s="8869"/>
      <c r="W666" s="8870"/>
      <c r="X666" s="8870"/>
      <c r="Y666" s="8870"/>
      <c r="Z666" s="8870"/>
      <c r="AA666" s="8870"/>
      <c r="AB666" s="8871"/>
      <c r="AC666" s="8869" t="str">
        <f>INDEX(PT_DIFFERENTIATION_TER,MATCH(B666,PT_DIFFERENTIATION_TER_ID,0))</f>
        <v>Территория 12</v>
      </c>
      <c r="AD666" s="8870"/>
      <c r="AE666" s="8870"/>
      <c r="AF666" s="8870"/>
      <c r="AG666" s="8870"/>
      <c r="AH666" s="8870"/>
      <c r="AI666" s="8870"/>
      <c r="AJ666" s="8871"/>
      <c r="AK666" s="1182" t="s">
        <v>863</v>
      </c>
      <c r="AL666" s="1562"/>
      <c r="AM666" s="1544"/>
      <c r="AN666" s="1544" t="str">
        <f t="shared" si="10"/>
        <v>Территория действия тарифа</v>
      </c>
      <c r="AO666" s="1544"/>
      <c r="AP666" s="1544"/>
    </row>
    <row r="667" spans="1:42" s="1818" customFormat="1" ht="23.25" customHeight="1">
      <c r="A667" s="1284"/>
      <c r="B667" s="1284"/>
      <c r="C667" s="1284" t="s">
        <v>526</v>
      </c>
      <c r="D667" s="1284"/>
      <c r="E667" s="8884" t="s">
        <v>516</v>
      </c>
      <c r="F667" s="8884"/>
      <c r="G667" s="8883">
        <v>1</v>
      </c>
      <c r="H667" s="1284"/>
      <c r="I667" s="1284"/>
      <c r="J667" s="1284"/>
      <c r="K667" s="1284"/>
      <c r="L667" s="1290"/>
      <c r="M667" s="1286"/>
      <c r="N667" s="1286"/>
      <c r="O667" s="1286"/>
      <c r="P667" s="275"/>
      <c r="Q667" s="273"/>
      <c r="R667" s="274"/>
      <c r="S667" s="1810" t="str">
        <f>INDEX(PT_DIFFERENTIATION_NUM_CS,MATCH(C667,PT_DIFFERENTIATION_CS_ID,0))</f>
        <v>40.1.1</v>
      </c>
      <c r="T667" s="225" t="s">
        <v>943</v>
      </c>
      <c r="U667" s="214"/>
      <c r="V667" s="8869"/>
      <c r="W667" s="8870"/>
      <c r="X667" s="8870"/>
      <c r="Y667" s="8870"/>
      <c r="Z667" s="8870"/>
      <c r="AA667" s="8870"/>
      <c r="AB667" s="8871"/>
      <c r="AC667" s="8869" t="str">
        <f>INDEX(PT_DIFFERENTIATION_CS,MATCH(C667,PT_DIFFERENTIATION_CS_ID,0))</f>
        <v>без дифференциации</v>
      </c>
      <c r="AD667" s="8870"/>
      <c r="AE667" s="8870"/>
      <c r="AF667" s="8870"/>
      <c r="AG667" s="8870"/>
      <c r="AH667" s="8870"/>
      <c r="AI667" s="8870"/>
      <c r="AJ667" s="8871"/>
      <c r="AK667" s="1182" t="s">
        <v>944</v>
      </c>
      <c r="AL667" s="1562"/>
      <c r="AM667" s="1544"/>
      <c r="AN667" s="1544" t="str">
        <f t="shared" si="10"/>
        <v>Наименование централизованной системы холодного водоснабжения</v>
      </c>
      <c r="AO667" s="1544"/>
      <c r="AP667" s="1544"/>
    </row>
    <row r="668" spans="1:42" s="1818" customFormat="1" ht="23.25" customHeight="1">
      <c r="A668" s="1284"/>
      <c r="B668" s="1284"/>
      <c r="C668" s="1284"/>
      <c r="D668" s="1284"/>
      <c r="E668" s="8884" t="s">
        <v>516</v>
      </c>
      <c r="F668" s="8884"/>
      <c r="G668" s="8884"/>
      <c r="H668" s="8884"/>
      <c r="I668" s="8881" t="str">
        <f>S667&amp;".1"</f>
        <v>40.1.1.1</v>
      </c>
      <c r="J668" s="1284"/>
      <c r="K668" s="1284"/>
      <c r="L668" s="1290"/>
      <c r="M668" s="1696"/>
      <c r="N668" s="1696"/>
      <c r="O668" s="1696"/>
      <c r="P668" s="8882">
        <v>1</v>
      </c>
      <c r="Q668" s="1811"/>
      <c r="R668" s="277"/>
      <c r="S668" s="1810" t="str">
        <f>$I668</f>
        <v>40.1.1.1</v>
      </c>
      <c r="T668" s="200" t="s">
        <v>945</v>
      </c>
      <c r="U668" s="214"/>
      <c r="V668" s="8942"/>
      <c r="W668" s="8943"/>
      <c r="X668" s="8943"/>
      <c r="Y668" s="8943"/>
      <c r="Z668" s="8943"/>
      <c r="AA668" s="8943"/>
      <c r="AB668" s="8944"/>
      <c r="AC668" s="8945"/>
      <c r="AD668" s="8946"/>
      <c r="AE668" s="8946"/>
      <c r="AF668" s="8946"/>
      <c r="AG668" s="8946"/>
      <c r="AH668" s="8946"/>
      <c r="AI668" s="8946"/>
      <c r="AJ668" s="8947"/>
      <c r="AK668" s="1182" t="s">
        <v>946</v>
      </c>
      <c r="AL668" s="1562"/>
      <c r="AM668" s="1544"/>
      <c r="AN668" s="1544" t="str">
        <f t="shared" si="10"/>
        <v>Наименование признака дифференциации</v>
      </c>
      <c r="AO668" s="1544"/>
      <c r="AP668" s="1544"/>
    </row>
    <row r="669" spans="1:42" s="1818" customFormat="1" ht="23.25" customHeight="1">
      <c r="A669" s="1284"/>
      <c r="B669" s="1284"/>
      <c r="C669" s="1284"/>
      <c r="D669" s="1284"/>
      <c r="E669" s="8884" t="s">
        <v>516</v>
      </c>
      <c r="F669" s="8884"/>
      <c r="G669" s="8884"/>
      <c r="H669" s="8884"/>
      <c r="I669" s="8904"/>
      <c r="J669" s="8881" t="str">
        <f>I668&amp;".1"</f>
        <v>40.1.1.1.1</v>
      </c>
      <c r="K669" s="1284"/>
      <c r="L669" s="1290" t="s">
        <v>871</v>
      </c>
      <c r="M669" s="1696"/>
      <c r="N669" s="1696"/>
      <c r="O669" s="1696"/>
      <c r="P669" s="8882"/>
      <c r="Q669" s="8882">
        <v>1</v>
      </c>
      <c r="R669" s="278"/>
      <c r="S669" s="1810" t="str">
        <f>$J669</f>
        <v>40.1.1.1.1</v>
      </c>
      <c r="T669" s="201" t="s">
        <v>872</v>
      </c>
      <c r="U669" s="214"/>
      <c r="V669" s="8872"/>
      <c r="W669" s="8873"/>
      <c r="X669" s="8873"/>
      <c r="Y669" s="8873"/>
      <c r="Z669" s="8873"/>
      <c r="AA669" s="8873"/>
      <c r="AB669" s="8874"/>
      <c r="AC669" s="8872" t="s">
        <v>961</v>
      </c>
      <c r="AD669" s="8873"/>
      <c r="AE669" s="8873"/>
      <c r="AF669" s="8873"/>
      <c r="AG669" s="8873"/>
      <c r="AH669" s="8873"/>
      <c r="AI669" s="8873"/>
      <c r="AJ669" s="8874"/>
      <c r="AK669" s="1231" t="s">
        <v>947</v>
      </c>
      <c r="AL669" s="1562"/>
      <c r="AM669" s="1544"/>
      <c r="AN669" s="1544" t="str">
        <f t="shared" si="10"/>
        <v>Группа потребителей</v>
      </c>
      <c r="AO669" s="1544"/>
      <c r="AP669" s="1544"/>
    </row>
    <row r="670" spans="1:42" s="1818" customFormat="1" ht="23.25" customHeight="1">
      <c r="A670" s="1284"/>
      <c r="B670" s="1284"/>
      <c r="C670" s="1284"/>
      <c r="D670" s="1284"/>
      <c r="E670" s="8884" t="s">
        <v>516</v>
      </c>
      <c r="F670" s="8884"/>
      <c r="G670" s="8884"/>
      <c r="H670" s="8884"/>
      <c r="I670" s="8904"/>
      <c r="J670" s="8904"/>
      <c r="K670" s="8881" t="str">
        <f>J669&amp;".1"</f>
        <v>40.1.1.1.1.1</v>
      </c>
      <c r="L670" s="1290"/>
      <c r="M670" s="1696"/>
      <c r="N670" s="1696"/>
      <c r="O670" s="1696"/>
      <c r="P670" s="8882"/>
      <c r="Q670" s="8882"/>
      <c r="R670" s="278">
        <v>1</v>
      </c>
      <c r="S670" s="1810" t="str">
        <f>$K670</f>
        <v>40.1.1.1.1.1</v>
      </c>
      <c r="T670" s="1357" t="s">
        <v>962</v>
      </c>
      <c r="U670" s="214"/>
      <c r="V670" s="666"/>
      <c r="W670" s="666"/>
      <c r="X670" s="1181"/>
      <c r="Y670" s="8886"/>
      <c r="Z670" s="8734" t="s">
        <v>63</v>
      </c>
      <c r="AA670" s="8886"/>
      <c r="AB670" s="8734" t="s">
        <v>63</v>
      </c>
      <c r="AC670" s="666">
        <v>588.74</v>
      </c>
      <c r="AD670" s="666"/>
      <c r="AE670" s="1181"/>
      <c r="AF670" s="8886">
        <v>45292</v>
      </c>
      <c r="AG670" s="8734" t="s">
        <v>63</v>
      </c>
      <c r="AH670" s="8905">
        <v>45657</v>
      </c>
      <c r="AI670" s="8734" t="s">
        <v>63</v>
      </c>
      <c r="AJ670" s="1358"/>
      <c r="AK67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70" s="1562" t="e">
        <f ca="1">STRCHECKDATE(V671:AJ671)</f>
        <v>#NAME?</v>
      </c>
      <c r="AM670" s="1544"/>
      <c r="AN670" s="1544" t="str">
        <f t="shared" si="10"/>
        <v>Тариф для населения, руб. за 1 куб. метр с НДС</v>
      </c>
      <c r="AO670" s="1544"/>
      <c r="AP670" s="1544"/>
    </row>
    <row r="671" spans="1:42" s="1818" customFormat="1" ht="14.25" customHeight="1">
      <c r="A671" s="1284"/>
      <c r="B671" s="1284"/>
      <c r="C671" s="1284"/>
      <c r="D671" s="1284"/>
      <c r="E671" s="8884" t="s">
        <v>516</v>
      </c>
      <c r="F671" s="8884"/>
      <c r="G671" s="8884"/>
      <c r="H671" s="8884"/>
      <c r="I671" s="8904"/>
      <c r="J671" s="8904"/>
      <c r="K671" s="8881"/>
      <c r="L671" s="1290"/>
      <c r="M671" s="1696"/>
      <c r="N671" s="1696"/>
      <c r="O671" s="1696"/>
      <c r="P671" s="8882"/>
      <c r="Q671" s="8882"/>
      <c r="R671" s="278"/>
      <c r="S671" s="1815"/>
      <c r="T671" s="214"/>
      <c r="U671" s="214"/>
      <c r="V671" s="246"/>
      <c r="W671" s="246"/>
      <c r="X671" s="250" t="str">
        <f>Y670&amp;"-"&amp;AA670</f>
        <v>-</v>
      </c>
      <c r="Y671" s="8887"/>
      <c r="Z671" s="8734"/>
      <c r="AA671" s="8887"/>
      <c r="AB671" s="8734"/>
      <c r="AC671" s="246"/>
      <c r="AD671" s="246"/>
      <c r="AE671" s="250" t="str">
        <f>AF670&amp;"-"&amp;AH670</f>
        <v>45292-45657</v>
      </c>
      <c r="AF671" s="8887"/>
      <c r="AG671" s="8734"/>
      <c r="AH671" s="8906"/>
      <c r="AI671" s="8734"/>
      <c r="AJ671" s="1359"/>
      <c r="AK671" s="8941"/>
      <c r="AL671" s="1562"/>
      <c r="AM671" s="1544"/>
      <c r="AN671" s="1544" t="str">
        <f t="shared" si="10"/>
        <v/>
      </c>
      <c r="AO671" s="1544"/>
      <c r="AP671" s="1544"/>
    </row>
    <row r="672" spans="1:42" s="1818" customFormat="1" ht="21" customHeight="1">
      <c r="A672" s="1284"/>
      <c r="B672" s="1284"/>
      <c r="C672" s="1284"/>
      <c r="D672" s="1284"/>
      <c r="E672" s="8884" t="s">
        <v>516</v>
      </c>
      <c r="F672" s="8884"/>
      <c r="G672" s="8884"/>
      <c r="H672" s="8884"/>
      <c r="I672" s="8904"/>
      <c r="J672" s="8881"/>
      <c r="K672" s="1284"/>
      <c r="L672" s="1290"/>
      <c r="M672" s="1696"/>
      <c r="N672" s="1696"/>
      <c r="O672" s="1696"/>
      <c r="P672" s="8882"/>
      <c r="Q672" s="8882"/>
      <c r="R672" s="277"/>
      <c r="S672" s="4685"/>
      <c r="T672" s="4686" t="s">
        <v>948</v>
      </c>
      <c r="U672" s="4687"/>
      <c r="V672" s="4688"/>
      <c r="W672" s="4689"/>
      <c r="X672" s="4690"/>
      <c r="Y672" s="4691"/>
      <c r="Z672" s="4692"/>
      <c r="AA672" s="4693"/>
      <c r="AB672" s="4694"/>
      <c r="AC672" s="4695"/>
      <c r="AD672" s="4696"/>
      <c r="AE672" s="4697"/>
      <c r="AF672" s="4698"/>
      <c r="AG672" s="4699"/>
      <c r="AH672" s="4700"/>
      <c r="AI672" s="4701"/>
      <c r="AJ672" s="4702"/>
      <c r="AK672" s="1182" t="s">
        <v>949</v>
      </c>
      <c r="AL672" s="1562"/>
      <c r="AM672" s="1544"/>
      <c r="AN672" s="1544" t="str">
        <f t="shared" si="10"/>
        <v>Добавить значение признака дифференциации</v>
      </c>
      <c r="AO672" s="1544"/>
      <c r="AP672" s="1544"/>
    </row>
    <row r="673" spans="1:42" s="1818" customFormat="1" ht="23.25" customHeight="1">
      <c r="A673" s="1284"/>
      <c r="B673" s="1284"/>
      <c r="C673" s="1284"/>
      <c r="D673" s="1284"/>
      <c r="E673" s="8884"/>
      <c r="F673" s="8884"/>
      <c r="G673" s="8884"/>
      <c r="H673" s="8884"/>
      <c r="I673" s="8904"/>
      <c r="J673" s="8881" t="str">
        <f>I668&amp;".2"</f>
        <v>40.1.1.1.2</v>
      </c>
      <c r="K673" s="1284"/>
      <c r="L673" s="1290" t="s">
        <v>871</v>
      </c>
      <c r="M673" s="1696"/>
      <c r="N673" s="1696"/>
      <c r="O673" s="1696"/>
      <c r="P673" s="8882"/>
      <c r="Q673" s="8948" t="s">
        <v>100</v>
      </c>
      <c r="R673" s="278"/>
      <c r="S673" s="1810" t="str">
        <f>$J673</f>
        <v>40.1.1.1.2</v>
      </c>
      <c r="T673" s="201" t="s">
        <v>872</v>
      </c>
      <c r="U673" s="214"/>
      <c r="V673" s="8872"/>
      <c r="W673" s="8873"/>
      <c r="X673" s="8873"/>
      <c r="Y673" s="8873"/>
      <c r="Z673" s="8873"/>
      <c r="AA673" s="8873"/>
      <c r="AB673" s="8874"/>
      <c r="AC673" s="8872" t="s">
        <v>963</v>
      </c>
      <c r="AD673" s="8873"/>
      <c r="AE673" s="8873"/>
      <c r="AF673" s="8873"/>
      <c r="AG673" s="8873"/>
      <c r="AH673" s="8873"/>
      <c r="AI673" s="8873"/>
      <c r="AJ673" s="8874"/>
      <c r="AK673" s="1231" t="s">
        <v>947</v>
      </c>
      <c r="AL673" s="1562"/>
      <c r="AM673" s="1544"/>
      <c r="AN673" s="1544" t="str">
        <f t="shared" si="10"/>
        <v>Группа потребителей</v>
      </c>
      <c r="AO673" s="1544"/>
      <c r="AP673" s="1544"/>
    </row>
    <row r="674" spans="1:42" s="1818" customFormat="1" ht="23.25" customHeight="1">
      <c r="A674" s="1284"/>
      <c r="B674" s="1284"/>
      <c r="C674" s="1284"/>
      <c r="D674" s="1284"/>
      <c r="E674" s="8884"/>
      <c r="F674" s="8884"/>
      <c r="G674" s="8884"/>
      <c r="H674" s="8884"/>
      <c r="I674" s="8904"/>
      <c r="J674" s="8904" t="str">
        <f>I668&amp;".1"</f>
        <v>40.1.1.1.1</v>
      </c>
      <c r="K674" s="8881" t="str">
        <f>J673&amp;".1"</f>
        <v>40.1.1.1.2.1</v>
      </c>
      <c r="L674" s="1290"/>
      <c r="M674" s="1696"/>
      <c r="N674" s="1696"/>
      <c r="O674" s="1696"/>
      <c r="P674" s="8882"/>
      <c r="Q674" s="8882"/>
      <c r="R674" s="278">
        <v>1</v>
      </c>
      <c r="S674" s="1810" t="str">
        <f>$K674</f>
        <v>40.1.1.1.2.1</v>
      </c>
      <c r="T674" s="1357" t="s">
        <v>964</v>
      </c>
      <c r="U674" s="214"/>
      <c r="V674" s="666"/>
      <c r="W674" s="666"/>
      <c r="X674" s="1181"/>
      <c r="Y674" s="8886"/>
      <c r="Z674" s="8734" t="s">
        <v>63</v>
      </c>
      <c r="AA674" s="8886"/>
      <c r="AB674" s="8734" t="s">
        <v>63</v>
      </c>
      <c r="AC674" s="666">
        <v>490.62</v>
      </c>
      <c r="AD674" s="666"/>
      <c r="AE674" s="1181"/>
      <c r="AF674" s="8886">
        <v>45292</v>
      </c>
      <c r="AG674" s="8734" t="s">
        <v>63</v>
      </c>
      <c r="AH674" s="8905">
        <v>45657</v>
      </c>
      <c r="AI674" s="8734" t="s">
        <v>63</v>
      </c>
      <c r="AJ674" s="1358"/>
      <c r="AK67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74" s="1562" t="e">
        <f ca="1">STRCHECKDATE(V675:AJ675)</f>
        <v>#NAME?</v>
      </c>
      <c r="AM674" s="1544"/>
      <c r="AN674" s="1544" t="str">
        <f t="shared" si="10"/>
        <v>Тариф, руб. за 1 куб. метр без НДС</v>
      </c>
      <c r="AO674" s="1544"/>
      <c r="AP674" s="1544"/>
    </row>
    <row r="675" spans="1:42" s="1818" customFormat="1" ht="14.25" customHeight="1">
      <c r="A675" s="1284"/>
      <c r="B675" s="1284"/>
      <c r="C675" s="1284"/>
      <c r="D675" s="1284"/>
      <c r="E675" s="8884"/>
      <c r="F675" s="8884"/>
      <c r="G675" s="8884"/>
      <c r="H675" s="8884"/>
      <c r="I675" s="8904"/>
      <c r="J675" s="8904" t="str">
        <f>I668&amp;".1"</f>
        <v>40.1.1.1.1</v>
      </c>
      <c r="K675" s="8881"/>
      <c r="L675" s="1290"/>
      <c r="M675" s="1696"/>
      <c r="N675" s="1696"/>
      <c r="O675" s="1696"/>
      <c r="P675" s="8882"/>
      <c r="Q675" s="8882"/>
      <c r="R675" s="278"/>
      <c r="S675" s="1815"/>
      <c r="T675" s="214"/>
      <c r="U675" s="214"/>
      <c r="V675" s="246"/>
      <c r="W675" s="246"/>
      <c r="X675" s="250" t="str">
        <f>Y674&amp;"-"&amp;AA674</f>
        <v>-</v>
      </c>
      <c r="Y675" s="8887"/>
      <c r="Z675" s="8734"/>
      <c r="AA675" s="8887"/>
      <c r="AB675" s="8734"/>
      <c r="AC675" s="246"/>
      <c r="AD675" s="246"/>
      <c r="AE675" s="250" t="str">
        <f>AF674&amp;"-"&amp;AH674</f>
        <v>45292-45657</v>
      </c>
      <c r="AF675" s="8887"/>
      <c r="AG675" s="8734"/>
      <c r="AH675" s="8906"/>
      <c r="AI675" s="8734"/>
      <c r="AJ675" s="1359"/>
      <c r="AK675" s="8941"/>
      <c r="AL675" s="1562"/>
      <c r="AM675" s="1544"/>
      <c r="AN675" s="1544" t="str">
        <f t="shared" si="10"/>
        <v/>
      </c>
      <c r="AO675" s="1544"/>
      <c r="AP675" s="1544"/>
    </row>
    <row r="676" spans="1:42" s="1818" customFormat="1" ht="21" customHeight="1">
      <c r="A676" s="1284"/>
      <c r="B676" s="1284"/>
      <c r="C676" s="1284"/>
      <c r="D676" s="1284"/>
      <c r="E676" s="8884"/>
      <c r="F676" s="8884"/>
      <c r="G676" s="8884"/>
      <c r="H676" s="8884"/>
      <c r="I676" s="8904"/>
      <c r="J676" s="8881" t="str">
        <f>I668&amp;".1"</f>
        <v>40.1.1.1.1</v>
      </c>
      <c r="K676" s="1284"/>
      <c r="L676" s="1290"/>
      <c r="M676" s="1696"/>
      <c r="N676" s="1696"/>
      <c r="O676" s="1696"/>
      <c r="P676" s="8882"/>
      <c r="Q676" s="8882"/>
      <c r="R676" s="277"/>
      <c r="S676" s="4703"/>
      <c r="T676" s="4704" t="s">
        <v>948</v>
      </c>
      <c r="U676" s="4705"/>
      <c r="V676" s="4706"/>
      <c r="W676" s="4707"/>
      <c r="X676" s="4708"/>
      <c r="Y676" s="4709"/>
      <c r="Z676" s="4710"/>
      <c r="AA676" s="4711"/>
      <c r="AB676" s="4712"/>
      <c r="AC676" s="4713"/>
      <c r="AD676" s="4714"/>
      <c r="AE676" s="4715"/>
      <c r="AF676" s="4716"/>
      <c r="AG676" s="4717"/>
      <c r="AH676" s="4718"/>
      <c r="AI676" s="4719"/>
      <c r="AJ676" s="4720"/>
      <c r="AK676" s="1182" t="s">
        <v>949</v>
      </c>
      <c r="AL676" s="1562"/>
      <c r="AM676" s="1544"/>
      <c r="AN676" s="1544" t="str">
        <f t="shared" si="10"/>
        <v>Добавить значение признака дифференциации</v>
      </c>
      <c r="AO676" s="1544"/>
      <c r="AP676" s="1544"/>
    </row>
    <row r="677" spans="1:42" s="1818" customFormat="1" ht="21" customHeight="1">
      <c r="A677" s="1284"/>
      <c r="B677" s="1284"/>
      <c r="C677" s="1284"/>
      <c r="D677" s="1284"/>
      <c r="E677" s="8884" t="s">
        <v>516</v>
      </c>
      <c r="F677" s="8884"/>
      <c r="G677" s="8884"/>
      <c r="H677" s="8884"/>
      <c r="I677" s="8881"/>
      <c r="J677" s="1284"/>
      <c r="K677" s="1284"/>
      <c r="L677" s="1290"/>
      <c r="M677" s="1696"/>
      <c r="N677" s="1696"/>
      <c r="O677" s="1696"/>
      <c r="P677" s="8882"/>
      <c r="Q677" s="1811"/>
      <c r="R677" s="277"/>
      <c r="S677" s="4721"/>
      <c r="T677" s="4722" t="s">
        <v>877</v>
      </c>
      <c r="U677" s="4723"/>
      <c r="V677" s="4724"/>
      <c r="W677" s="4725"/>
      <c r="X677" s="4726"/>
      <c r="Y677" s="4727"/>
      <c r="Z677" s="4728"/>
      <c r="AA677" s="4729"/>
      <c r="AB677" s="4730"/>
      <c r="AC677" s="4731"/>
      <c r="AD677" s="4732"/>
      <c r="AE677" s="4733"/>
      <c r="AF677" s="4734"/>
      <c r="AG677" s="4735"/>
      <c r="AH677" s="4736"/>
      <c r="AI677" s="4737"/>
      <c r="AJ677" s="4738"/>
      <c r="AK677" s="4739"/>
      <c r="AL677" s="1562"/>
      <c r="AM677" s="1544"/>
      <c r="AN677" s="1544" t="str">
        <f t="shared" si="10"/>
        <v>Добавить группу потребителей</v>
      </c>
      <c r="AO677" s="1544"/>
      <c r="AP677" s="1544"/>
    </row>
    <row r="678" spans="1:42" s="1818" customFormat="1" ht="21" customHeight="1">
      <c r="A678" s="1284"/>
      <c r="B678" s="1284"/>
      <c r="C678" s="1284"/>
      <c r="D678" s="1284"/>
      <c r="E678" s="8884" t="s">
        <v>516</v>
      </c>
      <c r="F678" s="8884"/>
      <c r="G678" s="8884"/>
      <c r="H678" s="8883"/>
      <c r="I678" s="1284"/>
      <c r="J678" s="1284"/>
      <c r="K678" s="1284"/>
      <c r="L678" s="1290"/>
      <c r="M678" s="1286"/>
      <c r="N678" s="1286"/>
      <c r="O678" s="1287"/>
      <c r="P678" s="1742"/>
      <c r="Q678" s="299"/>
      <c r="R678" s="276"/>
      <c r="S678" s="4740"/>
      <c r="T678" s="4741" t="s">
        <v>950</v>
      </c>
      <c r="U678" s="4742"/>
      <c r="V678" s="4743"/>
      <c r="W678" s="4744"/>
      <c r="X678" s="4745"/>
      <c r="Y678" s="4746"/>
      <c r="Z678" s="4747"/>
      <c r="AA678" s="4748"/>
      <c r="AB678" s="4749"/>
      <c r="AC678" s="4750"/>
      <c r="AD678" s="4751"/>
      <c r="AE678" s="4752"/>
      <c r="AF678" s="4753"/>
      <c r="AG678" s="4754"/>
      <c r="AH678" s="4755"/>
      <c r="AI678" s="4756"/>
      <c r="AJ678" s="4757"/>
      <c r="AK678" s="4758"/>
      <c r="AL678" s="1562"/>
      <c r="AM678" s="1544"/>
      <c r="AN678" s="1544" t="str">
        <f t="shared" si="10"/>
        <v>Добавить наименование признака дифференциации</v>
      </c>
      <c r="AO678" s="1544"/>
      <c r="AP678" s="1544"/>
    </row>
    <row r="679" spans="1:42" s="541" customFormat="1" ht="14.25" customHeight="1">
      <c r="A679" s="1265"/>
      <c r="B679" s="1265"/>
      <c r="C679" s="1265"/>
      <c r="D679" s="1265"/>
      <c r="E679" s="8884" t="s">
        <v>516</v>
      </c>
      <c r="F679" s="8883"/>
      <c r="G679" s="1265"/>
      <c r="H679" s="1265"/>
      <c r="I679" s="1265"/>
      <c r="J679" s="1265"/>
      <c r="K679" s="1265"/>
      <c r="L679" s="1466"/>
      <c r="M679" s="1244"/>
      <c r="N679" s="1244"/>
      <c r="O679" s="1562"/>
      <c r="P679" s="1239"/>
      <c r="Q679" s="1266"/>
      <c r="R679" s="1239"/>
      <c r="S679" s="1245"/>
      <c r="T679" s="1248" t="s">
        <v>314</v>
      </c>
      <c r="U679" s="1247"/>
      <c r="V679" s="1247"/>
      <c r="W679" s="1247"/>
      <c r="X679" s="1247"/>
      <c r="Y679" s="1247"/>
      <c r="Z679" s="1247"/>
      <c r="AA679" s="1247"/>
      <c r="AB679" s="1247"/>
      <c r="AC679" s="1247"/>
      <c r="AD679" s="1247"/>
      <c r="AE679" s="1247"/>
      <c r="AF679" s="1247"/>
      <c r="AG679" s="1247"/>
      <c r="AH679" s="1247"/>
      <c r="AI679" s="1247"/>
      <c r="AJ679" s="1247"/>
      <c r="AK679" s="1247"/>
      <c r="AL679" s="1562"/>
      <c r="AM679" s="1544"/>
      <c r="AN679" s="1544" t="str">
        <f t="shared" si="10"/>
        <v>Добавить централизованную систему для дифференциации</v>
      </c>
      <c r="AO679" s="1544"/>
      <c r="AP679" s="1544"/>
    </row>
    <row r="680" spans="1:42" s="541" customFormat="1" ht="14.25" customHeight="1">
      <c r="A680" s="1265"/>
      <c r="B680" s="1265"/>
      <c r="C680" s="1265"/>
      <c r="D680" s="1265"/>
      <c r="E680" s="8883" t="s">
        <v>516</v>
      </c>
      <c r="F680" s="1265"/>
      <c r="G680" s="1265"/>
      <c r="H680" s="1265"/>
      <c r="I680" s="1265"/>
      <c r="J680" s="1265"/>
      <c r="K680" s="1265"/>
      <c r="L680" s="1466"/>
      <c r="M680" s="1244"/>
      <c r="N680" s="1244"/>
      <c r="O680" s="1562"/>
      <c r="P680" s="1239"/>
      <c r="Q680" s="1266"/>
      <c r="R680" s="1239"/>
      <c r="S680" s="1245"/>
      <c r="T680" s="1248" t="s">
        <v>315</v>
      </c>
      <c r="U680" s="1247"/>
      <c r="V680" s="1247"/>
      <c r="W680" s="1247"/>
      <c r="X680" s="1247"/>
      <c r="Y680" s="1247"/>
      <c r="Z680" s="1247"/>
      <c r="AA680" s="1247"/>
      <c r="AB680" s="1247"/>
      <c r="AC680" s="1247"/>
      <c r="AD680" s="1247"/>
      <c r="AE680" s="1247"/>
      <c r="AF680" s="1247"/>
      <c r="AG680" s="1247"/>
      <c r="AH680" s="1247"/>
      <c r="AI680" s="1247"/>
      <c r="AJ680" s="1247"/>
      <c r="AK680" s="1247"/>
      <c r="AL680" s="1562"/>
      <c r="AM680" s="1544"/>
      <c r="AN680" s="1544" t="str">
        <f t="shared" si="10"/>
        <v>Добавить территорию для дифференциации</v>
      </c>
      <c r="AO680" s="1544"/>
      <c r="AP680" s="1544"/>
    </row>
    <row r="681" spans="1:42" s="1818" customFormat="1" ht="23.25" customHeight="1">
      <c r="A681" s="1284" t="s">
        <v>530</v>
      </c>
      <c r="B681" s="1284"/>
      <c r="C681" s="1284"/>
      <c r="D681" s="1284"/>
      <c r="E681" s="8883" t="s">
        <v>528</v>
      </c>
      <c r="F681" s="1284"/>
      <c r="G681" s="1284"/>
      <c r="H681" s="1284"/>
      <c r="I681" s="1284"/>
      <c r="J681" s="1284"/>
      <c r="K681" s="1284"/>
      <c r="L681" s="1290"/>
      <c r="M681" s="1286"/>
      <c r="N681" s="1286"/>
      <c r="O681" s="1286"/>
      <c r="P681" s="1812"/>
      <c r="Q681" s="1742"/>
      <c r="R681" s="276"/>
      <c r="S681" s="1810" t="str">
        <f>INDEX(PT_DIFFERENTIATION_NUM_NTAR,MATCH(A681,PT_DIFFERENTIATION_NTAR_ID,0))</f>
        <v>41</v>
      </c>
      <c r="T681" s="1440" t="s">
        <v>211</v>
      </c>
      <c r="U681" s="214"/>
      <c r="V681" s="8869"/>
      <c r="W681" s="8870"/>
      <c r="X681" s="8870"/>
      <c r="Y681" s="8870"/>
      <c r="Z681" s="8870"/>
      <c r="AA681" s="8870"/>
      <c r="AB681" s="8871"/>
      <c r="AC681" s="8869" t="str">
        <f>INDEX(PT_DIFFERENTIATION_NTAR,MATCH(A681,PT_DIFFERENTIATION_NTAR_ID,0))</f>
        <v>Подвоз воды потребителям хутора Верхнеегорлыкского</v>
      </c>
      <c r="AD681" s="8870"/>
      <c r="AE681" s="8870"/>
      <c r="AF681" s="8870"/>
      <c r="AG681" s="8870"/>
      <c r="AH681" s="8870"/>
      <c r="AI681" s="8870"/>
      <c r="AJ681" s="8871"/>
      <c r="AK68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681" s="1562"/>
      <c r="AM681" s="1544"/>
      <c r="AN681" s="1544" t="str">
        <f t="shared" ref="AN681:AN744" si="11">IF(T681="","",T681)</f>
        <v>Наименование тарифа</v>
      </c>
      <c r="AO681" s="1544"/>
      <c r="AP681" s="1544"/>
    </row>
    <row r="682" spans="1:42" s="1818" customFormat="1" ht="23.25" customHeight="1">
      <c r="A682" s="1284"/>
      <c r="B682" s="1284" t="s">
        <v>531</v>
      </c>
      <c r="C682" s="1284"/>
      <c r="D682" s="1284"/>
      <c r="E682" s="8884" t="s">
        <v>522</v>
      </c>
      <c r="F682" s="8883">
        <v>1</v>
      </c>
      <c r="G682" s="1284"/>
      <c r="H682" s="1284"/>
      <c r="I682" s="1284"/>
      <c r="J682" s="1284"/>
      <c r="K682" s="1284"/>
      <c r="L682" s="1290"/>
      <c r="M682" s="1286"/>
      <c r="N682" s="1286"/>
      <c r="O682" s="1286"/>
      <c r="P682" s="1807"/>
      <c r="Q682" s="273"/>
      <c r="R682" s="274"/>
      <c r="S682" s="1810" t="str">
        <f>INDEX(PT_DIFFERENTIATION_NUM_TER,MATCH(B682,PT_DIFFERENTIATION_TER_ID,0))</f>
        <v>41.1</v>
      </c>
      <c r="T682" s="1437" t="s">
        <v>862</v>
      </c>
      <c r="U682" s="214"/>
      <c r="V682" s="8869"/>
      <c r="W682" s="8870"/>
      <c r="X682" s="8870"/>
      <c r="Y682" s="8870"/>
      <c r="Z682" s="8870"/>
      <c r="AA682" s="8870"/>
      <c r="AB682" s="8871"/>
      <c r="AC682" s="8869" t="str">
        <f>INDEX(PT_DIFFERENTIATION_TER,MATCH(B682,PT_DIFFERENTIATION_TER_ID,0))</f>
        <v>Территория 12</v>
      </c>
      <c r="AD682" s="8870"/>
      <c r="AE682" s="8870"/>
      <c r="AF682" s="8870"/>
      <c r="AG682" s="8870"/>
      <c r="AH682" s="8870"/>
      <c r="AI682" s="8870"/>
      <c r="AJ682" s="8871"/>
      <c r="AK682" s="1182" t="s">
        <v>863</v>
      </c>
      <c r="AL682" s="1562"/>
      <c r="AM682" s="1544"/>
      <c r="AN682" s="1544" t="str">
        <f t="shared" si="11"/>
        <v>Территория действия тарифа</v>
      </c>
      <c r="AO682" s="1544"/>
      <c r="AP682" s="1544"/>
    </row>
    <row r="683" spans="1:42" s="1818" customFormat="1" ht="23.25" customHeight="1">
      <c r="A683" s="1284"/>
      <c r="B683" s="1284"/>
      <c r="C683" s="1284" t="s">
        <v>532</v>
      </c>
      <c r="D683" s="1284"/>
      <c r="E683" s="8884" t="s">
        <v>522</v>
      </c>
      <c r="F683" s="8884"/>
      <c r="G683" s="8883">
        <v>1</v>
      </c>
      <c r="H683" s="1284"/>
      <c r="I683" s="1284"/>
      <c r="J683" s="1284"/>
      <c r="K683" s="1284"/>
      <c r="L683" s="1290"/>
      <c r="M683" s="1286"/>
      <c r="N683" s="1286"/>
      <c r="O683" s="1286"/>
      <c r="P683" s="275"/>
      <c r="Q683" s="273"/>
      <c r="R683" s="274"/>
      <c r="S683" s="1810" t="str">
        <f>INDEX(PT_DIFFERENTIATION_NUM_CS,MATCH(C683,PT_DIFFERENTIATION_CS_ID,0))</f>
        <v>41.1.1</v>
      </c>
      <c r="T683" s="225" t="s">
        <v>943</v>
      </c>
      <c r="U683" s="214"/>
      <c r="V683" s="8869"/>
      <c r="W683" s="8870"/>
      <c r="X683" s="8870"/>
      <c r="Y683" s="8870"/>
      <c r="Z683" s="8870"/>
      <c r="AA683" s="8870"/>
      <c r="AB683" s="8871"/>
      <c r="AC683" s="8869" t="str">
        <f>INDEX(PT_DIFFERENTIATION_CS,MATCH(C683,PT_DIFFERENTIATION_CS_ID,0))</f>
        <v>без дифференциации</v>
      </c>
      <c r="AD683" s="8870"/>
      <c r="AE683" s="8870"/>
      <c r="AF683" s="8870"/>
      <c r="AG683" s="8870"/>
      <c r="AH683" s="8870"/>
      <c r="AI683" s="8870"/>
      <c r="AJ683" s="8871"/>
      <c r="AK683" s="1182" t="s">
        <v>944</v>
      </c>
      <c r="AL683" s="1562"/>
      <c r="AM683" s="1544"/>
      <c r="AN683" s="1544" t="str">
        <f t="shared" si="11"/>
        <v>Наименование централизованной системы холодного водоснабжения</v>
      </c>
      <c r="AO683" s="1544"/>
      <c r="AP683" s="1544"/>
    </row>
    <row r="684" spans="1:42" s="1818" customFormat="1" ht="23.25" customHeight="1">
      <c r="A684" s="1284"/>
      <c r="B684" s="1284"/>
      <c r="C684" s="1284"/>
      <c r="D684" s="1284"/>
      <c r="E684" s="8884" t="s">
        <v>522</v>
      </c>
      <c r="F684" s="8884"/>
      <c r="G684" s="8884"/>
      <c r="H684" s="8884"/>
      <c r="I684" s="8881" t="str">
        <f>S683&amp;".1"</f>
        <v>41.1.1.1</v>
      </c>
      <c r="J684" s="1284"/>
      <c r="K684" s="1284"/>
      <c r="L684" s="1290"/>
      <c r="M684" s="1696"/>
      <c r="N684" s="1696"/>
      <c r="O684" s="1696"/>
      <c r="P684" s="8882">
        <v>1</v>
      </c>
      <c r="Q684" s="1811"/>
      <c r="R684" s="277"/>
      <c r="S684" s="1810" t="str">
        <f>$I684</f>
        <v>41.1.1.1</v>
      </c>
      <c r="T684" s="200" t="s">
        <v>945</v>
      </c>
      <c r="U684" s="214"/>
      <c r="V684" s="8942"/>
      <c r="W684" s="8943"/>
      <c r="X684" s="8943"/>
      <c r="Y684" s="8943"/>
      <c r="Z684" s="8943"/>
      <c r="AA684" s="8943"/>
      <c r="AB684" s="8944"/>
      <c r="AC684" s="8945"/>
      <c r="AD684" s="8946"/>
      <c r="AE684" s="8946"/>
      <c r="AF684" s="8946"/>
      <c r="AG684" s="8946"/>
      <c r="AH684" s="8946"/>
      <c r="AI684" s="8946"/>
      <c r="AJ684" s="8947"/>
      <c r="AK684" s="1182" t="s">
        <v>946</v>
      </c>
      <c r="AL684" s="1562"/>
      <c r="AM684" s="1544"/>
      <c r="AN684" s="1544" t="str">
        <f t="shared" si="11"/>
        <v>Наименование признака дифференциации</v>
      </c>
      <c r="AO684" s="1544"/>
      <c r="AP684" s="1544"/>
    </row>
    <row r="685" spans="1:42" s="1818" customFormat="1" ht="23.25" customHeight="1">
      <c r="A685" s="1284"/>
      <c r="B685" s="1284"/>
      <c r="C685" s="1284"/>
      <c r="D685" s="1284"/>
      <c r="E685" s="8884" t="s">
        <v>522</v>
      </c>
      <c r="F685" s="8884"/>
      <c r="G685" s="8884"/>
      <c r="H685" s="8884"/>
      <c r="I685" s="8904"/>
      <c r="J685" s="8881" t="str">
        <f>I684&amp;".1"</f>
        <v>41.1.1.1.1</v>
      </c>
      <c r="K685" s="1284"/>
      <c r="L685" s="1290" t="s">
        <v>871</v>
      </c>
      <c r="M685" s="1696"/>
      <c r="N685" s="1696"/>
      <c r="O685" s="1696"/>
      <c r="P685" s="8882"/>
      <c r="Q685" s="8882">
        <v>1</v>
      </c>
      <c r="R685" s="278"/>
      <c r="S685" s="1810" t="str">
        <f>$J685</f>
        <v>41.1.1.1.1</v>
      </c>
      <c r="T685" s="201" t="s">
        <v>872</v>
      </c>
      <c r="U685" s="214"/>
      <c r="V685" s="8872"/>
      <c r="W685" s="8873"/>
      <c r="X685" s="8873"/>
      <c r="Y685" s="8873"/>
      <c r="Z685" s="8873"/>
      <c r="AA685" s="8873"/>
      <c r="AB685" s="8874"/>
      <c r="AC685" s="8872" t="s">
        <v>961</v>
      </c>
      <c r="AD685" s="8873"/>
      <c r="AE685" s="8873"/>
      <c r="AF685" s="8873"/>
      <c r="AG685" s="8873"/>
      <c r="AH685" s="8873"/>
      <c r="AI685" s="8873"/>
      <c r="AJ685" s="8874"/>
      <c r="AK685" s="1231" t="s">
        <v>947</v>
      </c>
      <c r="AL685" s="1562"/>
      <c r="AM685" s="1544"/>
      <c r="AN685" s="1544" t="str">
        <f t="shared" si="11"/>
        <v>Группа потребителей</v>
      </c>
      <c r="AO685" s="1544"/>
      <c r="AP685" s="1544"/>
    </row>
    <row r="686" spans="1:42" s="1818" customFormat="1" ht="23.25" customHeight="1">
      <c r="A686" s="1284"/>
      <c r="B686" s="1284"/>
      <c r="C686" s="1284"/>
      <c r="D686" s="1284"/>
      <c r="E686" s="8884" t="s">
        <v>522</v>
      </c>
      <c r="F686" s="8884"/>
      <c r="G686" s="8884"/>
      <c r="H686" s="8884"/>
      <c r="I686" s="8904"/>
      <c r="J686" s="8904"/>
      <c r="K686" s="8881" t="str">
        <f>J685&amp;".1"</f>
        <v>41.1.1.1.1.1</v>
      </c>
      <c r="L686" s="1290"/>
      <c r="M686" s="1696"/>
      <c r="N686" s="1696"/>
      <c r="O686" s="1696"/>
      <c r="P686" s="8882"/>
      <c r="Q686" s="8882"/>
      <c r="R686" s="278">
        <v>1</v>
      </c>
      <c r="S686" s="1810" t="str">
        <f>$K686</f>
        <v>41.1.1.1.1.1</v>
      </c>
      <c r="T686" s="1357" t="s">
        <v>962</v>
      </c>
      <c r="U686" s="214"/>
      <c r="V686" s="666"/>
      <c r="W686" s="666"/>
      <c r="X686" s="1181"/>
      <c r="Y686" s="8886"/>
      <c r="Z686" s="8734" t="s">
        <v>63</v>
      </c>
      <c r="AA686" s="8886"/>
      <c r="AB686" s="8734" t="s">
        <v>63</v>
      </c>
      <c r="AC686" s="666">
        <v>594.24</v>
      </c>
      <c r="AD686" s="666"/>
      <c r="AE686" s="1181"/>
      <c r="AF686" s="8886">
        <v>45292</v>
      </c>
      <c r="AG686" s="8734" t="s">
        <v>63</v>
      </c>
      <c r="AH686" s="8905">
        <v>45657</v>
      </c>
      <c r="AI686" s="8734" t="s">
        <v>63</v>
      </c>
      <c r="AJ686" s="1358"/>
      <c r="AK68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86" s="1562" t="e">
        <f ca="1">STRCHECKDATE(V687:AJ687)</f>
        <v>#NAME?</v>
      </c>
      <c r="AM686" s="1544"/>
      <c r="AN686" s="1544" t="str">
        <f t="shared" si="11"/>
        <v>Тариф для населения, руб. за 1 куб. метр с НДС</v>
      </c>
      <c r="AO686" s="1544"/>
      <c r="AP686" s="1544"/>
    </row>
    <row r="687" spans="1:42" s="1818" customFormat="1" ht="14.25" customHeight="1">
      <c r="A687" s="1284"/>
      <c r="B687" s="1284"/>
      <c r="C687" s="1284"/>
      <c r="D687" s="1284"/>
      <c r="E687" s="8884" t="s">
        <v>522</v>
      </c>
      <c r="F687" s="8884"/>
      <c r="G687" s="8884"/>
      <c r="H687" s="8884"/>
      <c r="I687" s="8904"/>
      <c r="J687" s="8904"/>
      <c r="K687" s="8881"/>
      <c r="L687" s="1290"/>
      <c r="M687" s="1696"/>
      <c r="N687" s="1696"/>
      <c r="O687" s="1696"/>
      <c r="P687" s="8882"/>
      <c r="Q687" s="8882"/>
      <c r="R687" s="278"/>
      <c r="S687" s="1815"/>
      <c r="T687" s="214"/>
      <c r="U687" s="214"/>
      <c r="V687" s="246"/>
      <c r="W687" s="246"/>
      <c r="X687" s="250" t="str">
        <f>Y686&amp;"-"&amp;AA686</f>
        <v>-</v>
      </c>
      <c r="Y687" s="8887"/>
      <c r="Z687" s="8734"/>
      <c r="AA687" s="8887"/>
      <c r="AB687" s="8734"/>
      <c r="AC687" s="246"/>
      <c r="AD687" s="246"/>
      <c r="AE687" s="250" t="str">
        <f>AF686&amp;"-"&amp;AH686</f>
        <v>45292-45657</v>
      </c>
      <c r="AF687" s="8887"/>
      <c r="AG687" s="8734"/>
      <c r="AH687" s="8906"/>
      <c r="AI687" s="8734"/>
      <c r="AJ687" s="1359"/>
      <c r="AK687" s="8941"/>
      <c r="AL687" s="1562"/>
      <c r="AM687" s="1544"/>
      <c r="AN687" s="1544" t="str">
        <f t="shared" si="11"/>
        <v/>
      </c>
      <c r="AO687" s="1544"/>
      <c r="AP687" s="1544"/>
    </row>
    <row r="688" spans="1:42" s="1818" customFormat="1" ht="21" customHeight="1">
      <c r="A688" s="1284"/>
      <c r="B688" s="1284"/>
      <c r="C688" s="1284"/>
      <c r="D688" s="1284"/>
      <c r="E688" s="8884" t="s">
        <v>522</v>
      </c>
      <c r="F688" s="8884"/>
      <c r="G688" s="8884"/>
      <c r="H688" s="8884"/>
      <c r="I688" s="8904"/>
      <c r="J688" s="8881"/>
      <c r="K688" s="1284"/>
      <c r="L688" s="1290"/>
      <c r="M688" s="1696"/>
      <c r="N688" s="1696"/>
      <c r="O688" s="1696"/>
      <c r="P688" s="8882"/>
      <c r="Q688" s="8882"/>
      <c r="R688" s="277"/>
      <c r="S688" s="4759"/>
      <c r="T688" s="4760" t="s">
        <v>948</v>
      </c>
      <c r="U688" s="4761"/>
      <c r="V688" s="4762"/>
      <c r="W688" s="4763"/>
      <c r="X688" s="4764"/>
      <c r="Y688" s="4765"/>
      <c r="Z688" s="4766"/>
      <c r="AA688" s="4767"/>
      <c r="AB688" s="4768"/>
      <c r="AC688" s="4769"/>
      <c r="AD688" s="4770"/>
      <c r="AE688" s="4771"/>
      <c r="AF688" s="4772"/>
      <c r="AG688" s="4773"/>
      <c r="AH688" s="4774"/>
      <c r="AI688" s="4775"/>
      <c r="AJ688" s="4776"/>
      <c r="AK688" s="1182" t="s">
        <v>949</v>
      </c>
      <c r="AL688" s="1562"/>
      <c r="AM688" s="1544"/>
      <c r="AN688" s="1544" t="str">
        <f t="shared" si="11"/>
        <v>Добавить значение признака дифференциации</v>
      </c>
      <c r="AO688" s="1544"/>
      <c r="AP688" s="1544"/>
    </row>
    <row r="689" spans="1:42" s="1818" customFormat="1" ht="23.25" customHeight="1">
      <c r="A689" s="1284"/>
      <c r="B689" s="1284"/>
      <c r="C689" s="1284"/>
      <c r="D689" s="1284"/>
      <c r="E689" s="8884"/>
      <c r="F689" s="8884"/>
      <c r="G689" s="8884"/>
      <c r="H689" s="8884"/>
      <c r="I689" s="8904"/>
      <c r="J689" s="8881" t="str">
        <f>I684&amp;".2"</f>
        <v>41.1.1.1.2</v>
      </c>
      <c r="K689" s="1284"/>
      <c r="L689" s="1290" t="s">
        <v>871</v>
      </c>
      <c r="M689" s="1696"/>
      <c r="N689" s="1696"/>
      <c r="O689" s="1696"/>
      <c r="P689" s="8882"/>
      <c r="Q689" s="8948" t="s">
        <v>100</v>
      </c>
      <c r="R689" s="278"/>
      <c r="S689" s="1810" t="str">
        <f>$J689</f>
        <v>41.1.1.1.2</v>
      </c>
      <c r="T689" s="201" t="s">
        <v>872</v>
      </c>
      <c r="U689" s="214"/>
      <c r="V689" s="8872"/>
      <c r="W689" s="8873"/>
      <c r="X689" s="8873"/>
      <c r="Y689" s="8873"/>
      <c r="Z689" s="8873"/>
      <c r="AA689" s="8873"/>
      <c r="AB689" s="8874"/>
      <c r="AC689" s="8872" t="s">
        <v>963</v>
      </c>
      <c r="AD689" s="8873"/>
      <c r="AE689" s="8873"/>
      <c r="AF689" s="8873"/>
      <c r="AG689" s="8873"/>
      <c r="AH689" s="8873"/>
      <c r="AI689" s="8873"/>
      <c r="AJ689" s="8874"/>
      <c r="AK689" s="1231" t="s">
        <v>947</v>
      </c>
      <c r="AL689" s="1562"/>
      <c r="AM689" s="1544"/>
      <c r="AN689" s="1544" t="str">
        <f t="shared" si="11"/>
        <v>Группа потребителей</v>
      </c>
      <c r="AO689" s="1544"/>
      <c r="AP689" s="1544"/>
    </row>
    <row r="690" spans="1:42" s="1818" customFormat="1" ht="23.25" customHeight="1">
      <c r="A690" s="1284"/>
      <c r="B690" s="1284"/>
      <c r="C690" s="1284"/>
      <c r="D690" s="1284"/>
      <c r="E690" s="8884"/>
      <c r="F690" s="8884"/>
      <c r="G690" s="8884"/>
      <c r="H690" s="8884"/>
      <c r="I690" s="8904"/>
      <c r="J690" s="8904" t="str">
        <f>I684&amp;".1"</f>
        <v>41.1.1.1.1</v>
      </c>
      <c r="K690" s="8881" t="str">
        <f>J689&amp;".1"</f>
        <v>41.1.1.1.2.1</v>
      </c>
      <c r="L690" s="1290"/>
      <c r="M690" s="1696"/>
      <c r="N690" s="1696"/>
      <c r="O690" s="1696"/>
      <c r="P690" s="8882"/>
      <c r="Q690" s="8882"/>
      <c r="R690" s="278">
        <v>1</v>
      </c>
      <c r="S690" s="1810" t="str">
        <f>$K690</f>
        <v>41.1.1.1.2.1</v>
      </c>
      <c r="T690" s="1357" t="s">
        <v>964</v>
      </c>
      <c r="U690" s="214"/>
      <c r="V690" s="666"/>
      <c r="W690" s="666"/>
      <c r="X690" s="1181"/>
      <c r="Y690" s="8886"/>
      <c r="Z690" s="8734" t="s">
        <v>63</v>
      </c>
      <c r="AA690" s="8886"/>
      <c r="AB690" s="8734" t="s">
        <v>63</v>
      </c>
      <c r="AC690" s="666">
        <v>495.2</v>
      </c>
      <c r="AD690" s="666"/>
      <c r="AE690" s="1181"/>
      <c r="AF690" s="8886">
        <v>45292</v>
      </c>
      <c r="AG690" s="8734" t="s">
        <v>63</v>
      </c>
      <c r="AH690" s="8905">
        <v>45657</v>
      </c>
      <c r="AI690" s="8734" t="s">
        <v>63</v>
      </c>
      <c r="AJ690" s="1358"/>
      <c r="AK69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90" s="1562" t="e">
        <f ca="1">STRCHECKDATE(V691:AJ691)</f>
        <v>#NAME?</v>
      </c>
      <c r="AM690" s="1544"/>
      <c r="AN690" s="1544" t="str">
        <f t="shared" si="11"/>
        <v>Тариф, руб. за 1 куб. метр без НДС</v>
      </c>
      <c r="AO690" s="1544"/>
      <c r="AP690" s="1544"/>
    </row>
    <row r="691" spans="1:42" s="1818" customFormat="1" ht="14.25" customHeight="1">
      <c r="A691" s="1284"/>
      <c r="B691" s="1284"/>
      <c r="C691" s="1284"/>
      <c r="D691" s="1284"/>
      <c r="E691" s="8884"/>
      <c r="F691" s="8884"/>
      <c r="G691" s="8884"/>
      <c r="H691" s="8884"/>
      <c r="I691" s="8904"/>
      <c r="J691" s="8904" t="str">
        <f>I684&amp;".1"</f>
        <v>41.1.1.1.1</v>
      </c>
      <c r="K691" s="8881"/>
      <c r="L691" s="1290"/>
      <c r="M691" s="1696"/>
      <c r="N691" s="1696"/>
      <c r="O691" s="1696"/>
      <c r="P691" s="8882"/>
      <c r="Q691" s="8882"/>
      <c r="R691" s="278"/>
      <c r="S691" s="1815"/>
      <c r="T691" s="214"/>
      <c r="U691" s="214"/>
      <c r="V691" s="246"/>
      <c r="W691" s="246"/>
      <c r="X691" s="250" t="str">
        <f>Y690&amp;"-"&amp;AA690</f>
        <v>-</v>
      </c>
      <c r="Y691" s="8887"/>
      <c r="Z691" s="8734"/>
      <c r="AA691" s="8887"/>
      <c r="AB691" s="8734"/>
      <c r="AC691" s="246"/>
      <c r="AD691" s="246"/>
      <c r="AE691" s="250" t="str">
        <f>AF690&amp;"-"&amp;AH690</f>
        <v>45292-45657</v>
      </c>
      <c r="AF691" s="8887"/>
      <c r="AG691" s="8734"/>
      <c r="AH691" s="8906"/>
      <c r="AI691" s="8734"/>
      <c r="AJ691" s="1359"/>
      <c r="AK691" s="8941"/>
      <c r="AL691" s="1562"/>
      <c r="AM691" s="1544"/>
      <c r="AN691" s="1544" t="str">
        <f t="shared" si="11"/>
        <v/>
      </c>
      <c r="AO691" s="1544"/>
      <c r="AP691" s="1544"/>
    </row>
    <row r="692" spans="1:42" s="1818" customFormat="1" ht="21" customHeight="1">
      <c r="A692" s="1284"/>
      <c r="B692" s="1284"/>
      <c r="C692" s="1284"/>
      <c r="D692" s="1284"/>
      <c r="E692" s="8884"/>
      <c r="F692" s="8884"/>
      <c r="G692" s="8884"/>
      <c r="H692" s="8884"/>
      <c r="I692" s="8904"/>
      <c r="J692" s="8881" t="str">
        <f>I684&amp;".1"</f>
        <v>41.1.1.1.1</v>
      </c>
      <c r="K692" s="1284"/>
      <c r="L692" s="1290"/>
      <c r="M692" s="1696"/>
      <c r="N692" s="1696"/>
      <c r="O692" s="1696"/>
      <c r="P692" s="8882"/>
      <c r="Q692" s="8882"/>
      <c r="R692" s="277"/>
      <c r="S692" s="4777"/>
      <c r="T692" s="4778" t="s">
        <v>948</v>
      </c>
      <c r="U692" s="4779"/>
      <c r="V692" s="4780"/>
      <c r="W692" s="4781"/>
      <c r="X692" s="4782"/>
      <c r="Y692" s="4783"/>
      <c r="Z692" s="4784"/>
      <c r="AA692" s="4785"/>
      <c r="AB692" s="4786"/>
      <c r="AC692" s="4787"/>
      <c r="AD692" s="4788"/>
      <c r="AE692" s="4789"/>
      <c r="AF692" s="4790"/>
      <c r="AG692" s="4791"/>
      <c r="AH692" s="4792"/>
      <c r="AI692" s="4793"/>
      <c r="AJ692" s="4794"/>
      <c r="AK692" s="1182" t="s">
        <v>949</v>
      </c>
      <c r="AL692" s="1562"/>
      <c r="AM692" s="1544"/>
      <c r="AN692" s="1544" t="str">
        <f t="shared" si="11"/>
        <v>Добавить значение признака дифференциации</v>
      </c>
      <c r="AO692" s="1544"/>
      <c r="AP692" s="1544"/>
    </row>
    <row r="693" spans="1:42" s="1818" customFormat="1" ht="21" customHeight="1">
      <c r="A693" s="1284"/>
      <c r="B693" s="1284"/>
      <c r="C693" s="1284"/>
      <c r="D693" s="1284"/>
      <c r="E693" s="8884" t="s">
        <v>522</v>
      </c>
      <c r="F693" s="8884"/>
      <c r="G693" s="8884"/>
      <c r="H693" s="8884"/>
      <c r="I693" s="8881"/>
      <c r="J693" s="1284"/>
      <c r="K693" s="1284"/>
      <c r="L693" s="1290"/>
      <c r="M693" s="1696"/>
      <c r="N693" s="1696"/>
      <c r="O693" s="1696"/>
      <c r="P693" s="8882"/>
      <c r="Q693" s="1811"/>
      <c r="R693" s="277"/>
      <c r="S693" s="4795"/>
      <c r="T693" s="4796" t="s">
        <v>877</v>
      </c>
      <c r="U693" s="4797"/>
      <c r="V693" s="4798"/>
      <c r="W693" s="4799"/>
      <c r="X693" s="4800"/>
      <c r="Y693" s="4801"/>
      <c r="Z693" s="4802"/>
      <c r="AA693" s="4803"/>
      <c r="AB693" s="4804"/>
      <c r="AC693" s="4805"/>
      <c r="AD693" s="4806"/>
      <c r="AE693" s="4807"/>
      <c r="AF693" s="4808"/>
      <c r="AG693" s="4809"/>
      <c r="AH693" s="4810"/>
      <c r="AI693" s="4811"/>
      <c r="AJ693" s="4812"/>
      <c r="AK693" s="4813"/>
      <c r="AL693" s="1562"/>
      <c r="AM693" s="1544"/>
      <c r="AN693" s="1544" t="str">
        <f t="shared" si="11"/>
        <v>Добавить группу потребителей</v>
      </c>
      <c r="AO693" s="1544"/>
      <c r="AP693" s="1544"/>
    </row>
    <row r="694" spans="1:42" s="1818" customFormat="1" ht="21" customHeight="1">
      <c r="A694" s="1284"/>
      <c r="B694" s="1284"/>
      <c r="C694" s="1284"/>
      <c r="D694" s="1284"/>
      <c r="E694" s="8884" t="s">
        <v>522</v>
      </c>
      <c r="F694" s="8884"/>
      <c r="G694" s="8884"/>
      <c r="H694" s="8883"/>
      <c r="I694" s="1284"/>
      <c r="J694" s="1284"/>
      <c r="K694" s="1284"/>
      <c r="L694" s="1290"/>
      <c r="M694" s="1286"/>
      <c r="N694" s="1286"/>
      <c r="O694" s="1287"/>
      <c r="P694" s="1742"/>
      <c r="Q694" s="299"/>
      <c r="R694" s="276"/>
      <c r="S694" s="4814"/>
      <c r="T694" s="4815" t="s">
        <v>950</v>
      </c>
      <c r="U694" s="4816"/>
      <c r="V694" s="4817"/>
      <c r="W694" s="4818"/>
      <c r="X694" s="4819"/>
      <c r="Y694" s="4820"/>
      <c r="Z694" s="4821"/>
      <c r="AA694" s="4822"/>
      <c r="AB694" s="4823"/>
      <c r="AC694" s="4824"/>
      <c r="AD694" s="4825"/>
      <c r="AE694" s="4826"/>
      <c r="AF694" s="4827"/>
      <c r="AG694" s="4828"/>
      <c r="AH694" s="4829"/>
      <c r="AI694" s="4830"/>
      <c r="AJ694" s="4831"/>
      <c r="AK694" s="4832"/>
      <c r="AL694" s="1562"/>
      <c r="AM694" s="1544"/>
      <c r="AN694" s="1544" t="str">
        <f t="shared" si="11"/>
        <v>Добавить наименование признака дифференциации</v>
      </c>
      <c r="AO694" s="1544"/>
      <c r="AP694" s="1544"/>
    </row>
    <row r="695" spans="1:42" s="541" customFormat="1" ht="14.25" customHeight="1">
      <c r="A695" s="1265"/>
      <c r="B695" s="1265"/>
      <c r="C695" s="1265"/>
      <c r="D695" s="1265"/>
      <c r="E695" s="8884" t="s">
        <v>522</v>
      </c>
      <c r="F695" s="8883"/>
      <c r="G695" s="1265"/>
      <c r="H695" s="1265"/>
      <c r="I695" s="1265"/>
      <c r="J695" s="1265"/>
      <c r="K695" s="1265"/>
      <c r="L695" s="1466"/>
      <c r="M695" s="1244"/>
      <c r="N695" s="1244"/>
      <c r="O695" s="1562"/>
      <c r="P695" s="1239"/>
      <c r="Q695" s="1266"/>
      <c r="R695" s="1239"/>
      <c r="S695" s="1245"/>
      <c r="T695" s="1248" t="s">
        <v>314</v>
      </c>
      <c r="U695" s="1247"/>
      <c r="V695" s="1247"/>
      <c r="W695" s="1247"/>
      <c r="X695" s="1247"/>
      <c r="Y695" s="1247"/>
      <c r="Z695" s="1247"/>
      <c r="AA695" s="1247"/>
      <c r="AB695" s="1247"/>
      <c r="AC695" s="1247"/>
      <c r="AD695" s="1247"/>
      <c r="AE695" s="1247"/>
      <c r="AF695" s="1247"/>
      <c r="AG695" s="1247"/>
      <c r="AH695" s="1247"/>
      <c r="AI695" s="1247"/>
      <c r="AJ695" s="1247"/>
      <c r="AK695" s="1247"/>
      <c r="AL695" s="1562"/>
      <c r="AM695" s="1544"/>
      <c r="AN695" s="1544" t="str">
        <f t="shared" si="11"/>
        <v>Добавить централизованную систему для дифференциации</v>
      </c>
      <c r="AO695" s="1544"/>
      <c r="AP695" s="1544"/>
    </row>
    <row r="696" spans="1:42" s="541" customFormat="1" ht="14.25" customHeight="1">
      <c r="A696" s="1265"/>
      <c r="B696" s="1265"/>
      <c r="C696" s="1265"/>
      <c r="D696" s="1265"/>
      <c r="E696" s="8883" t="s">
        <v>522</v>
      </c>
      <c r="F696" s="1265"/>
      <c r="G696" s="1265"/>
      <c r="H696" s="1265"/>
      <c r="I696" s="1265"/>
      <c r="J696" s="1265"/>
      <c r="K696" s="1265"/>
      <c r="L696" s="1466"/>
      <c r="M696" s="1244"/>
      <c r="N696" s="1244"/>
      <c r="O696" s="1562"/>
      <c r="P696" s="1239"/>
      <c r="Q696" s="1266"/>
      <c r="R696" s="1239"/>
      <c r="S696" s="1245"/>
      <c r="T696" s="1248" t="s">
        <v>315</v>
      </c>
      <c r="U696" s="1247"/>
      <c r="V696" s="1247"/>
      <c r="W696" s="1247"/>
      <c r="X696" s="1247"/>
      <c r="Y696" s="1247"/>
      <c r="Z696" s="1247"/>
      <c r="AA696" s="1247"/>
      <c r="AB696" s="1247"/>
      <c r="AC696" s="1247"/>
      <c r="AD696" s="1247"/>
      <c r="AE696" s="1247"/>
      <c r="AF696" s="1247"/>
      <c r="AG696" s="1247"/>
      <c r="AH696" s="1247"/>
      <c r="AI696" s="1247"/>
      <c r="AJ696" s="1247"/>
      <c r="AK696" s="1247"/>
      <c r="AL696" s="1562"/>
      <c r="AM696" s="1544"/>
      <c r="AN696" s="1544" t="str">
        <f t="shared" si="11"/>
        <v>Добавить территорию для дифференциации</v>
      </c>
      <c r="AO696" s="1544"/>
      <c r="AP696" s="1544"/>
    </row>
    <row r="697" spans="1:42" s="1818" customFormat="1" ht="23.25" customHeight="1">
      <c r="A697" s="1284" t="s">
        <v>535</v>
      </c>
      <c r="B697" s="1284"/>
      <c r="C697" s="1284"/>
      <c r="D697" s="1284"/>
      <c r="E697" s="8883" t="s">
        <v>534</v>
      </c>
      <c r="F697" s="1284"/>
      <c r="G697" s="1284"/>
      <c r="H697" s="1284"/>
      <c r="I697" s="1284"/>
      <c r="J697" s="1284"/>
      <c r="K697" s="1284"/>
      <c r="L697" s="1290"/>
      <c r="M697" s="1286"/>
      <c r="N697" s="1286"/>
      <c r="O697" s="1286"/>
      <c r="P697" s="1812"/>
      <c r="Q697" s="1742"/>
      <c r="R697" s="276"/>
      <c r="S697" s="1810" t="str">
        <f>INDEX(PT_DIFFERENTIATION_NUM_NTAR,MATCH(A697,PT_DIFFERENTIATION_NTAR_ID,0))</f>
        <v>42</v>
      </c>
      <c r="T697" s="1440" t="s">
        <v>211</v>
      </c>
      <c r="U697" s="214"/>
      <c r="V697" s="8869"/>
      <c r="W697" s="8870"/>
      <c r="X697" s="8870"/>
      <c r="Y697" s="8870"/>
      <c r="Z697" s="8870"/>
      <c r="AA697" s="8870"/>
      <c r="AB697" s="8871"/>
      <c r="AC697" s="8869" t="str">
        <f>INDEX(PT_DIFFERENTIATION_NTAR,MATCH(A697,PT_DIFFERENTIATION_NTAR_ID,0))</f>
        <v>Подвоз воды потребителям хутора Садового</v>
      </c>
      <c r="AD697" s="8870"/>
      <c r="AE697" s="8870"/>
      <c r="AF697" s="8870"/>
      <c r="AG697" s="8870"/>
      <c r="AH697" s="8870"/>
      <c r="AI697" s="8870"/>
      <c r="AJ697" s="8871"/>
      <c r="AK69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697" s="1562"/>
      <c r="AM697" s="1544"/>
      <c r="AN697" s="1544" t="str">
        <f t="shared" si="11"/>
        <v>Наименование тарифа</v>
      </c>
      <c r="AO697" s="1544"/>
      <c r="AP697" s="1544"/>
    </row>
    <row r="698" spans="1:42" s="1818" customFormat="1" ht="23.25" customHeight="1">
      <c r="A698" s="1284"/>
      <c r="B698" s="1284" t="s">
        <v>536</v>
      </c>
      <c r="C698" s="1284"/>
      <c r="D698" s="1284"/>
      <c r="E698" s="8884" t="s">
        <v>528</v>
      </c>
      <c r="F698" s="8883">
        <v>1</v>
      </c>
      <c r="G698" s="1284"/>
      <c r="H698" s="1284"/>
      <c r="I698" s="1284"/>
      <c r="J698" s="1284"/>
      <c r="K698" s="1284"/>
      <c r="L698" s="1290"/>
      <c r="M698" s="1286"/>
      <c r="N698" s="1286"/>
      <c r="O698" s="1286"/>
      <c r="P698" s="1807"/>
      <c r="Q698" s="273"/>
      <c r="R698" s="274"/>
      <c r="S698" s="1810" t="str">
        <f>INDEX(PT_DIFFERENTIATION_NUM_TER,MATCH(B698,PT_DIFFERENTIATION_TER_ID,0))</f>
        <v>42.1</v>
      </c>
      <c r="T698" s="1437" t="s">
        <v>862</v>
      </c>
      <c r="U698" s="214"/>
      <c r="V698" s="8869"/>
      <c r="W698" s="8870"/>
      <c r="X698" s="8870"/>
      <c r="Y698" s="8870"/>
      <c r="Z698" s="8870"/>
      <c r="AA698" s="8870"/>
      <c r="AB698" s="8871"/>
      <c r="AC698" s="8869" t="str">
        <f>INDEX(PT_DIFFERENTIATION_TER,MATCH(B698,PT_DIFFERENTIATION_TER_ID,0))</f>
        <v>Территория 12</v>
      </c>
      <c r="AD698" s="8870"/>
      <c r="AE698" s="8870"/>
      <c r="AF698" s="8870"/>
      <c r="AG698" s="8870"/>
      <c r="AH698" s="8870"/>
      <c r="AI698" s="8870"/>
      <c r="AJ698" s="8871"/>
      <c r="AK698" s="1182" t="s">
        <v>863</v>
      </c>
      <c r="AL698" s="1562"/>
      <c r="AM698" s="1544"/>
      <c r="AN698" s="1544" t="str">
        <f t="shared" si="11"/>
        <v>Территория действия тарифа</v>
      </c>
      <c r="AO698" s="1544"/>
      <c r="AP698" s="1544"/>
    </row>
    <row r="699" spans="1:42" s="1818" customFormat="1" ht="23.25" customHeight="1">
      <c r="A699" s="1284"/>
      <c r="B699" s="1284"/>
      <c r="C699" s="1284" t="s">
        <v>537</v>
      </c>
      <c r="D699" s="1284"/>
      <c r="E699" s="8884" t="s">
        <v>528</v>
      </c>
      <c r="F699" s="8884"/>
      <c r="G699" s="8883">
        <v>1</v>
      </c>
      <c r="H699" s="1284"/>
      <c r="I699" s="1284"/>
      <c r="J699" s="1284"/>
      <c r="K699" s="1284"/>
      <c r="L699" s="1290"/>
      <c r="M699" s="1286"/>
      <c r="N699" s="1286"/>
      <c r="O699" s="1286"/>
      <c r="P699" s="275"/>
      <c r="Q699" s="273"/>
      <c r="R699" s="274"/>
      <c r="S699" s="1810" t="str">
        <f>INDEX(PT_DIFFERENTIATION_NUM_CS,MATCH(C699,PT_DIFFERENTIATION_CS_ID,0))</f>
        <v>42.1.1</v>
      </c>
      <c r="T699" s="225" t="s">
        <v>943</v>
      </c>
      <c r="U699" s="214"/>
      <c r="V699" s="8869"/>
      <c r="W699" s="8870"/>
      <c r="X699" s="8870"/>
      <c r="Y699" s="8870"/>
      <c r="Z699" s="8870"/>
      <c r="AA699" s="8870"/>
      <c r="AB699" s="8871"/>
      <c r="AC699" s="8869" t="str">
        <f>INDEX(PT_DIFFERENTIATION_CS,MATCH(C699,PT_DIFFERENTIATION_CS_ID,0))</f>
        <v>без дифференциации</v>
      </c>
      <c r="AD699" s="8870"/>
      <c r="AE699" s="8870"/>
      <c r="AF699" s="8870"/>
      <c r="AG699" s="8870"/>
      <c r="AH699" s="8870"/>
      <c r="AI699" s="8870"/>
      <c r="AJ699" s="8871"/>
      <c r="AK699" s="1182" t="s">
        <v>944</v>
      </c>
      <c r="AL699" s="1562"/>
      <c r="AM699" s="1544"/>
      <c r="AN699" s="1544" t="str">
        <f t="shared" si="11"/>
        <v>Наименование централизованной системы холодного водоснабжения</v>
      </c>
      <c r="AO699" s="1544"/>
      <c r="AP699" s="1544"/>
    </row>
    <row r="700" spans="1:42" s="1818" customFormat="1" ht="23.25" customHeight="1">
      <c r="A700" s="1284"/>
      <c r="B700" s="1284"/>
      <c r="C700" s="1284"/>
      <c r="D700" s="1284"/>
      <c r="E700" s="8884" t="s">
        <v>528</v>
      </c>
      <c r="F700" s="8884"/>
      <c r="G700" s="8884"/>
      <c r="H700" s="8884"/>
      <c r="I700" s="8881" t="str">
        <f>S699&amp;".1"</f>
        <v>42.1.1.1</v>
      </c>
      <c r="J700" s="1284"/>
      <c r="K700" s="1284"/>
      <c r="L700" s="1290"/>
      <c r="M700" s="1696"/>
      <c r="N700" s="1696"/>
      <c r="O700" s="1696"/>
      <c r="P700" s="8882">
        <v>1</v>
      </c>
      <c r="Q700" s="1811"/>
      <c r="R700" s="277"/>
      <c r="S700" s="1810" t="str">
        <f>$I700</f>
        <v>42.1.1.1</v>
      </c>
      <c r="T700" s="200" t="s">
        <v>945</v>
      </c>
      <c r="U700" s="214"/>
      <c r="V700" s="8942"/>
      <c r="W700" s="8943"/>
      <c r="X700" s="8943"/>
      <c r="Y700" s="8943"/>
      <c r="Z700" s="8943"/>
      <c r="AA700" s="8943"/>
      <c r="AB700" s="8944"/>
      <c r="AC700" s="8945"/>
      <c r="AD700" s="8946"/>
      <c r="AE700" s="8946"/>
      <c r="AF700" s="8946"/>
      <c r="AG700" s="8946"/>
      <c r="AH700" s="8946"/>
      <c r="AI700" s="8946"/>
      <c r="AJ700" s="8947"/>
      <c r="AK700" s="1182" t="s">
        <v>946</v>
      </c>
      <c r="AL700" s="1562"/>
      <c r="AM700" s="1544"/>
      <c r="AN700" s="1544" t="str">
        <f t="shared" si="11"/>
        <v>Наименование признака дифференциации</v>
      </c>
      <c r="AO700" s="1544"/>
      <c r="AP700" s="1544"/>
    </row>
    <row r="701" spans="1:42" s="1818" customFormat="1" ht="23.25" customHeight="1">
      <c r="A701" s="1284"/>
      <c r="B701" s="1284"/>
      <c r="C701" s="1284"/>
      <c r="D701" s="1284"/>
      <c r="E701" s="8884" t="s">
        <v>528</v>
      </c>
      <c r="F701" s="8884"/>
      <c r="G701" s="8884"/>
      <c r="H701" s="8884"/>
      <c r="I701" s="8904"/>
      <c r="J701" s="8881" t="str">
        <f>I700&amp;".1"</f>
        <v>42.1.1.1.1</v>
      </c>
      <c r="K701" s="1284"/>
      <c r="L701" s="1290" t="s">
        <v>871</v>
      </c>
      <c r="M701" s="1696"/>
      <c r="N701" s="1696"/>
      <c r="O701" s="1696"/>
      <c r="P701" s="8882"/>
      <c r="Q701" s="8882">
        <v>1</v>
      </c>
      <c r="R701" s="278"/>
      <c r="S701" s="1810" t="str">
        <f>$J701</f>
        <v>42.1.1.1.1</v>
      </c>
      <c r="T701" s="201" t="s">
        <v>872</v>
      </c>
      <c r="U701" s="214"/>
      <c r="V701" s="8872"/>
      <c r="W701" s="8873"/>
      <c r="X701" s="8873"/>
      <c r="Y701" s="8873"/>
      <c r="Z701" s="8873"/>
      <c r="AA701" s="8873"/>
      <c r="AB701" s="8874"/>
      <c r="AC701" s="8872" t="s">
        <v>961</v>
      </c>
      <c r="AD701" s="8873"/>
      <c r="AE701" s="8873"/>
      <c r="AF701" s="8873"/>
      <c r="AG701" s="8873"/>
      <c r="AH701" s="8873"/>
      <c r="AI701" s="8873"/>
      <c r="AJ701" s="8874"/>
      <c r="AK701" s="1231" t="s">
        <v>947</v>
      </c>
      <c r="AL701" s="1562"/>
      <c r="AM701" s="1544"/>
      <c r="AN701" s="1544" t="str">
        <f t="shared" si="11"/>
        <v>Группа потребителей</v>
      </c>
      <c r="AO701" s="1544"/>
      <c r="AP701" s="1544"/>
    </row>
    <row r="702" spans="1:42" s="1818" customFormat="1" ht="23.25" customHeight="1">
      <c r="A702" s="1284"/>
      <c r="B702" s="1284"/>
      <c r="C702" s="1284"/>
      <c r="D702" s="1284"/>
      <c r="E702" s="8884" t="s">
        <v>528</v>
      </c>
      <c r="F702" s="8884"/>
      <c r="G702" s="8884"/>
      <c r="H702" s="8884"/>
      <c r="I702" s="8904"/>
      <c r="J702" s="8904"/>
      <c r="K702" s="8881" t="str">
        <f>J701&amp;".1"</f>
        <v>42.1.1.1.1.1</v>
      </c>
      <c r="L702" s="1290"/>
      <c r="M702" s="1696"/>
      <c r="N702" s="1696"/>
      <c r="O702" s="1696"/>
      <c r="P702" s="8882"/>
      <c r="Q702" s="8882"/>
      <c r="R702" s="278">
        <v>1</v>
      </c>
      <c r="S702" s="1810" t="str">
        <f>$K702</f>
        <v>42.1.1.1.1.1</v>
      </c>
      <c r="T702" s="1357" t="s">
        <v>962</v>
      </c>
      <c r="U702" s="214"/>
      <c r="V702" s="666"/>
      <c r="W702" s="666"/>
      <c r="X702" s="1181"/>
      <c r="Y702" s="8886"/>
      <c r="Z702" s="8734" t="s">
        <v>63</v>
      </c>
      <c r="AA702" s="8886"/>
      <c r="AB702" s="8734" t="s">
        <v>63</v>
      </c>
      <c r="AC702" s="666">
        <v>562.21</v>
      </c>
      <c r="AD702" s="666"/>
      <c r="AE702" s="1181"/>
      <c r="AF702" s="8886">
        <v>45292</v>
      </c>
      <c r="AG702" s="8734" t="s">
        <v>63</v>
      </c>
      <c r="AH702" s="8905">
        <v>45657</v>
      </c>
      <c r="AI702" s="8734" t="s">
        <v>63</v>
      </c>
      <c r="AJ702" s="1358"/>
      <c r="AK70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02" s="1562" t="e">
        <f ca="1">STRCHECKDATE(V703:AJ703)</f>
        <v>#NAME?</v>
      </c>
      <c r="AM702" s="1544"/>
      <c r="AN702" s="1544" t="str">
        <f t="shared" si="11"/>
        <v>Тариф для населения, руб. за 1 куб. метр с НДС</v>
      </c>
      <c r="AO702" s="1544"/>
      <c r="AP702" s="1544"/>
    </row>
    <row r="703" spans="1:42" s="1818" customFormat="1" ht="14.25" customHeight="1">
      <c r="A703" s="1284"/>
      <c r="B703" s="1284"/>
      <c r="C703" s="1284"/>
      <c r="D703" s="1284"/>
      <c r="E703" s="8884" t="s">
        <v>528</v>
      </c>
      <c r="F703" s="8884"/>
      <c r="G703" s="8884"/>
      <c r="H703" s="8884"/>
      <c r="I703" s="8904"/>
      <c r="J703" s="8904"/>
      <c r="K703" s="8881"/>
      <c r="L703" s="1290"/>
      <c r="M703" s="1696"/>
      <c r="N703" s="1696"/>
      <c r="O703" s="1696"/>
      <c r="P703" s="8882"/>
      <c r="Q703" s="8882"/>
      <c r="R703" s="278"/>
      <c r="S703" s="1815"/>
      <c r="T703" s="214"/>
      <c r="U703" s="214"/>
      <c r="V703" s="246"/>
      <c r="W703" s="246"/>
      <c r="X703" s="250" t="str">
        <f>Y702&amp;"-"&amp;AA702</f>
        <v>-</v>
      </c>
      <c r="Y703" s="8887"/>
      <c r="Z703" s="8734"/>
      <c r="AA703" s="8887"/>
      <c r="AB703" s="8734"/>
      <c r="AC703" s="246"/>
      <c r="AD703" s="246"/>
      <c r="AE703" s="250" t="str">
        <f>AF702&amp;"-"&amp;AH702</f>
        <v>45292-45657</v>
      </c>
      <c r="AF703" s="8887"/>
      <c r="AG703" s="8734"/>
      <c r="AH703" s="8906"/>
      <c r="AI703" s="8734"/>
      <c r="AJ703" s="1359"/>
      <c r="AK703" s="8941"/>
      <c r="AL703" s="1562"/>
      <c r="AM703" s="1544"/>
      <c r="AN703" s="1544" t="str">
        <f t="shared" si="11"/>
        <v/>
      </c>
      <c r="AO703" s="1544"/>
      <c r="AP703" s="1544"/>
    </row>
    <row r="704" spans="1:42" s="1818" customFormat="1" ht="21" customHeight="1">
      <c r="A704" s="1284"/>
      <c r="B704" s="1284"/>
      <c r="C704" s="1284"/>
      <c r="D704" s="1284"/>
      <c r="E704" s="8884" t="s">
        <v>528</v>
      </c>
      <c r="F704" s="8884"/>
      <c r="G704" s="8884"/>
      <c r="H704" s="8884"/>
      <c r="I704" s="8904"/>
      <c r="J704" s="8881"/>
      <c r="K704" s="1284"/>
      <c r="L704" s="1290"/>
      <c r="M704" s="1696"/>
      <c r="N704" s="1696"/>
      <c r="O704" s="1696"/>
      <c r="P704" s="8882"/>
      <c r="Q704" s="8882"/>
      <c r="R704" s="277"/>
      <c r="S704" s="4833"/>
      <c r="T704" s="4834" t="s">
        <v>948</v>
      </c>
      <c r="U704" s="4835"/>
      <c r="V704" s="4836"/>
      <c r="W704" s="4837"/>
      <c r="X704" s="4838"/>
      <c r="Y704" s="4839"/>
      <c r="Z704" s="4840"/>
      <c r="AA704" s="4841"/>
      <c r="AB704" s="4842"/>
      <c r="AC704" s="4843"/>
      <c r="AD704" s="4844"/>
      <c r="AE704" s="4845"/>
      <c r="AF704" s="4846"/>
      <c r="AG704" s="4847"/>
      <c r="AH704" s="4848"/>
      <c r="AI704" s="4849"/>
      <c r="AJ704" s="4850"/>
      <c r="AK704" s="1182" t="s">
        <v>949</v>
      </c>
      <c r="AL704" s="1562"/>
      <c r="AM704" s="1544"/>
      <c r="AN704" s="1544" t="str">
        <f t="shared" si="11"/>
        <v>Добавить значение признака дифференциации</v>
      </c>
      <c r="AO704" s="1544"/>
      <c r="AP704" s="1544"/>
    </row>
    <row r="705" spans="1:42" s="1818" customFormat="1" ht="23.25" customHeight="1">
      <c r="A705" s="1284"/>
      <c r="B705" s="1284"/>
      <c r="C705" s="1284"/>
      <c r="D705" s="1284"/>
      <c r="E705" s="8884"/>
      <c r="F705" s="8884"/>
      <c r="G705" s="8884"/>
      <c r="H705" s="8884"/>
      <c r="I705" s="8904"/>
      <c r="J705" s="8881" t="str">
        <f>I700&amp;".2"</f>
        <v>42.1.1.1.2</v>
      </c>
      <c r="K705" s="1284"/>
      <c r="L705" s="1290" t="s">
        <v>871</v>
      </c>
      <c r="M705" s="1696"/>
      <c r="N705" s="1696"/>
      <c r="O705" s="1696"/>
      <c r="P705" s="8882"/>
      <c r="Q705" s="8948" t="s">
        <v>100</v>
      </c>
      <c r="R705" s="278"/>
      <c r="S705" s="1810" t="str">
        <f>$J705</f>
        <v>42.1.1.1.2</v>
      </c>
      <c r="T705" s="201" t="s">
        <v>872</v>
      </c>
      <c r="U705" s="214"/>
      <c r="V705" s="8872"/>
      <c r="W705" s="8873"/>
      <c r="X705" s="8873"/>
      <c r="Y705" s="8873"/>
      <c r="Z705" s="8873"/>
      <c r="AA705" s="8873"/>
      <c r="AB705" s="8874"/>
      <c r="AC705" s="8872" t="s">
        <v>963</v>
      </c>
      <c r="AD705" s="8873"/>
      <c r="AE705" s="8873"/>
      <c r="AF705" s="8873"/>
      <c r="AG705" s="8873"/>
      <c r="AH705" s="8873"/>
      <c r="AI705" s="8873"/>
      <c r="AJ705" s="8874"/>
      <c r="AK705" s="1231" t="s">
        <v>947</v>
      </c>
      <c r="AL705" s="1562"/>
      <c r="AM705" s="1544"/>
      <c r="AN705" s="1544" t="str">
        <f t="shared" si="11"/>
        <v>Группа потребителей</v>
      </c>
      <c r="AO705" s="1544"/>
      <c r="AP705" s="1544"/>
    </row>
    <row r="706" spans="1:42" s="1818" customFormat="1" ht="23.25" customHeight="1">
      <c r="A706" s="1284"/>
      <c r="B706" s="1284"/>
      <c r="C706" s="1284"/>
      <c r="D706" s="1284"/>
      <c r="E706" s="8884"/>
      <c r="F706" s="8884"/>
      <c r="G706" s="8884"/>
      <c r="H706" s="8884"/>
      <c r="I706" s="8904"/>
      <c r="J706" s="8904" t="str">
        <f>I700&amp;".1"</f>
        <v>42.1.1.1.1</v>
      </c>
      <c r="K706" s="8881" t="str">
        <f>J705&amp;".1"</f>
        <v>42.1.1.1.2.1</v>
      </c>
      <c r="L706" s="1290"/>
      <c r="M706" s="1696"/>
      <c r="N706" s="1696"/>
      <c r="O706" s="1696"/>
      <c r="P706" s="8882"/>
      <c r="Q706" s="8882"/>
      <c r="R706" s="278">
        <v>1</v>
      </c>
      <c r="S706" s="1810" t="str">
        <f>$K706</f>
        <v>42.1.1.1.2.1</v>
      </c>
      <c r="T706" s="1357" t="s">
        <v>964</v>
      </c>
      <c r="U706" s="214"/>
      <c r="V706" s="666"/>
      <c r="W706" s="666"/>
      <c r="X706" s="1181"/>
      <c r="Y706" s="8886"/>
      <c r="Z706" s="8734" t="s">
        <v>63</v>
      </c>
      <c r="AA706" s="8886"/>
      <c r="AB706" s="8734" t="s">
        <v>63</v>
      </c>
      <c r="AC706" s="666">
        <v>468.51</v>
      </c>
      <c r="AD706" s="666"/>
      <c r="AE706" s="1181"/>
      <c r="AF706" s="8886">
        <v>45292</v>
      </c>
      <c r="AG706" s="8734" t="s">
        <v>63</v>
      </c>
      <c r="AH706" s="8905">
        <v>45657</v>
      </c>
      <c r="AI706" s="8734" t="s">
        <v>63</v>
      </c>
      <c r="AJ706" s="1358"/>
      <c r="AK70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06" s="1562" t="e">
        <f ca="1">STRCHECKDATE(V707:AJ707)</f>
        <v>#NAME?</v>
      </c>
      <c r="AM706" s="1544"/>
      <c r="AN706" s="1544" t="str">
        <f t="shared" si="11"/>
        <v>Тариф, руб. за 1 куб. метр без НДС</v>
      </c>
      <c r="AO706" s="1544"/>
      <c r="AP706" s="1544"/>
    </row>
    <row r="707" spans="1:42" s="1818" customFormat="1" ht="14.25" customHeight="1">
      <c r="A707" s="1284"/>
      <c r="B707" s="1284"/>
      <c r="C707" s="1284"/>
      <c r="D707" s="1284"/>
      <c r="E707" s="8884"/>
      <c r="F707" s="8884"/>
      <c r="G707" s="8884"/>
      <c r="H707" s="8884"/>
      <c r="I707" s="8904"/>
      <c r="J707" s="8904" t="str">
        <f>I700&amp;".1"</f>
        <v>42.1.1.1.1</v>
      </c>
      <c r="K707" s="8881"/>
      <c r="L707" s="1290"/>
      <c r="M707" s="1696"/>
      <c r="N707" s="1696"/>
      <c r="O707" s="1696"/>
      <c r="P707" s="8882"/>
      <c r="Q707" s="8882"/>
      <c r="R707" s="278"/>
      <c r="S707" s="1815"/>
      <c r="T707" s="214"/>
      <c r="U707" s="214"/>
      <c r="V707" s="246"/>
      <c r="W707" s="246"/>
      <c r="X707" s="250" t="str">
        <f>Y706&amp;"-"&amp;AA706</f>
        <v>-</v>
      </c>
      <c r="Y707" s="8887"/>
      <c r="Z707" s="8734"/>
      <c r="AA707" s="8887"/>
      <c r="AB707" s="8734"/>
      <c r="AC707" s="246"/>
      <c r="AD707" s="246"/>
      <c r="AE707" s="250" t="str">
        <f>AF706&amp;"-"&amp;AH706</f>
        <v>45292-45657</v>
      </c>
      <c r="AF707" s="8887"/>
      <c r="AG707" s="8734"/>
      <c r="AH707" s="8906"/>
      <c r="AI707" s="8734"/>
      <c r="AJ707" s="1359"/>
      <c r="AK707" s="8941"/>
      <c r="AL707" s="1562"/>
      <c r="AM707" s="1544"/>
      <c r="AN707" s="1544" t="str">
        <f t="shared" si="11"/>
        <v/>
      </c>
      <c r="AO707" s="1544"/>
      <c r="AP707" s="1544"/>
    </row>
    <row r="708" spans="1:42" s="1818" customFormat="1" ht="21" customHeight="1">
      <c r="A708" s="1284"/>
      <c r="B708" s="1284"/>
      <c r="C708" s="1284"/>
      <c r="D708" s="1284"/>
      <c r="E708" s="8884"/>
      <c r="F708" s="8884"/>
      <c r="G708" s="8884"/>
      <c r="H708" s="8884"/>
      <c r="I708" s="8904"/>
      <c r="J708" s="8881" t="str">
        <f>I700&amp;".1"</f>
        <v>42.1.1.1.1</v>
      </c>
      <c r="K708" s="1284"/>
      <c r="L708" s="1290"/>
      <c r="M708" s="1696"/>
      <c r="N708" s="1696"/>
      <c r="O708" s="1696"/>
      <c r="P708" s="8882"/>
      <c r="Q708" s="8882"/>
      <c r="R708" s="277"/>
      <c r="S708" s="4851"/>
      <c r="T708" s="4852" t="s">
        <v>948</v>
      </c>
      <c r="U708" s="4853"/>
      <c r="V708" s="4854"/>
      <c r="W708" s="4855"/>
      <c r="X708" s="4856"/>
      <c r="Y708" s="4857"/>
      <c r="Z708" s="4858"/>
      <c r="AA708" s="4859"/>
      <c r="AB708" s="4860"/>
      <c r="AC708" s="4861"/>
      <c r="AD708" s="4862"/>
      <c r="AE708" s="4863"/>
      <c r="AF708" s="4864"/>
      <c r="AG708" s="4865"/>
      <c r="AH708" s="4866"/>
      <c r="AI708" s="4867"/>
      <c r="AJ708" s="4868"/>
      <c r="AK708" s="1182" t="s">
        <v>949</v>
      </c>
      <c r="AL708" s="1562"/>
      <c r="AM708" s="1544"/>
      <c r="AN708" s="1544" t="str">
        <f t="shared" si="11"/>
        <v>Добавить значение признака дифференциации</v>
      </c>
      <c r="AO708" s="1544"/>
      <c r="AP708" s="1544"/>
    </row>
    <row r="709" spans="1:42" s="1818" customFormat="1" ht="21" customHeight="1">
      <c r="A709" s="1284"/>
      <c r="B709" s="1284"/>
      <c r="C709" s="1284"/>
      <c r="D709" s="1284"/>
      <c r="E709" s="8884" t="s">
        <v>528</v>
      </c>
      <c r="F709" s="8884"/>
      <c r="G709" s="8884"/>
      <c r="H709" s="8884"/>
      <c r="I709" s="8881"/>
      <c r="J709" s="1284"/>
      <c r="K709" s="1284"/>
      <c r="L709" s="1290"/>
      <c r="M709" s="1696"/>
      <c r="N709" s="1696"/>
      <c r="O709" s="1696"/>
      <c r="P709" s="8882"/>
      <c r="Q709" s="1811"/>
      <c r="R709" s="277"/>
      <c r="S709" s="4869"/>
      <c r="T709" s="4870" t="s">
        <v>877</v>
      </c>
      <c r="U709" s="4871"/>
      <c r="V709" s="4872"/>
      <c r="W709" s="4873"/>
      <c r="X709" s="4874"/>
      <c r="Y709" s="4875"/>
      <c r="Z709" s="4876"/>
      <c r="AA709" s="4877"/>
      <c r="AB709" s="4878"/>
      <c r="AC709" s="4879"/>
      <c r="AD709" s="4880"/>
      <c r="AE709" s="4881"/>
      <c r="AF709" s="4882"/>
      <c r="AG709" s="4883"/>
      <c r="AH709" s="4884"/>
      <c r="AI709" s="4885"/>
      <c r="AJ709" s="4886"/>
      <c r="AK709" s="4887"/>
      <c r="AL709" s="1562"/>
      <c r="AM709" s="1544"/>
      <c r="AN709" s="1544" t="str">
        <f t="shared" si="11"/>
        <v>Добавить группу потребителей</v>
      </c>
      <c r="AO709" s="1544"/>
      <c r="AP709" s="1544"/>
    </row>
    <row r="710" spans="1:42" s="1818" customFormat="1" ht="21" customHeight="1">
      <c r="A710" s="1284"/>
      <c r="B710" s="1284"/>
      <c r="C710" s="1284"/>
      <c r="D710" s="1284"/>
      <c r="E710" s="8884" t="s">
        <v>528</v>
      </c>
      <c r="F710" s="8884"/>
      <c r="G710" s="8884"/>
      <c r="H710" s="8883"/>
      <c r="I710" s="1284"/>
      <c r="J710" s="1284"/>
      <c r="K710" s="1284"/>
      <c r="L710" s="1290"/>
      <c r="M710" s="1286"/>
      <c r="N710" s="1286"/>
      <c r="O710" s="1287"/>
      <c r="P710" s="1742"/>
      <c r="Q710" s="299"/>
      <c r="R710" s="276"/>
      <c r="S710" s="4888"/>
      <c r="T710" s="4889" t="s">
        <v>950</v>
      </c>
      <c r="U710" s="4890"/>
      <c r="V710" s="4891"/>
      <c r="W710" s="4892"/>
      <c r="X710" s="4893"/>
      <c r="Y710" s="4894"/>
      <c r="Z710" s="4895"/>
      <c r="AA710" s="4896"/>
      <c r="AB710" s="4897"/>
      <c r="AC710" s="4898"/>
      <c r="AD710" s="4899"/>
      <c r="AE710" s="4900"/>
      <c r="AF710" s="4901"/>
      <c r="AG710" s="4902"/>
      <c r="AH710" s="4903"/>
      <c r="AI710" s="4904"/>
      <c r="AJ710" s="4905"/>
      <c r="AK710" s="4906"/>
      <c r="AL710" s="1562"/>
      <c r="AM710" s="1544"/>
      <c r="AN710" s="1544" t="str">
        <f t="shared" si="11"/>
        <v>Добавить наименование признака дифференциации</v>
      </c>
      <c r="AO710" s="1544"/>
      <c r="AP710" s="1544"/>
    </row>
    <row r="711" spans="1:42" s="541" customFormat="1" ht="14.25" customHeight="1">
      <c r="A711" s="1265"/>
      <c r="B711" s="1265"/>
      <c r="C711" s="1265"/>
      <c r="D711" s="1265"/>
      <c r="E711" s="8884" t="s">
        <v>528</v>
      </c>
      <c r="F711" s="8883"/>
      <c r="G711" s="1265"/>
      <c r="H711" s="1265"/>
      <c r="I711" s="1265"/>
      <c r="J711" s="1265"/>
      <c r="K711" s="1265"/>
      <c r="L711" s="1466"/>
      <c r="M711" s="1244"/>
      <c r="N711" s="1244"/>
      <c r="O711" s="1562"/>
      <c r="P711" s="1239"/>
      <c r="Q711" s="1266"/>
      <c r="R711" s="1239"/>
      <c r="S711" s="1245"/>
      <c r="T711" s="1248" t="s">
        <v>314</v>
      </c>
      <c r="U711" s="1247"/>
      <c r="V711" s="1247"/>
      <c r="W711" s="1247"/>
      <c r="X711" s="1247"/>
      <c r="Y711" s="1247"/>
      <c r="Z711" s="1247"/>
      <c r="AA711" s="1247"/>
      <c r="AB711" s="1247"/>
      <c r="AC711" s="1247"/>
      <c r="AD711" s="1247"/>
      <c r="AE711" s="1247"/>
      <c r="AF711" s="1247"/>
      <c r="AG711" s="1247"/>
      <c r="AH711" s="1247"/>
      <c r="AI711" s="1247"/>
      <c r="AJ711" s="1247"/>
      <c r="AK711" s="1247"/>
      <c r="AL711" s="1562"/>
      <c r="AM711" s="1544"/>
      <c r="AN711" s="1544" t="str">
        <f t="shared" si="11"/>
        <v>Добавить централизованную систему для дифференциации</v>
      </c>
      <c r="AO711" s="1544"/>
      <c r="AP711" s="1544"/>
    </row>
    <row r="712" spans="1:42" s="541" customFormat="1" ht="14.25" customHeight="1">
      <c r="A712" s="1265"/>
      <c r="B712" s="1265"/>
      <c r="C712" s="1265"/>
      <c r="D712" s="1265"/>
      <c r="E712" s="8883" t="s">
        <v>528</v>
      </c>
      <c r="F712" s="1265"/>
      <c r="G712" s="1265"/>
      <c r="H712" s="1265"/>
      <c r="I712" s="1265"/>
      <c r="J712" s="1265"/>
      <c r="K712" s="1265"/>
      <c r="L712" s="1466"/>
      <c r="M712" s="1244"/>
      <c r="N712" s="1244"/>
      <c r="O712" s="1562"/>
      <c r="P712" s="1239"/>
      <c r="Q712" s="1266"/>
      <c r="R712" s="1239"/>
      <c r="S712" s="1245"/>
      <c r="T712" s="1248" t="s">
        <v>315</v>
      </c>
      <c r="U712" s="1247"/>
      <c r="V712" s="1247"/>
      <c r="W712" s="1247"/>
      <c r="X712" s="1247"/>
      <c r="Y712" s="1247"/>
      <c r="Z712" s="1247"/>
      <c r="AA712" s="1247"/>
      <c r="AB712" s="1247"/>
      <c r="AC712" s="1247"/>
      <c r="AD712" s="1247"/>
      <c r="AE712" s="1247"/>
      <c r="AF712" s="1247"/>
      <c r="AG712" s="1247"/>
      <c r="AH712" s="1247"/>
      <c r="AI712" s="1247"/>
      <c r="AJ712" s="1247"/>
      <c r="AK712" s="1247"/>
      <c r="AL712" s="1562"/>
      <c r="AM712" s="1544"/>
      <c r="AN712" s="1544" t="str">
        <f t="shared" si="11"/>
        <v>Добавить территорию для дифференциации</v>
      </c>
      <c r="AO712" s="1544"/>
      <c r="AP712" s="1544"/>
    </row>
    <row r="713" spans="1:42" s="1818" customFormat="1" ht="23.25" customHeight="1">
      <c r="A713" s="1284" t="s">
        <v>541</v>
      </c>
      <c r="B713" s="1284"/>
      <c r="C713" s="1284"/>
      <c r="D713" s="1284"/>
      <c r="E713" s="8883" t="s">
        <v>539</v>
      </c>
      <c r="F713" s="1284"/>
      <c r="G713" s="1284"/>
      <c r="H713" s="1284"/>
      <c r="I713" s="1284"/>
      <c r="J713" s="1284"/>
      <c r="K713" s="1284"/>
      <c r="L713" s="1290"/>
      <c r="M713" s="1286"/>
      <c r="N713" s="1286"/>
      <c r="O713" s="1286"/>
      <c r="P713" s="1812"/>
      <c r="Q713" s="1742"/>
      <c r="R713" s="276"/>
      <c r="S713" s="1810" t="str">
        <f>INDEX(PT_DIFFERENTIATION_NUM_NTAR,MATCH(A713,PT_DIFFERENTIATION_NTAR_ID,0))</f>
        <v>43</v>
      </c>
      <c r="T713" s="1440" t="s">
        <v>211</v>
      </c>
      <c r="U713" s="214"/>
      <c r="V713" s="8869"/>
      <c r="W713" s="8870"/>
      <c r="X713" s="8870"/>
      <c r="Y713" s="8870"/>
      <c r="Z713" s="8870"/>
      <c r="AA713" s="8870"/>
      <c r="AB713" s="8871"/>
      <c r="AC713" s="8869" t="str">
        <f>INDEX(PT_DIFFERENTIATION_NTAR,MATCH(A713,PT_DIFFERENTIATION_NTAR_ID,0))</f>
        <v>Подвоз воды потребителям хутора Темнореченского</v>
      </c>
      <c r="AD713" s="8870"/>
      <c r="AE713" s="8870"/>
      <c r="AF713" s="8870"/>
      <c r="AG713" s="8870"/>
      <c r="AH713" s="8870"/>
      <c r="AI713" s="8870"/>
      <c r="AJ713" s="8871"/>
      <c r="AK71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713" s="1562"/>
      <c r="AM713" s="1544"/>
      <c r="AN713" s="1544" t="str">
        <f t="shared" si="11"/>
        <v>Наименование тарифа</v>
      </c>
      <c r="AO713" s="1544"/>
      <c r="AP713" s="1544"/>
    </row>
    <row r="714" spans="1:42" s="1818" customFormat="1" ht="23.25" customHeight="1">
      <c r="A714" s="1284"/>
      <c r="B714" s="1284" t="s">
        <v>542</v>
      </c>
      <c r="C714" s="1284"/>
      <c r="D714" s="1284"/>
      <c r="E714" s="8884" t="s">
        <v>534</v>
      </c>
      <c r="F714" s="8883">
        <v>1</v>
      </c>
      <c r="G714" s="1284"/>
      <c r="H714" s="1284"/>
      <c r="I714" s="1284"/>
      <c r="J714" s="1284"/>
      <c r="K714" s="1284"/>
      <c r="L714" s="1290"/>
      <c r="M714" s="1286"/>
      <c r="N714" s="1286"/>
      <c r="O714" s="1286"/>
      <c r="P714" s="1807"/>
      <c r="Q714" s="273"/>
      <c r="R714" s="274"/>
      <c r="S714" s="1810" t="str">
        <f>INDEX(PT_DIFFERENTIATION_NUM_TER,MATCH(B714,PT_DIFFERENTIATION_TER_ID,0))</f>
        <v>43.1</v>
      </c>
      <c r="T714" s="1437" t="s">
        <v>862</v>
      </c>
      <c r="U714" s="214"/>
      <c r="V714" s="8869"/>
      <c r="W714" s="8870"/>
      <c r="X714" s="8870"/>
      <c r="Y714" s="8870"/>
      <c r="Z714" s="8870"/>
      <c r="AA714" s="8870"/>
      <c r="AB714" s="8871"/>
      <c r="AC714" s="8869" t="str">
        <f>INDEX(PT_DIFFERENTIATION_TER,MATCH(B714,PT_DIFFERENTIATION_TER_ID,0))</f>
        <v>Территория 12</v>
      </c>
      <c r="AD714" s="8870"/>
      <c r="AE714" s="8870"/>
      <c r="AF714" s="8870"/>
      <c r="AG714" s="8870"/>
      <c r="AH714" s="8870"/>
      <c r="AI714" s="8870"/>
      <c r="AJ714" s="8871"/>
      <c r="AK714" s="1182" t="s">
        <v>863</v>
      </c>
      <c r="AL714" s="1562"/>
      <c r="AM714" s="1544"/>
      <c r="AN714" s="1544" t="str">
        <f t="shared" si="11"/>
        <v>Территория действия тарифа</v>
      </c>
      <c r="AO714" s="1544"/>
      <c r="AP714" s="1544"/>
    </row>
    <row r="715" spans="1:42" s="1818" customFormat="1" ht="23.25" customHeight="1">
      <c r="A715" s="1284"/>
      <c r="B715" s="1284"/>
      <c r="C715" s="1284" t="s">
        <v>543</v>
      </c>
      <c r="D715" s="1284"/>
      <c r="E715" s="8884" t="s">
        <v>534</v>
      </c>
      <c r="F715" s="8884"/>
      <c r="G715" s="8883">
        <v>1</v>
      </c>
      <c r="H715" s="1284"/>
      <c r="I715" s="1284"/>
      <c r="J715" s="1284"/>
      <c r="K715" s="1284"/>
      <c r="L715" s="1290"/>
      <c r="M715" s="1286"/>
      <c r="N715" s="1286"/>
      <c r="O715" s="1286"/>
      <c r="P715" s="275"/>
      <c r="Q715" s="273"/>
      <c r="R715" s="274"/>
      <c r="S715" s="1810" t="str">
        <f>INDEX(PT_DIFFERENTIATION_NUM_CS,MATCH(C715,PT_DIFFERENTIATION_CS_ID,0))</f>
        <v>43.1.1</v>
      </c>
      <c r="T715" s="225" t="s">
        <v>943</v>
      </c>
      <c r="U715" s="214"/>
      <c r="V715" s="8869"/>
      <c r="W715" s="8870"/>
      <c r="X715" s="8870"/>
      <c r="Y715" s="8870"/>
      <c r="Z715" s="8870"/>
      <c r="AA715" s="8870"/>
      <c r="AB715" s="8871"/>
      <c r="AC715" s="8869" t="str">
        <f>INDEX(PT_DIFFERENTIATION_CS,MATCH(C715,PT_DIFFERENTIATION_CS_ID,0))</f>
        <v>без дифференциации</v>
      </c>
      <c r="AD715" s="8870"/>
      <c r="AE715" s="8870"/>
      <c r="AF715" s="8870"/>
      <c r="AG715" s="8870"/>
      <c r="AH715" s="8870"/>
      <c r="AI715" s="8870"/>
      <c r="AJ715" s="8871"/>
      <c r="AK715" s="1182" t="s">
        <v>944</v>
      </c>
      <c r="AL715" s="1562"/>
      <c r="AM715" s="1544"/>
      <c r="AN715" s="1544" t="str">
        <f t="shared" si="11"/>
        <v>Наименование централизованной системы холодного водоснабжения</v>
      </c>
      <c r="AO715" s="1544"/>
      <c r="AP715" s="1544"/>
    </row>
    <row r="716" spans="1:42" s="1818" customFormat="1" ht="23.25" customHeight="1">
      <c r="A716" s="1284"/>
      <c r="B716" s="1284"/>
      <c r="C716" s="1284"/>
      <c r="D716" s="1284"/>
      <c r="E716" s="8884" t="s">
        <v>534</v>
      </c>
      <c r="F716" s="8884"/>
      <c r="G716" s="8884"/>
      <c r="H716" s="8884"/>
      <c r="I716" s="8881" t="str">
        <f>S715&amp;".1"</f>
        <v>43.1.1.1</v>
      </c>
      <c r="J716" s="1284"/>
      <c r="K716" s="1284"/>
      <c r="L716" s="1290"/>
      <c r="M716" s="1696"/>
      <c r="N716" s="1696"/>
      <c r="O716" s="1696"/>
      <c r="P716" s="8882">
        <v>1</v>
      </c>
      <c r="Q716" s="1811"/>
      <c r="R716" s="277"/>
      <c r="S716" s="1810" t="str">
        <f>$I716</f>
        <v>43.1.1.1</v>
      </c>
      <c r="T716" s="200" t="s">
        <v>945</v>
      </c>
      <c r="U716" s="214"/>
      <c r="V716" s="8942"/>
      <c r="W716" s="8943"/>
      <c r="X716" s="8943"/>
      <c r="Y716" s="8943"/>
      <c r="Z716" s="8943"/>
      <c r="AA716" s="8943"/>
      <c r="AB716" s="8944"/>
      <c r="AC716" s="8945"/>
      <c r="AD716" s="8946"/>
      <c r="AE716" s="8946"/>
      <c r="AF716" s="8946"/>
      <c r="AG716" s="8946"/>
      <c r="AH716" s="8946"/>
      <c r="AI716" s="8946"/>
      <c r="AJ716" s="8947"/>
      <c r="AK716" s="1182" t="s">
        <v>946</v>
      </c>
      <c r="AL716" s="1562"/>
      <c r="AM716" s="1544"/>
      <c r="AN716" s="1544" t="str">
        <f t="shared" si="11"/>
        <v>Наименование признака дифференциации</v>
      </c>
      <c r="AO716" s="1544"/>
      <c r="AP716" s="1544"/>
    </row>
    <row r="717" spans="1:42" s="1818" customFormat="1" ht="23.25" customHeight="1">
      <c r="A717" s="1284"/>
      <c r="B717" s="1284"/>
      <c r="C717" s="1284"/>
      <c r="D717" s="1284"/>
      <c r="E717" s="8884" t="s">
        <v>534</v>
      </c>
      <c r="F717" s="8884"/>
      <c r="G717" s="8884"/>
      <c r="H717" s="8884"/>
      <c r="I717" s="8904"/>
      <c r="J717" s="8881" t="str">
        <f>I716&amp;".1"</f>
        <v>43.1.1.1.1</v>
      </c>
      <c r="K717" s="1284"/>
      <c r="L717" s="1290" t="s">
        <v>871</v>
      </c>
      <c r="M717" s="1696"/>
      <c r="N717" s="1696"/>
      <c r="O717" s="1696"/>
      <c r="P717" s="8882"/>
      <c r="Q717" s="8882">
        <v>1</v>
      </c>
      <c r="R717" s="278"/>
      <c r="S717" s="1810" t="str">
        <f>$J717</f>
        <v>43.1.1.1.1</v>
      </c>
      <c r="T717" s="201" t="s">
        <v>872</v>
      </c>
      <c r="U717" s="214"/>
      <c r="V717" s="8872"/>
      <c r="W717" s="8873"/>
      <c r="X717" s="8873"/>
      <c r="Y717" s="8873"/>
      <c r="Z717" s="8873"/>
      <c r="AA717" s="8873"/>
      <c r="AB717" s="8874"/>
      <c r="AC717" s="8872" t="s">
        <v>961</v>
      </c>
      <c r="AD717" s="8873"/>
      <c r="AE717" s="8873"/>
      <c r="AF717" s="8873"/>
      <c r="AG717" s="8873"/>
      <c r="AH717" s="8873"/>
      <c r="AI717" s="8873"/>
      <c r="AJ717" s="8874"/>
      <c r="AK717" s="1231" t="s">
        <v>947</v>
      </c>
      <c r="AL717" s="1562"/>
      <c r="AM717" s="1544"/>
      <c r="AN717" s="1544" t="str">
        <f t="shared" si="11"/>
        <v>Группа потребителей</v>
      </c>
      <c r="AO717" s="1544"/>
      <c r="AP717" s="1544"/>
    </row>
    <row r="718" spans="1:42" s="1818" customFormat="1" ht="23.25" customHeight="1">
      <c r="A718" s="1284"/>
      <c r="B718" s="1284"/>
      <c r="C718" s="1284"/>
      <c r="D718" s="1284"/>
      <c r="E718" s="8884" t="s">
        <v>534</v>
      </c>
      <c r="F718" s="8884"/>
      <c r="G718" s="8884"/>
      <c r="H718" s="8884"/>
      <c r="I718" s="8904"/>
      <c r="J718" s="8904"/>
      <c r="K718" s="8881" t="str">
        <f>J717&amp;".1"</f>
        <v>43.1.1.1.1.1</v>
      </c>
      <c r="L718" s="1290"/>
      <c r="M718" s="1696"/>
      <c r="N718" s="1696"/>
      <c r="O718" s="1696"/>
      <c r="P718" s="8882"/>
      <c r="Q718" s="8882"/>
      <c r="R718" s="278">
        <v>1</v>
      </c>
      <c r="S718" s="1810" t="str">
        <f>$K718</f>
        <v>43.1.1.1.1.1</v>
      </c>
      <c r="T718" s="1357" t="s">
        <v>962</v>
      </c>
      <c r="U718" s="214"/>
      <c r="V718" s="666"/>
      <c r="W718" s="666"/>
      <c r="X718" s="1181"/>
      <c r="Y718" s="8886"/>
      <c r="Z718" s="8734" t="s">
        <v>63</v>
      </c>
      <c r="AA718" s="8886"/>
      <c r="AB718" s="8734" t="s">
        <v>63</v>
      </c>
      <c r="AC718" s="666">
        <v>584.04</v>
      </c>
      <c r="AD718" s="666"/>
      <c r="AE718" s="1181"/>
      <c r="AF718" s="8886">
        <v>45292</v>
      </c>
      <c r="AG718" s="8734" t="s">
        <v>63</v>
      </c>
      <c r="AH718" s="8905">
        <v>45657</v>
      </c>
      <c r="AI718" s="8734" t="s">
        <v>63</v>
      </c>
      <c r="AJ718" s="1358"/>
      <c r="AK71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18" s="1562" t="e">
        <f ca="1">STRCHECKDATE(V719:AJ719)</f>
        <v>#NAME?</v>
      </c>
      <c r="AM718" s="1544"/>
      <c r="AN718" s="1544" t="str">
        <f t="shared" si="11"/>
        <v>Тариф для населения, руб. за 1 куб. метр с НДС</v>
      </c>
      <c r="AO718" s="1544"/>
      <c r="AP718" s="1544"/>
    </row>
    <row r="719" spans="1:42" s="1818" customFormat="1" ht="14.25" customHeight="1">
      <c r="A719" s="1284"/>
      <c r="B719" s="1284"/>
      <c r="C719" s="1284"/>
      <c r="D719" s="1284"/>
      <c r="E719" s="8884" t="s">
        <v>534</v>
      </c>
      <c r="F719" s="8884"/>
      <c r="G719" s="8884"/>
      <c r="H719" s="8884"/>
      <c r="I719" s="8904"/>
      <c r="J719" s="8904"/>
      <c r="K719" s="8881"/>
      <c r="L719" s="1290"/>
      <c r="M719" s="1696"/>
      <c r="N719" s="1696"/>
      <c r="O719" s="1696"/>
      <c r="P719" s="8882"/>
      <c r="Q719" s="8882"/>
      <c r="R719" s="278"/>
      <c r="S719" s="1815"/>
      <c r="T719" s="214"/>
      <c r="U719" s="214"/>
      <c r="V719" s="246"/>
      <c r="W719" s="246"/>
      <c r="X719" s="250" t="str">
        <f>Y718&amp;"-"&amp;AA718</f>
        <v>-</v>
      </c>
      <c r="Y719" s="8887"/>
      <c r="Z719" s="8734"/>
      <c r="AA719" s="8887"/>
      <c r="AB719" s="8734"/>
      <c r="AC719" s="246"/>
      <c r="AD719" s="246"/>
      <c r="AE719" s="250" t="str">
        <f>AF718&amp;"-"&amp;AH718</f>
        <v>45292-45657</v>
      </c>
      <c r="AF719" s="8887"/>
      <c r="AG719" s="8734"/>
      <c r="AH719" s="8906"/>
      <c r="AI719" s="8734"/>
      <c r="AJ719" s="1359"/>
      <c r="AK719" s="8941"/>
      <c r="AL719" s="1562"/>
      <c r="AM719" s="1544"/>
      <c r="AN719" s="1544" t="str">
        <f t="shared" si="11"/>
        <v/>
      </c>
      <c r="AO719" s="1544"/>
      <c r="AP719" s="1544"/>
    </row>
    <row r="720" spans="1:42" s="1818" customFormat="1" ht="21" customHeight="1">
      <c r="A720" s="1284"/>
      <c r="B720" s="1284"/>
      <c r="C720" s="1284"/>
      <c r="D720" s="1284"/>
      <c r="E720" s="8884" t="s">
        <v>534</v>
      </c>
      <c r="F720" s="8884"/>
      <c r="G720" s="8884"/>
      <c r="H720" s="8884"/>
      <c r="I720" s="8904"/>
      <c r="J720" s="8881"/>
      <c r="K720" s="1284"/>
      <c r="L720" s="1290"/>
      <c r="M720" s="1696"/>
      <c r="N720" s="1696"/>
      <c r="O720" s="1696"/>
      <c r="P720" s="8882"/>
      <c r="Q720" s="8882"/>
      <c r="R720" s="277"/>
      <c r="S720" s="4907"/>
      <c r="T720" s="4908" t="s">
        <v>948</v>
      </c>
      <c r="U720" s="4909"/>
      <c r="V720" s="4910"/>
      <c r="W720" s="4911"/>
      <c r="X720" s="4912"/>
      <c r="Y720" s="4913"/>
      <c r="Z720" s="4914"/>
      <c r="AA720" s="4915"/>
      <c r="AB720" s="4916"/>
      <c r="AC720" s="4917"/>
      <c r="AD720" s="4918"/>
      <c r="AE720" s="4919"/>
      <c r="AF720" s="4920"/>
      <c r="AG720" s="4921"/>
      <c r="AH720" s="4922"/>
      <c r="AI720" s="4923"/>
      <c r="AJ720" s="4924"/>
      <c r="AK720" s="1182" t="s">
        <v>949</v>
      </c>
      <c r="AL720" s="1562"/>
      <c r="AM720" s="1544"/>
      <c r="AN720" s="1544" t="str">
        <f t="shared" si="11"/>
        <v>Добавить значение признака дифференциации</v>
      </c>
      <c r="AO720" s="1544"/>
      <c r="AP720" s="1544"/>
    </row>
    <row r="721" spans="1:42" s="1818" customFormat="1" ht="23.25" customHeight="1">
      <c r="A721" s="1284"/>
      <c r="B721" s="1284"/>
      <c r="C721" s="1284"/>
      <c r="D721" s="1284"/>
      <c r="E721" s="8884"/>
      <c r="F721" s="8884"/>
      <c r="G721" s="8884"/>
      <c r="H721" s="8884"/>
      <c r="I721" s="8904"/>
      <c r="J721" s="8881" t="str">
        <f>I716&amp;".2"</f>
        <v>43.1.1.1.2</v>
      </c>
      <c r="K721" s="1284"/>
      <c r="L721" s="1290" t="s">
        <v>871</v>
      </c>
      <c r="M721" s="1696"/>
      <c r="N721" s="1696"/>
      <c r="O721" s="1696"/>
      <c r="P721" s="8882"/>
      <c r="Q721" s="8948" t="s">
        <v>100</v>
      </c>
      <c r="R721" s="278"/>
      <c r="S721" s="1810" t="str">
        <f>$J721</f>
        <v>43.1.1.1.2</v>
      </c>
      <c r="T721" s="201" t="s">
        <v>872</v>
      </c>
      <c r="U721" s="214"/>
      <c r="V721" s="8872"/>
      <c r="W721" s="8873"/>
      <c r="X721" s="8873"/>
      <c r="Y721" s="8873"/>
      <c r="Z721" s="8873"/>
      <c r="AA721" s="8873"/>
      <c r="AB721" s="8874"/>
      <c r="AC721" s="8872" t="s">
        <v>963</v>
      </c>
      <c r="AD721" s="8873"/>
      <c r="AE721" s="8873"/>
      <c r="AF721" s="8873"/>
      <c r="AG721" s="8873"/>
      <c r="AH721" s="8873"/>
      <c r="AI721" s="8873"/>
      <c r="AJ721" s="8874"/>
      <c r="AK721" s="1231" t="s">
        <v>947</v>
      </c>
      <c r="AL721" s="1562"/>
      <c r="AM721" s="1544"/>
      <c r="AN721" s="1544" t="str">
        <f t="shared" si="11"/>
        <v>Группа потребителей</v>
      </c>
      <c r="AO721" s="1544"/>
      <c r="AP721" s="1544"/>
    </row>
    <row r="722" spans="1:42" s="1818" customFormat="1" ht="23.25" customHeight="1">
      <c r="A722" s="1284"/>
      <c r="B722" s="1284"/>
      <c r="C722" s="1284"/>
      <c r="D722" s="1284"/>
      <c r="E722" s="8884"/>
      <c r="F722" s="8884"/>
      <c r="G722" s="8884"/>
      <c r="H722" s="8884"/>
      <c r="I722" s="8904"/>
      <c r="J722" s="8904" t="str">
        <f>I716&amp;".1"</f>
        <v>43.1.1.1.1</v>
      </c>
      <c r="K722" s="8881" t="str">
        <f>J721&amp;".1"</f>
        <v>43.1.1.1.2.1</v>
      </c>
      <c r="L722" s="1290"/>
      <c r="M722" s="1696"/>
      <c r="N722" s="1696"/>
      <c r="O722" s="1696"/>
      <c r="P722" s="8882"/>
      <c r="Q722" s="8882"/>
      <c r="R722" s="278">
        <v>1</v>
      </c>
      <c r="S722" s="1810" t="str">
        <f>$K722</f>
        <v>43.1.1.1.2.1</v>
      </c>
      <c r="T722" s="1357" t="s">
        <v>964</v>
      </c>
      <c r="U722" s="214"/>
      <c r="V722" s="666"/>
      <c r="W722" s="666"/>
      <c r="X722" s="1181"/>
      <c r="Y722" s="8886"/>
      <c r="Z722" s="8734" t="s">
        <v>63</v>
      </c>
      <c r="AA722" s="8886"/>
      <c r="AB722" s="8734" t="s">
        <v>63</v>
      </c>
      <c r="AC722" s="666">
        <v>486.7</v>
      </c>
      <c r="AD722" s="666"/>
      <c r="AE722" s="1181"/>
      <c r="AF722" s="8886">
        <v>45292</v>
      </c>
      <c r="AG722" s="8734" t="s">
        <v>63</v>
      </c>
      <c r="AH722" s="8905">
        <v>45657</v>
      </c>
      <c r="AI722" s="8734" t="s">
        <v>63</v>
      </c>
      <c r="AJ722" s="1358"/>
      <c r="AK72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22" s="1562" t="e">
        <f ca="1">STRCHECKDATE(V723:AJ723)</f>
        <v>#NAME?</v>
      </c>
      <c r="AM722" s="1544"/>
      <c r="AN722" s="1544" t="str">
        <f t="shared" si="11"/>
        <v>Тариф, руб. за 1 куб. метр без НДС</v>
      </c>
      <c r="AO722" s="1544"/>
      <c r="AP722" s="1544"/>
    </row>
    <row r="723" spans="1:42" s="1818" customFormat="1" ht="14.25" customHeight="1">
      <c r="A723" s="1284"/>
      <c r="B723" s="1284"/>
      <c r="C723" s="1284"/>
      <c r="D723" s="1284"/>
      <c r="E723" s="8884"/>
      <c r="F723" s="8884"/>
      <c r="G723" s="8884"/>
      <c r="H723" s="8884"/>
      <c r="I723" s="8904"/>
      <c r="J723" s="8904" t="str">
        <f>I716&amp;".1"</f>
        <v>43.1.1.1.1</v>
      </c>
      <c r="K723" s="8881"/>
      <c r="L723" s="1290"/>
      <c r="M723" s="1696"/>
      <c r="N723" s="1696"/>
      <c r="O723" s="1696"/>
      <c r="P723" s="8882"/>
      <c r="Q723" s="8882"/>
      <c r="R723" s="278"/>
      <c r="S723" s="1815"/>
      <c r="T723" s="214"/>
      <c r="U723" s="214"/>
      <c r="V723" s="246"/>
      <c r="W723" s="246"/>
      <c r="X723" s="250" t="str">
        <f>Y722&amp;"-"&amp;AA722</f>
        <v>-</v>
      </c>
      <c r="Y723" s="8887"/>
      <c r="Z723" s="8734"/>
      <c r="AA723" s="8887"/>
      <c r="AB723" s="8734"/>
      <c r="AC723" s="246"/>
      <c r="AD723" s="246"/>
      <c r="AE723" s="250" t="str">
        <f>AF722&amp;"-"&amp;AH722</f>
        <v>45292-45657</v>
      </c>
      <c r="AF723" s="8887"/>
      <c r="AG723" s="8734"/>
      <c r="AH723" s="8906"/>
      <c r="AI723" s="8734"/>
      <c r="AJ723" s="1359"/>
      <c r="AK723" s="8941"/>
      <c r="AL723" s="1562"/>
      <c r="AM723" s="1544"/>
      <c r="AN723" s="1544" t="str">
        <f t="shared" si="11"/>
        <v/>
      </c>
      <c r="AO723" s="1544"/>
      <c r="AP723" s="1544"/>
    </row>
    <row r="724" spans="1:42" s="1818" customFormat="1" ht="21" customHeight="1">
      <c r="A724" s="1284"/>
      <c r="B724" s="1284"/>
      <c r="C724" s="1284"/>
      <c r="D724" s="1284"/>
      <c r="E724" s="8884"/>
      <c r="F724" s="8884"/>
      <c r="G724" s="8884"/>
      <c r="H724" s="8884"/>
      <c r="I724" s="8904"/>
      <c r="J724" s="8881" t="str">
        <f>I716&amp;".1"</f>
        <v>43.1.1.1.1</v>
      </c>
      <c r="K724" s="1284"/>
      <c r="L724" s="1290"/>
      <c r="M724" s="1696"/>
      <c r="N724" s="1696"/>
      <c r="O724" s="1696"/>
      <c r="P724" s="8882"/>
      <c r="Q724" s="8882"/>
      <c r="R724" s="277"/>
      <c r="S724" s="4925"/>
      <c r="T724" s="4926" t="s">
        <v>948</v>
      </c>
      <c r="U724" s="4927"/>
      <c r="V724" s="4928"/>
      <c r="W724" s="4929"/>
      <c r="X724" s="4930"/>
      <c r="Y724" s="4931"/>
      <c r="Z724" s="4932"/>
      <c r="AA724" s="4933"/>
      <c r="AB724" s="4934"/>
      <c r="AC724" s="4935"/>
      <c r="AD724" s="4936"/>
      <c r="AE724" s="4937"/>
      <c r="AF724" s="4938"/>
      <c r="AG724" s="4939"/>
      <c r="AH724" s="4940"/>
      <c r="AI724" s="4941"/>
      <c r="AJ724" s="4942"/>
      <c r="AK724" s="1182" t="s">
        <v>949</v>
      </c>
      <c r="AL724" s="1562"/>
      <c r="AM724" s="1544"/>
      <c r="AN724" s="1544" t="str">
        <f t="shared" si="11"/>
        <v>Добавить значение признака дифференциации</v>
      </c>
      <c r="AO724" s="1544"/>
      <c r="AP724" s="1544"/>
    </row>
    <row r="725" spans="1:42" s="1818" customFormat="1" ht="21" customHeight="1">
      <c r="A725" s="1284"/>
      <c r="B725" s="1284"/>
      <c r="C725" s="1284"/>
      <c r="D725" s="1284"/>
      <c r="E725" s="8884" t="s">
        <v>534</v>
      </c>
      <c r="F725" s="8884"/>
      <c r="G725" s="8884"/>
      <c r="H725" s="8884"/>
      <c r="I725" s="8881"/>
      <c r="J725" s="1284"/>
      <c r="K725" s="1284"/>
      <c r="L725" s="1290"/>
      <c r="M725" s="1696"/>
      <c r="N725" s="1696"/>
      <c r="O725" s="1696"/>
      <c r="P725" s="8882"/>
      <c r="Q725" s="1811"/>
      <c r="R725" s="277"/>
      <c r="S725" s="4943"/>
      <c r="T725" s="4944" t="s">
        <v>877</v>
      </c>
      <c r="U725" s="4945"/>
      <c r="V725" s="4946"/>
      <c r="W725" s="4947"/>
      <c r="X725" s="4948"/>
      <c r="Y725" s="4949"/>
      <c r="Z725" s="4950"/>
      <c r="AA725" s="4951"/>
      <c r="AB725" s="4952"/>
      <c r="AC725" s="4953"/>
      <c r="AD725" s="4954"/>
      <c r="AE725" s="4955"/>
      <c r="AF725" s="4956"/>
      <c r="AG725" s="4957"/>
      <c r="AH725" s="4958"/>
      <c r="AI725" s="4959"/>
      <c r="AJ725" s="4960"/>
      <c r="AK725" s="4961"/>
      <c r="AL725" s="1562"/>
      <c r="AM725" s="1544"/>
      <c r="AN725" s="1544" t="str">
        <f t="shared" si="11"/>
        <v>Добавить группу потребителей</v>
      </c>
      <c r="AO725" s="1544"/>
      <c r="AP725" s="1544"/>
    </row>
    <row r="726" spans="1:42" s="1818" customFormat="1" ht="21" customHeight="1">
      <c r="A726" s="1284"/>
      <c r="B726" s="1284"/>
      <c r="C726" s="1284"/>
      <c r="D726" s="1284"/>
      <c r="E726" s="8884" t="s">
        <v>534</v>
      </c>
      <c r="F726" s="8884"/>
      <c r="G726" s="8884"/>
      <c r="H726" s="8883"/>
      <c r="I726" s="1284"/>
      <c r="J726" s="1284"/>
      <c r="K726" s="1284"/>
      <c r="L726" s="1290"/>
      <c r="M726" s="1286"/>
      <c r="N726" s="1286"/>
      <c r="O726" s="1287"/>
      <c r="P726" s="1742"/>
      <c r="Q726" s="299"/>
      <c r="R726" s="276"/>
      <c r="S726" s="4962"/>
      <c r="T726" s="4963" t="s">
        <v>950</v>
      </c>
      <c r="U726" s="4964"/>
      <c r="V726" s="4965"/>
      <c r="W726" s="4966"/>
      <c r="X726" s="4967"/>
      <c r="Y726" s="4968"/>
      <c r="Z726" s="4969"/>
      <c r="AA726" s="4970"/>
      <c r="AB726" s="4971"/>
      <c r="AC726" s="4972"/>
      <c r="AD726" s="4973"/>
      <c r="AE726" s="4974"/>
      <c r="AF726" s="4975"/>
      <c r="AG726" s="4976"/>
      <c r="AH726" s="4977"/>
      <c r="AI726" s="4978"/>
      <c r="AJ726" s="4979"/>
      <c r="AK726" s="4980"/>
      <c r="AL726" s="1562"/>
      <c r="AM726" s="1544"/>
      <c r="AN726" s="1544" t="str">
        <f t="shared" si="11"/>
        <v>Добавить наименование признака дифференциации</v>
      </c>
      <c r="AO726" s="1544"/>
      <c r="AP726" s="1544"/>
    </row>
    <row r="727" spans="1:42" s="541" customFormat="1" ht="14.25" customHeight="1">
      <c r="A727" s="1265"/>
      <c r="B727" s="1265"/>
      <c r="C727" s="1265"/>
      <c r="D727" s="1265"/>
      <c r="E727" s="8884" t="s">
        <v>534</v>
      </c>
      <c r="F727" s="8883"/>
      <c r="G727" s="1265"/>
      <c r="H727" s="1265"/>
      <c r="I727" s="1265"/>
      <c r="J727" s="1265"/>
      <c r="K727" s="1265"/>
      <c r="L727" s="1466"/>
      <c r="M727" s="1244"/>
      <c r="N727" s="1244"/>
      <c r="O727" s="1562"/>
      <c r="P727" s="1239"/>
      <c r="Q727" s="1266"/>
      <c r="R727" s="1239"/>
      <c r="S727" s="1245"/>
      <c r="T727" s="1248" t="s">
        <v>314</v>
      </c>
      <c r="U727" s="1247"/>
      <c r="V727" s="1247"/>
      <c r="W727" s="1247"/>
      <c r="X727" s="1247"/>
      <c r="Y727" s="1247"/>
      <c r="Z727" s="1247"/>
      <c r="AA727" s="1247"/>
      <c r="AB727" s="1247"/>
      <c r="AC727" s="1247"/>
      <c r="AD727" s="1247"/>
      <c r="AE727" s="1247"/>
      <c r="AF727" s="1247"/>
      <c r="AG727" s="1247"/>
      <c r="AH727" s="1247"/>
      <c r="AI727" s="1247"/>
      <c r="AJ727" s="1247"/>
      <c r="AK727" s="1247"/>
      <c r="AL727" s="1562"/>
      <c r="AM727" s="1544"/>
      <c r="AN727" s="1544" t="str">
        <f t="shared" si="11"/>
        <v>Добавить централизованную систему для дифференциации</v>
      </c>
      <c r="AO727" s="1544"/>
      <c r="AP727" s="1544"/>
    </row>
    <row r="728" spans="1:42" s="541" customFormat="1" ht="14.25" customHeight="1">
      <c r="A728" s="1265"/>
      <c r="B728" s="1265"/>
      <c r="C728" s="1265"/>
      <c r="D728" s="1265"/>
      <c r="E728" s="8883" t="s">
        <v>534</v>
      </c>
      <c r="F728" s="1265"/>
      <c r="G728" s="1265"/>
      <c r="H728" s="1265"/>
      <c r="I728" s="1265"/>
      <c r="J728" s="1265"/>
      <c r="K728" s="1265"/>
      <c r="L728" s="1466"/>
      <c r="M728" s="1244"/>
      <c r="N728" s="1244"/>
      <c r="O728" s="1562"/>
      <c r="P728" s="1239"/>
      <c r="Q728" s="1266"/>
      <c r="R728" s="1239"/>
      <c r="S728" s="1245"/>
      <c r="T728" s="1248" t="s">
        <v>315</v>
      </c>
      <c r="U728" s="1247"/>
      <c r="V728" s="1247"/>
      <c r="W728" s="1247"/>
      <c r="X728" s="1247"/>
      <c r="Y728" s="1247"/>
      <c r="Z728" s="1247"/>
      <c r="AA728" s="1247"/>
      <c r="AB728" s="1247"/>
      <c r="AC728" s="1247"/>
      <c r="AD728" s="1247"/>
      <c r="AE728" s="1247"/>
      <c r="AF728" s="1247"/>
      <c r="AG728" s="1247"/>
      <c r="AH728" s="1247"/>
      <c r="AI728" s="1247"/>
      <c r="AJ728" s="1247"/>
      <c r="AK728" s="1247"/>
      <c r="AL728" s="1562"/>
      <c r="AM728" s="1544"/>
      <c r="AN728" s="1544" t="str">
        <f t="shared" si="11"/>
        <v>Добавить территорию для дифференциации</v>
      </c>
      <c r="AO728" s="1544"/>
      <c r="AP728" s="1544"/>
    </row>
    <row r="729" spans="1:42" s="1818" customFormat="1" ht="23.25" customHeight="1">
      <c r="A729" s="1284" t="s">
        <v>547</v>
      </c>
      <c r="B729" s="1284"/>
      <c r="C729" s="1284"/>
      <c r="D729" s="1284"/>
      <c r="E729" s="8883" t="s">
        <v>545</v>
      </c>
      <c r="F729" s="1284"/>
      <c r="G729" s="1284"/>
      <c r="H729" s="1284"/>
      <c r="I729" s="1284"/>
      <c r="J729" s="1284"/>
      <c r="K729" s="1284"/>
      <c r="L729" s="1290"/>
      <c r="M729" s="1286"/>
      <c r="N729" s="1286"/>
      <c r="O729" s="1286"/>
      <c r="P729" s="1812"/>
      <c r="Q729" s="1742"/>
      <c r="R729" s="276"/>
      <c r="S729" s="1810" t="str">
        <f>INDEX(PT_DIFFERENTIATION_NUM_NTAR,MATCH(A729,PT_DIFFERENTIATION_NTAR_ID,0))</f>
        <v>44</v>
      </c>
      <c r="T729" s="1440" t="s">
        <v>211</v>
      </c>
      <c r="U729" s="214"/>
      <c r="V729" s="8869"/>
      <c r="W729" s="8870"/>
      <c r="X729" s="8870"/>
      <c r="Y729" s="8870"/>
      <c r="Z729" s="8870"/>
      <c r="AA729" s="8870"/>
      <c r="AB729" s="8871"/>
      <c r="AC729" s="8869" t="str">
        <f>INDEX(PT_DIFFERENTIATION_NTAR,MATCH(A729,PT_DIFFERENTIATION_NTAR_ID,0))</f>
        <v>Подвоз воды потребителям хутора Рынок</v>
      </c>
      <c r="AD729" s="8870"/>
      <c r="AE729" s="8870"/>
      <c r="AF729" s="8870"/>
      <c r="AG729" s="8870"/>
      <c r="AH729" s="8870"/>
      <c r="AI729" s="8870"/>
      <c r="AJ729" s="8871"/>
      <c r="AK72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729" s="1562"/>
      <c r="AM729" s="1544"/>
      <c r="AN729" s="1544" t="str">
        <f t="shared" si="11"/>
        <v>Наименование тарифа</v>
      </c>
      <c r="AO729" s="1544"/>
      <c r="AP729" s="1544"/>
    </row>
    <row r="730" spans="1:42" s="1818" customFormat="1" ht="23.25" customHeight="1">
      <c r="A730" s="1284"/>
      <c r="B730" s="1284" t="s">
        <v>548</v>
      </c>
      <c r="C730" s="1284"/>
      <c r="D730" s="1284"/>
      <c r="E730" s="8884" t="s">
        <v>539</v>
      </c>
      <c r="F730" s="8883">
        <v>1</v>
      </c>
      <c r="G730" s="1284"/>
      <c r="H730" s="1284"/>
      <c r="I730" s="1284"/>
      <c r="J730" s="1284"/>
      <c r="K730" s="1284"/>
      <c r="L730" s="1290"/>
      <c r="M730" s="1286"/>
      <c r="N730" s="1286"/>
      <c r="O730" s="1286"/>
      <c r="P730" s="1807"/>
      <c r="Q730" s="273"/>
      <c r="R730" s="274"/>
      <c r="S730" s="1810" t="str">
        <f>INDEX(PT_DIFFERENTIATION_NUM_TER,MATCH(B730,PT_DIFFERENTIATION_TER_ID,0))</f>
        <v>44.1</v>
      </c>
      <c r="T730" s="1437" t="s">
        <v>862</v>
      </c>
      <c r="U730" s="214"/>
      <c r="V730" s="8869"/>
      <c r="W730" s="8870"/>
      <c r="X730" s="8870"/>
      <c r="Y730" s="8870"/>
      <c r="Z730" s="8870"/>
      <c r="AA730" s="8870"/>
      <c r="AB730" s="8871"/>
      <c r="AC730" s="8869" t="str">
        <f>INDEX(PT_DIFFERENTIATION_TER,MATCH(B730,PT_DIFFERENTIATION_TER_ID,0))</f>
        <v>Территория 12</v>
      </c>
      <c r="AD730" s="8870"/>
      <c r="AE730" s="8870"/>
      <c r="AF730" s="8870"/>
      <c r="AG730" s="8870"/>
      <c r="AH730" s="8870"/>
      <c r="AI730" s="8870"/>
      <c r="AJ730" s="8871"/>
      <c r="AK730" s="1182" t="s">
        <v>863</v>
      </c>
      <c r="AL730" s="1562"/>
      <c r="AM730" s="1544"/>
      <c r="AN730" s="1544" t="str">
        <f t="shared" si="11"/>
        <v>Территория действия тарифа</v>
      </c>
      <c r="AO730" s="1544"/>
      <c r="AP730" s="1544"/>
    </row>
    <row r="731" spans="1:42" s="1818" customFormat="1" ht="23.25" customHeight="1">
      <c r="A731" s="1284"/>
      <c r="B731" s="1284"/>
      <c r="C731" s="1284" t="s">
        <v>549</v>
      </c>
      <c r="D731" s="1284"/>
      <c r="E731" s="8884" t="s">
        <v>539</v>
      </c>
      <c r="F731" s="8884"/>
      <c r="G731" s="8883">
        <v>1</v>
      </c>
      <c r="H731" s="1284"/>
      <c r="I731" s="1284"/>
      <c r="J731" s="1284"/>
      <c r="K731" s="1284"/>
      <c r="L731" s="1290"/>
      <c r="M731" s="1286"/>
      <c r="N731" s="1286"/>
      <c r="O731" s="1286"/>
      <c r="P731" s="275"/>
      <c r="Q731" s="273"/>
      <c r="R731" s="274"/>
      <c r="S731" s="1810" t="str">
        <f>INDEX(PT_DIFFERENTIATION_NUM_CS,MATCH(C731,PT_DIFFERENTIATION_CS_ID,0))</f>
        <v>44.1.1</v>
      </c>
      <c r="T731" s="225" t="s">
        <v>943</v>
      </c>
      <c r="U731" s="214"/>
      <c r="V731" s="8869"/>
      <c r="W731" s="8870"/>
      <c r="X731" s="8870"/>
      <c r="Y731" s="8870"/>
      <c r="Z731" s="8870"/>
      <c r="AA731" s="8870"/>
      <c r="AB731" s="8871"/>
      <c r="AC731" s="8869" t="str">
        <f>INDEX(PT_DIFFERENTIATION_CS,MATCH(C731,PT_DIFFERENTIATION_CS_ID,0))</f>
        <v>без дифференциации</v>
      </c>
      <c r="AD731" s="8870"/>
      <c r="AE731" s="8870"/>
      <c r="AF731" s="8870"/>
      <c r="AG731" s="8870"/>
      <c r="AH731" s="8870"/>
      <c r="AI731" s="8870"/>
      <c r="AJ731" s="8871"/>
      <c r="AK731" s="1182" t="s">
        <v>944</v>
      </c>
      <c r="AL731" s="1562"/>
      <c r="AM731" s="1544"/>
      <c r="AN731" s="1544" t="str">
        <f t="shared" si="11"/>
        <v>Наименование централизованной системы холодного водоснабжения</v>
      </c>
      <c r="AO731" s="1544"/>
      <c r="AP731" s="1544"/>
    </row>
    <row r="732" spans="1:42" s="1818" customFormat="1" ht="23.25" customHeight="1">
      <c r="A732" s="1284"/>
      <c r="B732" s="1284"/>
      <c r="C732" s="1284"/>
      <c r="D732" s="1284"/>
      <c r="E732" s="8884" t="s">
        <v>539</v>
      </c>
      <c r="F732" s="8884"/>
      <c r="G732" s="8884"/>
      <c r="H732" s="8884"/>
      <c r="I732" s="8881" t="str">
        <f>S731&amp;".1"</f>
        <v>44.1.1.1</v>
      </c>
      <c r="J732" s="1284"/>
      <c r="K732" s="1284"/>
      <c r="L732" s="1290"/>
      <c r="M732" s="1696"/>
      <c r="N732" s="1696"/>
      <c r="O732" s="1696"/>
      <c r="P732" s="8882">
        <v>1</v>
      </c>
      <c r="Q732" s="1811"/>
      <c r="R732" s="277"/>
      <c r="S732" s="1810" t="str">
        <f>$I732</f>
        <v>44.1.1.1</v>
      </c>
      <c r="T732" s="200" t="s">
        <v>945</v>
      </c>
      <c r="U732" s="214"/>
      <c r="V732" s="8942"/>
      <c r="W732" s="8943"/>
      <c r="X732" s="8943"/>
      <c r="Y732" s="8943"/>
      <c r="Z732" s="8943"/>
      <c r="AA732" s="8943"/>
      <c r="AB732" s="8944"/>
      <c r="AC732" s="8945"/>
      <c r="AD732" s="8946"/>
      <c r="AE732" s="8946"/>
      <c r="AF732" s="8946"/>
      <c r="AG732" s="8946"/>
      <c r="AH732" s="8946"/>
      <c r="AI732" s="8946"/>
      <c r="AJ732" s="8947"/>
      <c r="AK732" s="1182" t="s">
        <v>946</v>
      </c>
      <c r="AL732" s="1562"/>
      <c r="AM732" s="1544"/>
      <c r="AN732" s="1544" t="str">
        <f t="shared" si="11"/>
        <v>Наименование признака дифференциации</v>
      </c>
      <c r="AO732" s="1544"/>
      <c r="AP732" s="1544"/>
    </row>
    <row r="733" spans="1:42" s="1818" customFormat="1" ht="23.25" customHeight="1">
      <c r="A733" s="1284"/>
      <c r="B733" s="1284"/>
      <c r="C733" s="1284"/>
      <c r="D733" s="1284"/>
      <c r="E733" s="8884" t="s">
        <v>539</v>
      </c>
      <c r="F733" s="8884"/>
      <c r="G733" s="8884"/>
      <c r="H733" s="8884"/>
      <c r="I733" s="8904"/>
      <c r="J733" s="8881" t="str">
        <f>I732&amp;".1"</f>
        <v>44.1.1.1.1</v>
      </c>
      <c r="K733" s="1284"/>
      <c r="L733" s="1290" t="s">
        <v>871</v>
      </c>
      <c r="M733" s="1696"/>
      <c r="N733" s="1696"/>
      <c r="O733" s="1696"/>
      <c r="P733" s="8882"/>
      <c r="Q733" s="8882">
        <v>1</v>
      </c>
      <c r="R733" s="278"/>
      <c r="S733" s="1810" t="str">
        <f>$J733</f>
        <v>44.1.1.1.1</v>
      </c>
      <c r="T733" s="201" t="s">
        <v>872</v>
      </c>
      <c r="U733" s="214"/>
      <c r="V733" s="8872"/>
      <c r="W733" s="8873"/>
      <c r="X733" s="8873"/>
      <c r="Y733" s="8873"/>
      <c r="Z733" s="8873"/>
      <c r="AA733" s="8873"/>
      <c r="AB733" s="8874"/>
      <c r="AC733" s="8872" t="s">
        <v>961</v>
      </c>
      <c r="AD733" s="8873"/>
      <c r="AE733" s="8873"/>
      <c r="AF733" s="8873"/>
      <c r="AG733" s="8873"/>
      <c r="AH733" s="8873"/>
      <c r="AI733" s="8873"/>
      <c r="AJ733" s="8874"/>
      <c r="AK733" s="1231" t="s">
        <v>947</v>
      </c>
      <c r="AL733" s="1562"/>
      <c r="AM733" s="1544"/>
      <c r="AN733" s="1544" t="str">
        <f t="shared" si="11"/>
        <v>Группа потребителей</v>
      </c>
      <c r="AO733" s="1544"/>
      <c r="AP733" s="1544"/>
    </row>
    <row r="734" spans="1:42" s="1818" customFormat="1" ht="23.25" customHeight="1">
      <c r="A734" s="1284"/>
      <c r="B734" s="1284"/>
      <c r="C734" s="1284"/>
      <c r="D734" s="1284"/>
      <c r="E734" s="8884" t="s">
        <v>539</v>
      </c>
      <c r="F734" s="8884"/>
      <c r="G734" s="8884"/>
      <c r="H734" s="8884"/>
      <c r="I734" s="8904"/>
      <c r="J734" s="8904"/>
      <c r="K734" s="8881" t="str">
        <f>J733&amp;".1"</f>
        <v>44.1.1.1.1.1</v>
      </c>
      <c r="L734" s="1290"/>
      <c r="M734" s="1696"/>
      <c r="N734" s="1696"/>
      <c r="O734" s="1696"/>
      <c r="P734" s="8882"/>
      <c r="Q734" s="8882"/>
      <c r="R734" s="278">
        <v>1</v>
      </c>
      <c r="S734" s="1810" t="str">
        <f>$K734</f>
        <v>44.1.1.1.1.1</v>
      </c>
      <c r="T734" s="1357" t="s">
        <v>962</v>
      </c>
      <c r="U734" s="214"/>
      <c r="V734" s="666"/>
      <c r="W734" s="666"/>
      <c r="X734" s="1181"/>
      <c r="Y734" s="8886"/>
      <c r="Z734" s="8734" t="s">
        <v>63</v>
      </c>
      <c r="AA734" s="8886"/>
      <c r="AB734" s="8734" t="s">
        <v>63</v>
      </c>
      <c r="AC734" s="666">
        <v>620.64</v>
      </c>
      <c r="AD734" s="666"/>
      <c r="AE734" s="1181"/>
      <c r="AF734" s="8886">
        <v>45292</v>
      </c>
      <c r="AG734" s="8734" t="s">
        <v>63</v>
      </c>
      <c r="AH734" s="8905">
        <v>45657</v>
      </c>
      <c r="AI734" s="8734" t="s">
        <v>63</v>
      </c>
      <c r="AJ734" s="1358"/>
      <c r="AK73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34" s="1562" t="e">
        <f ca="1">STRCHECKDATE(V735:AJ735)</f>
        <v>#NAME?</v>
      </c>
      <c r="AM734" s="1544"/>
      <c r="AN734" s="1544" t="str">
        <f t="shared" si="11"/>
        <v>Тариф для населения, руб. за 1 куб. метр с НДС</v>
      </c>
      <c r="AO734" s="1544"/>
      <c r="AP734" s="1544"/>
    </row>
    <row r="735" spans="1:42" s="1818" customFormat="1" ht="14.25" customHeight="1">
      <c r="A735" s="1284"/>
      <c r="B735" s="1284"/>
      <c r="C735" s="1284"/>
      <c r="D735" s="1284"/>
      <c r="E735" s="8884" t="s">
        <v>539</v>
      </c>
      <c r="F735" s="8884"/>
      <c r="G735" s="8884"/>
      <c r="H735" s="8884"/>
      <c r="I735" s="8904"/>
      <c r="J735" s="8904"/>
      <c r="K735" s="8881"/>
      <c r="L735" s="1290"/>
      <c r="M735" s="1696"/>
      <c r="N735" s="1696"/>
      <c r="O735" s="1696"/>
      <c r="P735" s="8882"/>
      <c r="Q735" s="8882"/>
      <c r="R735" s="278"/>
      <c r="S735" s="1815"/>
      <c r="T735" s="214"/>
      <c r="U735" s="214"/>
      <c r="V735" s="246"/>
      <c r="W735" s="246"/>
      <c r="X735" s="250" t="str">
        <f>Y734&amp;"-"&amp;AA734</f>
        <v>-</v>
      </c>
      <c r="Y735" s="8887"/>
      <c r="Z735" s="8734"/>
      <c r="AA735" s="8887"/>
      <c r="AB735" s="8734"/>
      <c r="AC735" s="246"/>
      <c r="AD735" s="246"/>
      <c r="AE735" s="250" t="str">
        <f>AF734&amp;"-"&amp;AH734</f>
        <v>45292-45657</v>
      </c>
      <c r="AF735" s="8887"/>
      <c r="AG735" s="8734"/>
      <c r="AH735" s="8906"/>
      <c r="AI735" s="8734"/>
      <c r="AJ735" s="1359"/>
      <c r="AK735" s="8941"/>
      <c r="AL735" s="1562"/>
      <c r="AM735" s="1544"/>
      <c r="AN735" s="1544" t="str">
        <f t="shared" si="11"/>
        <v/>
      </c>
      <c r="AO735" s="1544"/>
      <c r="AP735" s="1544"/>
    </row>
    <row r="736" spans="1:42" s="1818" customFormat="1" ht="21" customHeight="1">
      <c r="A736" s="1284"/>
      <c r="B736" s="1284"/>
      <c r="C736" s="1284"/>
      <c r="D736" s="1284"/>
      <c r="E736" s="8884" t="s">
        <v>539</v>
      </c>
      <c r="F736" s="8884"/>
      <c r="G736" s="8884"/>
      <c r="H736" s="8884"/>
      <c r="I736" s="8904"/>
      <c r="J736" s="8881"/>
      <c r="K736" s="1284"/>
      <c r="L736" s="1290"/>
      <c r="M736" s="1696"/>
      <c r="N736" s="1696"/>
      <c r="O736" s="1696"/>
      <c r="P736" s="8882"/>
      <c r="Q736" s="8882"/>
      <c r="R736" s="277"/>
      <c r="S736" s="4981"/>
      <c r="T736" s="4982" t="s">
        <v>948</v>
      </c>
      <c r="U736" s="4983"/>
      <c r="V736" s="4984"/>
      <c r="W736" s="4985"/>
      <c r="X736" s="4986"/>
      <c r="Y736" s="4987"/>
      <c r="Z736" s="4988"/>
      <c r="AA736" s="4989"/>
      <c r="AB736" s="4990"/>
      <c r="AC736" s="4991"/>
      <c r="AD736" s="4992"/>
      <c r="AE736" s="4993"/>
      <c r="AF736" s="4994"/>
      <c r="AG736" s="4995"/>
      <c r="AH736" s="4996"/>
      <c r="AI736" s="4997"/>
      <c r="AJ736" s="4998"/>
      <c r="AK736" s="1182" t="s">
        <v>949</v>
      </c>
      <c r="AL736" s="1562"/>
      <c r="AM736" s="1544"/>
      <c r="AN736" s="1544" t="str">
        <f t="shared" si="11"/>
        <v>Добавить значение признака дифференциации</v>
      </c>
      <c r="AO736" s="1544"/>
      <c r="AP736" s="1544"/>
    </row>
    <row r="737" spans="1:42" s="1818" customFormat="1" ht="23.25" customHeight="1">
      <c r="A737" s="1284"/>
      <c r="B737" s="1284"/>
      <c r="C737" s="1284"/>
      <c r="D737" s="1284"/>
      <c r="E737" s="8884"/>
      <c r="F737" s="8884"/>
      <c r="G737" s="8884"/>
      <c r="H737" s="8884"/>
      <c r="I737" s="8904"/>
      <c r="J737" s="8881" t="str">
        <f>I732&amp;".2"</f>
        <v>44.1.1.1.2</v>
      </c>
      <c r="K737" s="1284"/>
      <c r="L737" s="1290" t="s">
        <v>871</v>
      </c>
      <c r="M737" s="1696"/>
      <c r="N737" s="1696"/>
      <c r="O737" s="1696"/>
      <c r="P737" s="8882"/>
      <c r="Q737" s="8948" t="s">
        <v>100</v>
      </c>
      <c r="R737" s="278"/>
      <c r="S737" s="1810" t="str">
        <f>$J737</f>
        <v>44.1.1.1.2</v>
      </c>
      <c r="T737" s="201" t="s">
        <v>872</v>
      </c>
      <c r="U737" s="214"/>
      <c r="V737" s="8872"/>
      <c r="W737" s="8873"/>
      <c r="X737" s="8873"/>
      <c r="Y737" s="8873"/>
      <c r="Z737" s="8873"/>
      <c r="AA737" s="8873"/>
      <c r="AB737" s="8874"/>
      <c r="AC737" s="8872" t="s">
        <v>963</v>
      </c>
      <c r="AD737" s="8873"/>
      <c r="AE737" s="8873"/>
      <c r="AF737" s="8873"/>
      <c r="AG737" s="8873"/>
      <c r="AH737" s="8873"/>
      <c r="AI737" s="8873"/>
      <c r="AJ737" s="8874"/>
      <c r="AK737" s="1231" t="s">
        <v>947</v>
      </c>
      <c r="AL737" s="1562"/>
      <c r="AM737" s="1544"/>
      <c r="AN737" s="1544" t="str">
        <f t="shared" si="11"/>
        <v>Группа потребителей</v>
      </c>
      <c r="AO737" s="1544"/>
      <c r="AP737" s="1544"/>
    </row>
    <row r="738" spans="1:42" s="1818" customFormat="1" ht="23.25" customHeight="1">
      <c r="A738" s="1284"/>
      <c r="B738" s="1284"/>
      <c r="C738" s="1284"/>
      <c r="D738" s="1284"/>
      <c r="E738" s="8884"/>
      <c r="F738" s="8884"/>
      <c r="G738" s="8884"/>
      <c r="H738" s="8884"/>
      <c r="I738" s="8904"/>
      <c r="J738" s="8904" t="str">
        <f>I732&amp;".1"</f>
        <v>44.1.1.1.1</v>
      </c>
      <c r="K738" s="8881" t="str">
        <f>J737&amp;".1"</f>
        <v>44.1.1.1.2.1</v>
      </c>
      <c r="L738" s="1290"/>
      <c r="M738" s="1696"/>
      <c r="N738" s="1696"/>
      <c r="O738" s="1696"/>
      <c r="P738" s="8882"/>
      <c r="Q738" s="8882"/>
      <c r="R738" s="278">
        <v>1</v>
      </c>
      <c r="S738" s="1810" t="str">
        <f>$K738</f>
        <v>44.1.1.1.2.1</v>
      </c>
      <c r="T738" s="1357" t="s">
        <v>964</v>
      </c>
      <c r="U738" s="214"/>
      <c r="V738" s="666"/>
      <c r="W738" s="666"/>
      <c r="X738" s="1181"/>
      <c r="Y738" s="8886"/>
      <c r="Z738" s="8734" t="s">
        <v>63</v>
      </c>
      <c r="AA738" s="8886"/>
      <c r="AB738" s="8734" t="s">
        <v>63</v>
      </c>
      <c r="AC738" s="666">
        <v>517.20000000000005</v>
      </c>
      <c r="AD738" s="666"/>
      <c r="AE738" s="1181"/>
      <c r="AF738" s="8886">
        <v>45292</v>
      </c>
      <c r="AG738" s="8734" t="s">
        <v>63</v>
      </c>
      <c r="AH738" s="8905">
        <v>45657</v>
      </c>
      <c r="AI738" s="8734" t="s">
        <v>63</v>
      </c>
      <c r="AJ738" s="1358"/>
      <c r="AK73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38" s="1562" t="e">
        <f ca="1">STRCHECKDATE(V739:AJ739)</f>
        <v>#NAME?</v>
      </c>
      <c r="AM738" s="1544"/>
      <c r="AN738" s="1544" t="str">
        <f t="shared" si="11"/>
        <v>Тариф, руб. за 1 куб. метр без НДС</v>
      </c>
      <c r="AO738" s="1544"/>
      <c r="AP738" s="1544"/>
    </row>
    <row r="739" spans="1:42" s="1818" customFormat="1" ht="14.25" customHeight="1">
      <c r="A739" s="1284"/>
      <c r="B739" s="1284"/>
      <c r="C739" s="1284"/>
      <c r="D739" s="1284"/>
      <c r="E739" s="8884"/>
      <c r="F739" s="8884"/>
      <c r="G739" s="8884"/>
      <c r="H739" s="8884"/>
      <c r="I739" s="8904"/>
      <c r="J739" s="8904" t="str">
        <f>I732&amp;".1"</f>
        <v>44.1.1.1.1</v>
      </c>
      <c r="K739" s="8881"/>
      <c r="L739" s="1290"/>
      <c r="M739" s="1696"/>
      <c r="N739" s="1696"/>
      <c r="O739" s="1696"/>
      <c r="P739" s="8882"/>
      <c r="Q739" s="8882"/>
      <c r="R739" s="278"/>
      <c r="S739" s="1815"/>
      <c r="T739" s="214"/>
      <c r="U739" s="214"/>
      <c r="V739" s="246"/>
      <c r="W739" s="246"/>
      <c r="X739" s="250" t="str">
        <f>Y738&amp;"-"&amp;AA738</f>
        <v>-</v>
      </c>
      <c r="Y739" s="8887"/>
      <c r="Z739" s="8734"/>
      <c r="AA739" s="8887"/>
      <c r="AB739" s="8734"/>
      <c r="AC739" s="246"/>
      <c r="AD739" s="246"/>
      <c r="AE739" s="250" t="str">
        <f>AF738&amp;"-"&amp;AH738</f>
        <v>45292-45657</v>
      </c>
      <c r="AF739" s="8887"/>
      <c r="AG739" s="8734"/>
      <c r="AH739" s="8906"/>
      <c r="AI739" s="8734"/>
      <c r="AJ739" s="1359"/>
      <c r="AK739" s="8941"/>
      <c r="AL739" s="1562"/>
      <c r="AM739" s="1544"/>
      <c r="AN739" s="1544" t="str">
        <f t="shared" si="11"/>
        <v/>
      </c>
      <c r="AO739" s="1544"/>
      <c r="AP739" s="1544"/>
    </row>
    <row r="740" spans="1:42" s="1818" customFormat="1" ht="21" customHeight="1">
      <c r="A740" s="1284"/>
      <c r="B740" s="1284"/>
      <c r="C740" s="1284"/>
      <c r="D740" s="1284"/>
      <c r="E740" s="8884"/>
      <c r="F740" s="8884"/>
      <c r="G740" s="8884"/>
      <c r="H740" s="8884"/>
      <c r="I740" s="8904"/>
      <c r="J740" s="8881" t="str">
        <f>I732&amp;".1"</f>
        <v>44.1.1.1.1</v>
      </c>
      <c r="K740" s="1284"/>
      <c r="L740" s="1290"/>
      <c r="M740" s="1696"/>
      <c r="N740" s="1696"/>
      <c r="O740" s="1696"/>
      <c r="P740" s="8882"/>
      <c r="Q740" s="8882"/>
      <c r="R740" s="277"/>
      <c r="S740" s="4999"/>
      <c r="T740" s="5000" t="s">
        <v>948</v>
      </c>
      <c r="U740" s="5001"/>
      <c r="V740" s="5002"/>
      <c r="W740" s="5003"/>
      <c r="X740" s="5004"/>
      <c r="Y740" s="5005"/>
      <c r="Z740" s="5006"/>
      <c r="AA740" s="5007"/>
      <c r="AB740" s="5008"/>
      <c r="AC740" s="5009"/>
      <c r="AD740" s="5010"/>
      <c r="AE740" s="5011"/>
      <c r="AF740" s="5012"/>
      <c r="AG740" s="5013"/>
      <c r="AH740" s="5014"/>
      <c r="AI740" s="5015"/>
      <c r="AJ740" s="5016"/>
      <c r="AK740" s="1182" t="s">
        <v>949</v>
      </c>
      <c r="AL740" s="1562"/>
      <c r="AM740" s="1544"/>
      <c r="AN740" s="1544" t="str">
        <f t="shared" si="11"/>
        <v>Добавить значение признака дифференциации</v>
      </c>
      <c r="AO740" s="1544"/>
      <c r="AP740" s="1544"/>
    </row>
    <row r="741" spans="1:42" s="1818" customFormat="1" ht="21" customHeight="1">
      <c r="A741" s="1284"/>
      <c r="B741" s="1284"/>
      <c r="C741" s="1284"/>
      <c r="D741" s="1284"/>
      <c r="E741" s="8884" t="s">
        <v>539</v>
      </c>
      <c r="F741" s="8884"/>
      <c r="G741" s="8884"/>
      <c r="H741" s="8884"/>
      <c r="I741" s="8881"/>
      <c r="J741" s="1284"/>
      <c r="K741" s="1284"/>
      <c r="L741" s="1290"/>
      <c r="M741" s="1696"/>
      <c r="N741" s="1696"/>
      <c r="O741" s="1696"/>
      <c r="P741" s="8882"/>
      <c r="Q741" s="1811"/>
      <c r="R741" s="277"/>
      <c r="S741" s="5017"/>
      <c r="T741" s="5018" t="s">
        <v>877</v>
      </c>
      <c r="U741" s="5019"/>
      <c r="V741" s="5020"/>
      <c r="W741" s="5021"/>
      <c r="X741" s="5022"/>
      <c r="Y741" s="5023"/>
      <c r="Z741" s="5024"/>
      <c r="AA741" s="5025"/>
      <c r="AB741" s="5026"/>
      <c r="AC741" s="5027"/>
      <c r="AD741" s="5028"/>
      <c r="AE741" s="5029"/>
      <c r="AF741" s="5030"/>
      <c r="AG741" s="5031"/>
      <c r="AH741" s="5032"/>
      <c r="AI741" s="5033"/>
      <c r="AJ741" s="5034"/>
      <c r="AK741" s="5035"/>
      <c r="AL741" s="1562"/>
      <c r="AM741" s="1544"/>
      <c r="AN741" s="1544" t="str">
        <f t="shared" si="11"/>
        <v>Добавить группу потребителей</v>
      </c>
      <c r="AO741" s="1544"/>
      <c r="AP741" s="1544"/>
    </row>
    <row r="742" spans="1:42" s="1818" customFormat="1" ht="21" customHeight="1">
      <c r="A742" s="1284"/>
      <c r="B742" s="1284"/>
      <c r="C742" s="1284"/>
      <c r="D742" s="1284"/>
      <c r="E742" s="8884" t="s">
        <v>539</v>
      </c>
      <c r="F742" s="8884"/>
      <c r="G742" s="8884"/>
      <c r="H742" s="8883"/>
      <c r="I742" s="1284"/>
      <c r="J742" s="1284"/>
      <c r="K742" s="1284"/>
      <c r="L742" s="1290"/>
      <c r="M742" s="1286"/>
      <c r="N742" s="1286"/>
      <c r="O742" s="1287"/>
      <c r="P742" s="1742"/>
      <c r="Q742" s="299"/>
      <c r="R742" s="276"/>
      <c r="S742" s="5036"/>
      <c r="T742" s="5037" t="s">
        <v>950</v>
      </c>
      <c r="U742" s="5038"/>
      <c r="V742" s="5039"/>
      <c r="W742" s="5040"/>
      <c r="X742" s="5041"/>
      <c r="Y742" s="5042"/>
      <c r="Z742" s="5043"/>
      <c r="AA742" s="5044"/>
      <c r="AB742" s="5045"/>
      <c r="AC742" s="5046"/>
      <c r="AD742" s="5047"/>
      <c r="AE742" s="5048"/>
      <c r="AF742" s="5049"/>
      <c r="AG742" s="5050"/>
      <c r="AH742" s="5051"/>
      <c r="AI742" s="5052"/>
      <c r="AJ742" s="5053"/>
      <c r="AK742" s="5054"/>
      <c r="AL742" s="1562"/>
      <c r="AM742" s="1544"/>
      <c r="AN742" s="1544" t="str">
        <f t="shared" si="11"/>
        <v>Добавить наименование признака дифференциации</v>
      </c>
      <c r="AO742" s="1544"/>
      <c r="AP742" s="1544"/>
    </row>
    <row r="743" spans="1:42" s="541" customFormat="1" ht="14.25" customHeight="1">
      <c r="A743" s="1265"/>
      <c r="B743" s="1265"/>
      <c r="C743" s="1265"/>
      <c r="D743" s="1265"/>
      <c r="E743" s="8884" t="s">
        <v>539</v>
      </c>
      <c r="F743" s="8883"/>
      <c r="G743" s="1265"/>
      <c r="H743" s="1265"/>
      <c r="I743" s="1265"/>
      <c r="J743" s="1265"/>
      <c r="K743" s="1265"/>
      <c r="L743" s="1466"/>
      <c r="M743" s="1244"/>
      <c r="N743" s="1244"/>
      <c r="O743" s="1562"/>
      <c r="P743" s="1239"/>
      <c r="Q743" s="1266"/>
      <c r="R743" s="1239"/>
      <c r="S743" s="1245"/>
      <c r="T743" s="1248" t="s">
        <v>314</v>
      </c>
      <c r="U743" s="1247"/>
      <c r="V743" s="1247"/>
      <c r="W743" s="1247"/>
      <c r="X743" s="1247"/>
      <c r="Y743" s="1247"/>
      <c r="Z743" s="1247"/>
      <c r="AA743" s="1247"/>
      <c r="AB743" s="1247"/>
      <c r="AC743" s="1247"/>
      <c r="AD743" s="1247"/>
      <c r="AE743" s="1247"/>
      <c r="AF743" s="1247"/>
      <c r="AG743" s="1247"/>
      <c r="AH743" s="1247"/>
      <c r="AI743" s="1247"/>
      <c r="AJ743" s="1247"/>
      <c r="AK743" s="1247"/>
      <c r="AL743" s="1562"/>
      <c r="AM743" s="1544"/>
      <c r="AN743" s="1544" t="str">
        <f t="shared" si="11"/>
        <v>Добавить централизованную систему для дифференциации</v>
      </c>
      <c r="AO743" s="1544"/>
      <c r="AP743" s="1544"/>
    </row>
    <row r="744" spans="1:42" s="541" customFormat="1" ht="14.25" customHeight="1">
      <c r="A744" s="1265"/>
      <c r="B744" s="1265"/>
      <c r="C744" s="1265"/>
      <c r="D744" s="1265"/>
      <c r="E744" s="8883" t="s">
        <v>539</v>
      </c>
      <c r="F744" s="1265"/>
      <c r="G744" s="1265"/>
      <c r="H744" s="1265"/>
      <c r="I744" s="1265"/>
      <c r="J744" s="1265"/>
      <c r="K744" s="1265"/>
      <c r="L744" s="1466"/>
      <c r="M744" s="1244"/>
      <c r="N744" s="1244"/>
      <c r="O744" s="1562"/>
      <c r="P744" s="1239"/>
      <c r="Q744" s="1266"/>
      <c r="R744" s="1239"/>
      <c r="S744" s="1245"/>
      <c r="T744" s="1248" t="s">
        <v>315</v>
      </c>
      <c r="U744" s="1247"/>
      <c r="V744" s="1247"/>
      <c r="W744" s="1247"/>
      <c r="X744" s="1247"/>
      <c r="Y744" s="1247"/>
      <c r="Z744" s="1247"/>
      <c r="AA744" s="1247"/>
      <c r="AB744" s="1247"/>
      <c r="AC744" s="1247"/>
      <c r="AD744" s="1247"/>
      <c r="AE744" s="1247"/>
      <c r="AF744" s="1247"/>
      <c r="AG744" s="1247"/>
      <c r="AH744" s="1247"/>
      <c r="AI744" s="1247"/>
      <c r="AJ744" s="1247"/>
      <c r="AK744" s="1247"/>
      <c r="AL744" s="1562"/>
      <c r="AM744" s="1544"/>
      <c r="AN744" s="1544" t="str">
        <f t="shared" si="11"/>
        <v>Добавить территорию для дифференциации</v>
      </c>
      <c r="AO744" s="1544"/>
      <c r="AP744" s="1544"/>
    </row>
    <row r="745" spans="1:42" s="1818" customFormat="1" ht="23.25" customHeight="1">
      <c r="A745" s="1284" t="s">
        <v>553</v>
      </c>
      <c r="B745" s="1284"/>
      <c r="C745" s="1284"/>
      <c r="D745" s="1284"/>
      <c r="E745" s="8883" t="s">
        <v>551</v>
      </c>
      <c r="F745" s="1284"/>
      <c r="G745" s="1284"/>
      <c r="H745" s="1284"/>
      <c r="I745" s="1284"/>
      <c r="J745" s="1284"/>
      <c r="K745" s="1284"/>
      <c r="L745" s="1290"/>
      <c r="M745" s="1286"/>
      <c r="N745" s="1286"/>
      <c r="O745" s="1286"/>
      <c r="P745" s="1812"/>
      <c r="Q745" s="1742"/>
      <c r="R745" s="276"/>
      <c r="S745" s="1810" t="str">
        <f>INDEX(PT_DIFFERENTIATION_NUM_NTAR,MATCH(A745,PT_DIFFERENTIATION_NTAR_ID,0))</f>
        <v>45</v>
      </c>
      <c r="T745" s="1440" t="s">
        <v>211</v>
      </c>
      <c r="U745" s="214"/>
      <c r="V745" s="8869"/>
      <c r="W745" s="8870"/>
      <c r="X745" s="8870"/>
      <c r="Y745" s="8870"/>
      <c r="Z745" s="8870"/>
      <c r="AA745" s="8870"/>
      <c r="AB745" s="8871"/>
      <c r="AC745" s="8869" t="str">
        <f>INDEX(PT_DIFFERENTIATION_NTAR,MATCH(A745,PT_DIFFERENTIATION_NTAR_ID,0))</f>
        <v>Подвоз воды потребителям хутора Польского</v>
      </c>
      <c r="AD745" s="8870"/>
      <c r="AE745" s="8870"/>
      <c r="AF745" s="8870"/>
      <c r="AG745" s="8870"/>
      <c r="AH745" s="8870"/>
      <c r="AI745" s="8870"/>
      <c r="AJ745" s="8871"/>
      <c r="AK74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745" s="1562"/>
      <c r="AM745" s="1544"/>
      <c r="AN745" s="1544" t="str">
        <f t="shared" ref="AN745:AN808" si="12">IF(T745="","",T745)</f>
        <v>Наименование тарифа</v>
      </c>
      <c r="AO745" s="1544"/>
      <c r="AP745" s="1544"/>
    </row>
    <row r="746" spans="1:42" s="1818" customFormat="1" ht="23.25" customHeight="1">
      <c r="A746" s="1284"/>
      <c r="B746" s="1284" t="s">
        <v>554</v>
      </c>
      <c r="C746" s="1284"/>
      <c r="D746" s="1284"/>
      <c r="E746" s="8884" t="s">
        <v>545</v>
      </c>
      <c r="F746" s="8883">
        <v>1</v>
      </c>
      <c r="G746" s="1284"/>
      <c r="H746" s="1284"/>
      <c r="I746" s="1284"/>
      <c r="J746" s="1284"/>
      <c r="K746" s="1284"/>
      <c r="L746" s="1290"/>
      <c r="M746" s="1286"/>
      <c r="N746" s="1286"/>
      <c r="O746" s="1286"/>
      <c r="P746" s="1807"/>
      <c r="Q746" s="273"/>
      <c r="R746" s="274"/>
      <c r="S746" s="1810" t="str">
        <f>INDEX(PT_DIFFERENTIATION_NUM_TER,MATCH(B746,PT_DIFFERENTIATION_TER_ID,0))</f>
        <v>45.1</v>
      </c>
      <c r="T746" s="1437" t="s">
        <v>862</v>
      </c>
      <c r="U746" s="214"/>
      <c r="V746" s="8869"/>
      <c r="W746" s="8870"/>
      <c r="X746" s="8870"/>
      <c r="Y746" s="8870"/>
      <c r="Z746" s="8870"/>
      <c r="AA746" s="8870"/>
      <c r="AB746" s="8871"/>
      <c r="AC746" s="8869" t="str">
        <f>INDEX(PT_DIFFERENTIATION_TER,MATCH(B746,PT_DIFFERENTIATION_TER_ID,0))</f>
        <v>Территория 12</v>
      </c>
      <c r="AD746" s="8870"/>
      <c r="AE746" s="8870"/>
      <c r="AF746" s="8870"/>
      <c r="AG746" s="8870"/>
      <c r="AH746" s="8870"/>
      <c r="AI746" s="8870"/>
      <c r="AJ746" s="8871"/>
      <c r="AK746" s="1182" t="s">
        <v>863</v>
      </c>
      <c r="AL746" s="1562"/>
      <c r="AM746" s="1544"/>
      <c r="AN746" s="1544" t="str">
        <f t="shared" si="12"/>
        <v>Территория действия тарифа</v>
      </c>
      <c r="AO746" s="1544"/>
      <c r="AP746" s="1544"/>
    </row>
    <row r="747" spans="1:42" s="1818" customFormat="1" ht="23.25" customHeight="1">
      <c r="A747" s="1284"/>
      <c r="B747" s="1284"/>
      <c r="C747" s="1284" t="s">
        <v>555</v>
      </c>
      <c r="D747" s="1284"/>
      <c r="E747" s="8884" t="s">
        <v>545</v>
      </c>
      <c r="F747" s="8884"/>
      <c r="G747" s="8883">
        <v>1</v>
      </c>
      <c r="H747" s="1284"/>
      <c r="I747" s="1284"/>
      <c r="J747" s="1284"/>
      <c r="K747" s="1284"/>
      <c r="L747" s="1290"/>
      <c r="M747" s="1286"/>
      <c r="N747" s="1286"/>
      <c r="O747" s="1286"/>
      <c r="P747" s="275"/>
      <c r="Q747" s="273"/>
      <c r="R747" s="274"/>
      <c r="S747" s="1810" t="str">
        <f>INDEX(PT_DIFFERENTIATION_NUM_CS,MATCH(C747,PT_DIFFERENTIATION_CS_ID,0))</f>
        <v>45.1.1</v>
      </c>
      <c r="T747" s="225" t="s">
        <v>943</v>
      </c>
      <c r="U747" s="214"/>
      <c r="V747" s="8869"/>
      <c r="W747" s="8870"/>
      <c r="X747" s="8870"/>
      <c r="Y747" s="8870"/>
      <c r="Z747" s="8870"/>
      <c r="AA747" s="8870"/>
      <c r="AB747" s="8871"/>
      <c r="AC747" s="8869" t="str">
        <f>INDEX(PT_DIFFERENTIATION_CS,MATCH(C747,PT_DIFFERENTIATION_CS_ID,0))</f>
        <v>без дифференциации</v>
      </c>
      <c r="AD747" s="8870"/>
      <c r="AE747" s="8870"/>
      <c r="AF747" s="8870"/>
      <c r="AG747" s="8870"/>
      <c r="AH747" s="8870"/>
      <c r="AI747" s="8870"/>
      <c r="AJ747" s="8871"/>
      <c r="AK747" s="1182" t="s">
        <v>944</v>
      </c>
      <c r="AL747" s="1562"/>
      <c r="AM747" s="1544"/>
      <c r="AN747" s="1544" t="str">
        <f t="shared" si="12"/>
        <v>Наименование централизованной системы холодного водоснабжения</v>
      </c>
      <c r="AO747" s="1544"/>
      <c r="AP747" s="1544"/>
    </row>
    <row r="748" spans="1:42" s="1818" customFormat="1" ht="23.25" customHeight="1">
      <c r="A748" s="1284"/>
      <c r="B748" s="1284"/>
      <c r="C748" s="1284"/>
      <c r="D748" s="1284"/>
      <c r="E748" s="8884" t="s">
        <v>545</v>
      </c>
      <c r="F748" s="8884"/>
      <c r="G748" s="8884"/>
      <c r="H748" s="8884"/>
      <c r="I748" s="8881" t="str">
        <f>S747&amp;".1"</f>
        <v>45.1.1.1</v>
      </c>
      <c r="J748" s="1284"/>
      <c r="K748" s="1284"/>
      <c r="L748" s="1290"/>
      <c r="M748" s="1696"/>
      <c r="N748" s="1696"/>
      <c r="O748" s="1696"/>
      <c r="P748" s="8882">
        <v>1</v>
      </c>
      <c r="Q748" s="1811"/>
      <c r="R748" s="277"/>
      <c r="S748" s="1810" t="str">
        <f>$I748</f>
        <v>45.1.1.1</v>
      </c>
      <c r="T748" s="200" t="s">
        <v>945</v>
      </c>
      <c r="U748" s="214"/>
      <c r="V748" s="8942"/>
      <c r="W748" s="8943"/>
      <c r="X748" s="8943"/>
      <c r="Y748" s="8943"/>
      <c r="Z748" s="8943"/>
      <c r="AA748" s="8943"/>
      <c r="AB748" s="8944"/>
      <c r="AC748" s="8945"/>
      <c r="AD748" s="8946"/>
      <c r="AE748" s="8946"/>
      <c r="AF748" s="8946"/>
      <c r="AG748" s="8946"/>
      <c r="AH748" s="8946"/>
      <c r="AI748" s="8946"/>
      <c r="AJ748" s="8947"/>
      <c r="AK748" s="1182" t="s">
        <v>946</v>
      </c>
      <c r="AL748" s="1562"/>
      <c r="AM748" s="1544"/>
      <c r="AN748" s="1544" t="str">
        <f t="shared" si="12"/>
        <v>Наименование признака дифференциации</v>
      </c>
      <c r="AO748" s="1544"/>
      <c r="AP748" s="1544"/>
    </row>
    <row r="749" spans="1:42" s="1818" customFormat="1" ht="23.25" customHeight="1">
      <c r="A749" s="1284"/>
      <c r="B749" s="1284"/>
      <c r="C749" s="1284"/>
      <c r="D749" s="1284"/>
      <c r="E749" s="8884" t="s">
        <v>545</v>
      </c>
      <c r="F749" s="8884"/>
      <c r="G749" s="8884"/>
      <c r="H749" s="8884"/>
      <c r="I749" s="8904"/>
      <c r="J749" s="8881" t="str">
        <f>I748&amp;".1"</f>
        <v>45.1.1.1.1</v>
      </c>
      <c r="K749" s="1284"/>
      <c r="L749" s="1290" t="s">
        <v>871</v>
      </c>
      <c r="M749" s="1696"/>
      <c r="N749" s="1696"/>
      <c r="O749" s="1696"/>
      <c r="P749" s="8882"/>
      <c r="Q749" s="8882">
        <v>1</v>
      </c>
      <c r="R749" s="278"/>
      <c r="S749" s="1810" t="str">
        <f>$J749</f>
        <v>45.1.1.1.1</v>
      </c>
      <c r="T749" s="201" t="s">
        <v>872</v>
      </c>
      <c r="U749" s="214"/>
      <c r="V749" s="8872"/>
      <c r="W749" s="8873"/>
      <c r="X749" s="8873"/>
      <c r="Y749" s="8873"/>
      <c r="Z749" s="8873"/>
      <c r="AA749" s="8873"/>
      <c r="AB749" s="8874"/>
      <c r="AC749" s="8872" t="s">
        <v>961</v>
      </c>
      <c r="AD749" s="8873"/>
      <c r="AE749" s="8873"/>
      <c r="AF749" s="8873"/>
      <c r="AG749" s="8873"/>
      <c r="AH749" s="8873"/>
      <c r="AI749" s="8873"/>
      <c r="AJ749" s="8874"/>
      <c r="AK749" s="1231" t="s">
        <v>947</v>
      </c>
      <c r="AL749" s="1562"/>
      <c r="AM749" s="1544"/>
      <c r="AN749" s="1544" t="str">
        <f t="shared" si="12"/>
        <v>Группа потребителей</v>
      </c>
      <c r="AO749" s="1544"/>
      <c r="AP749" s="1544"/>
    </row>
    <row r="750" spans="1:42" s="1818" customFormat="1" ht="23.25" customHeight="1">
      <c r="A750" s="1284"/>
      <c r="B750" s="1284"/>
      <c r="C750" s="1284"/>
      <c r="D750" s="1284"/>
      <c r="E750" s="8884" t="s">
        <v>545</v>
      </c>
      <c r="F750" s="8884"/>
      <c r="G750" s="8884"/>
      <c r="H750" s="8884"/>
      <c r="I750" s="8904"/>
      <c r="J750" s="8904"/>
      <c r="K750" s="8881" t="str">
        <f>J749&amp;".1"</f>
        <v>45.1.1.1.1.1</v>
      </c>
      <c r="L750" s="1290"/>
      <c r="M750" s="1696"/>
      <c r="N750" s="1696"/>
      <c r="O750" s="1696"/>
      <c r="P750" s="8882"/>
      <c r="Q750" s="8882"/>
      <c r="R750" s="278">
        <v>1</v>
      </c>
      <c r="S750" s="1810" t="str">
        <f>$K750</f>
        <v>45.1.1.1.1.1</v>
      </c>
      <c r="T750" s="1357" t="s">
        <v>962</v>
      </c>
      <c r="U750" s="214"/>
      <c r="V750" s="666"/>
      <c r="W750" s="666"/>
      <c r="X750" s="1181"/>
      <c r="Y750" s="8886"/>
      <c r="Z750" s="8734" t="s">
        <v>63</v>
      </c>
      <c r="AA750" s="8886"/>
      <c r="AB750" s="8734" t="s">
        <v>63</v>
      </c>
      <c r="AC750" s="666">
        <v>577.32000000000005</v>
      </c>
      <c r="AD750" s="666"/>
      <c r="AE750" s="1181"/>
      <c r="AF750" s="8886">
        <v>45292</v>
      </c>
      <c r="AG750" s="8734" t="s">
        <v>63</v>
      </c>
      <c r="AH750" s="8905">
        <v>45657</v>
      </c>
      <c r="AI750" s="8734" t="s">
        <v>63</v>
      </c>
      <c r="AJ750" s="1358"/>
      <c r="AK75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50" s="1562" t="e">
        <f ca="1">STRCHECKDATE(V751:AJ751)</f>
        <v>#NAME?</v>
      </c>
      <c r="AM750" s="1544"/>
      <c r="AN750" s="1544" t="str">
        <f t="shared" si="12"/>
        <v>Тариф для населения, руб. за 1 куб. метр с НДС</v>
      </c>
      <c r="AO750" s="1544"/>
      <c r="AP750" s="1544"/>
    </row>
    <row r="751" spans="1:42" s="1818" customFormat="1" ht="14.25" customHeight="1">
      <c r="A751" s="1284"/>
      <c r="B751" s="1284"/>
      <c r="C751" s="1284"/>
      <c r="D751" s="1284"/>
      <c r="E751" s="8884" t="s">
        <v>545</v>
      </c>
      <c r="F751" s="8884"/>
      <c r="G751" s="8884"/>
      <c r="H751" s="8884"/>
      <c r="I751" s="8904"/>
      <c r="J751" s="8904"/>
      <c r="K751" s="8881"/>
      <c r="L751" s="1290"/>
      <c r="M751" s="1696"/>
      <c r="N751" s="1696"/>
      <c r="O751" s="1696"/>
      <c r="P751" s="8882"/>
      <c r="Q751" s="8882"/>
      <c r="R751" s="278"/>
      <c r="S751" s="1815"/>
      <c r="T751" s="214"/>
      <c r="U751" s="214"/>
      <c r="V751" s="246"/>
      <c r="W751" s="246"/>
      <c r="X751" s="250" t="str">
        <f>Y750&amp;"-"&amp;AA750</f>
        <v>-</v>
      </c>
      <c r="Y751" s="8887"/>
      <c r="Z751" s="8734"/>
      <c r="AA751" s="8887"/>
      <c r="AB751" s="8734"/>
      <c r="AC751" s="246"/>
      <c r="AD751" s="246"/>
      <c r="AE751" s="250" t="str">
        <f>AF750&amp;"-"&amp;AH750</f>
        <v>45292-45657</v>
      </c>
      <c r="AF751" s="8887"/>
      <c r="AG751" s="8734"/>
      <c r="AH751" s="8906"/>
      <c r="AI751" s="8734"/>
      <c r="AJ751" s="1359"/>
      <c r="AK751" s="8941"/>
      <c r="AL751" s="1562"/>
      <c r="AM751" s="1544"/>
      <c r="AN751" s="1544" t="str">
        <f t="shared" si="12"/>
        <v/>
      </c>
      <c r="AO751" s="1544"/>
      <c r="AP751" s="1544"/>
    </row>
    <row r="752" spans="1:42" s="1818" customFormat="1" ht="21" customHeight="1">
      <c r="A752" s="1284"/>
      <c r="B752" s="1284"/>
      <c r="C752" s="1284"/>
      <c r="D752" s="1284"/>
      <c r="E752" s="8884" t="s">
        <v>545</v>
      </c>
      <c r="F752" s="8884"/>
      <c r="G752" s="8884"/>
      <c r="H752" s="8884"/>
      <c r="I752" s="8904"/>
      <c r="J752" s="8881"/>
      <c r="K752" s="1284"/>
      <c r="L752" s="1290"/>
      <c r="M752" s="1696"/>
      <c r="N752" s="1696"/>
      <c r="O752" s="1696"/>
      <c r="P752" s="8882"/>
      <c r="Q752" s="8882"/>
      <c r="R752" s="277"/>
      <c r="S752" s="5055"/>
      <c r="T752" s="5056" t="s">
        <v>948</v>
      </c>
      <c r="U752" s="5057"/>
      <c r="V752" s="5058"/>
      <c r="W752" s="5059"/>
      <c r="X752" s="5060"/>
      <c r="Y752" s="5061"/>
      <c r="Z752" s="5062"/>
      <c r="AA752" s="5063"/>
      <c r="AB752" s="5064"/>
      <c r="AC752" s="5065"/>
      <c r="AD752" s="5066"/>
      <c r="AE752" s="5067"/>
      <c r="AF752" s="5068"/>
      <c r="AG752" s="5069"/>
      <c r="AH752" s="5070"/>
      <c r="AI752" s="5071"/>
      <c r="AJ752" s="5072"/>
      <c r="AK752" s="1182" t="s">
        <v>949</v>
      </c>
      <c r="AL752" s="1562"/>
      <c r="AM752" s="1544"/>
      <c r="AN752" s="1544" t="str">
        <f t="shared" si="12"/>
        <v>Добавить значение признака дифференциации</v>
      </c>
      <c r="AO752" s="1544"/>
      <c r="AP752" s="1544"/>
    </row>
    <row r="753" spans="1:42" s="1818" customFormat="1" ht="23.25" customHeight="1">
      <c r="A753" s="1284"/>
      <c r="B753" s="1284"/>
      <c r="C753" s="1284"/>
      <c r="D753" s="1284"/>
      <c r="E753" s="8884"/>
      <c r="F753" s="8884"/>
      <c r="G753" s="8884"/>
      <c r="H753" s="8884"/>
      <c r="I753" s="8904"/>
      <c r="J753" s="8881" t="str">
        <f>I748&amp;".2"</f>
        <v>45.1.1.1.2</v>
      </c>
      <c r="K753" s="1284"/>
      <c r="L753" s="1290" t="s">
        <v>871</v>
      </c>
      <c r="M753" s="1696"/>
      <c r="N753" s="1696"/>
      <c r="O753" s="1696"/>
      <c r="P753" s="8882"/>
      <c r="Q753" s="8948" t="s">
        <v>100</v>
      </c>
      <c r="R753" s="278"/>
      <c r="S753" s="1810" t="str">
        <f>$J753</f>
        <v>45.1.1.1.2</v>
      </c>
      <c r="T753" s="201" t="s">
        <v>872</v>
      </c>
      <c r="U753" s="214"/>
      <c r="V753" s="8872"/>
      <c r="W753" s="8873"/>
      <c r="X753" s="8873"/>
      <c r="Y753" s="8873"/>
      <c r="Z753" s="8873"/>
      <c r="AA753" s="8873"/>
      <c r="AB753" s="8874"/>
      <c r="AC753" s="8872" t="s">
        <v>963</v>
      </c>
      <c r="AD753" s="8873"/>
      <c r="AE753" s="8873"/>
      <c r="AF753" s="8873"/>
      <c r="AG753" s="8873"/>
      <c r="AH753" s="8873"/>
      <c r="AI753" s="8873"/>
      <c r="AJ753" s="8874"/>
      <c r="AK753" s="1231" t="s">
        <v>947</v>
      </c>
      <c r="AL753" s="1562"/>
      <c r="AM753" s="1544"/>
      <c r="AN753" s="1544" t="str">
        <f t="shared" si="12"/>
        <v>Группа потребителей</v>
      </c>
      <c r="AO753" s="1544"/>
      <c r="AP753" s="1544"/>
    </row>
    <row r="754" spans="1:42" s="1818" customFormat="1" ht="23.25" customHeight="1">
      <c r="A754" s="1284"/>
      <c r="B754" s="1284"/>
      <c r="C754" s="1284"/>
      <c r="D754" s="1284"/>
      <c r="E754" s="8884"/>
      <c r="F754" s="8884"/>
      <c r="G754" s="8884"/>
      <c r="H754" s="8884"/>
      <c r="I754" s="8904"/>
      <c r="J754" s="8904" t="str">
        <f>I748&amp;".1"</f>
        <v>45.1.1.1.1</v>
      </c>
      <c r="K754" s="8881" t="str">
        <f>J753&amp;".1"</f>
        <v>45.1.1.1.2.1</v>
      </c>
      <c r="L754" s="1290"/>
      <c r="M754" s="1696"/>
      <c r="N754" s="1696"/>
      <c r="O754" s="1696"/>
      <c r="P754" s="8882"/>
      <c r="Q754" s="8882"/>
      <c r="R754" s="278">
        <v>1</v>
      </c>
      <c r="S754" s="1810" t="str">
        <f>$K754</f>
        <v>45.1.1.1.2.1</v>
      </c>
      <c r="T754" s="1357" t="s">
        <v>964</v>
      </c>
      <c r="U754" s="214"/>
      <c r="V754" s="666"/>
      <c r="W754" s="666"/>
      <c r="X754" s="1181"/>
      <c r="Y754" s="8886"/>
      <c r="Z754" s="8734" t="s">
        <v>63</v>
      </c>
      <c r="AA754" s="8886"/>
      <c r="AB754" s="8734" t="s">
        <v>63</v>
      </c>
      <c r="AC754" s="666">
        <v>481.1</v>
      </c>
      <c r="AD754" s="666"/>
      <c r="AE754" s="1181"/>
      <c r="AF754" s="8886">
        <v>45292</v>
      </c>
      <c r="AG754" s="8734" t="s">
        <v>63</v>
      </c>
      <c r="AH754" s="8905">
        <v>45657</v>
      </c>
      <c r="AI754" s="8734" t="s">
        <v>63</v>
      </c>
      <c r="AJ754" s="1358"/>
      <c r="AK75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54" s="1562" t="e">
        <f ca="1">STRCHECKDATE(V755:AJ755)</f>
        <v>#NAME?</v>
      </c>
      <c r="AM754" s="1544"/>
      <c r="AN754" s="1544" t="str">
        <f t="shared" si="12"/>
        <v>Тариф, руб. за 1 куб. метр без НДС</v>
      </c>
      <c r="AO754" s="1544"/>
      <c r="AP754" s="1544"/>
    </row>
    <row r="755" spans="1:42" s="1818" customFormat="1" ht="14.25" customHeight="1">
      <c r="A755" s="1284"/>
      <c r="B755" s="1284"/>
      <c r="C755" s="1284"/>
      <c r="D755" s="1284"/>
      <c r="E755" s="8884"/>
      <c r="F755" s="8884"/>
      <c r="G755" s="8884"/>
      <c r="H755" s="8884"/>
      <c r="I755" s="8904"/>
      <c r="J755" s="8904" t="str">
        <f>I748&amp;".1"</f>
        <v>45.1.1.1.1</v>
      </c>
      <c r="K755" s="8881"/>
      <c r="L755" s="1290"/>
      <c r="M755" s="1696"/>
      <c r="N755" s="1696"/>
      <c r="O755" s="1696"/>
      <c r="P755" s="8882"/>
      <c r="Q755" s="8882"/>
      <c r="R755" s="278"/>
      <c r="S755" s="1815"/>
      <c r="T755" s="214"/>
      <c r="U755" s="214"/>
      <c r="V755" s="246"/>
      <c r="W755" s="246"/>
      <c r="X755" s="250" t="str">
        <f>Y754&amp;"-"&amp;AA754</f>
        <v>-</v>
      </c>
      <c r="Y755" s="8887"/>
      <c r="Z755" s="8734"/>
      <c r="AA755" s="8887"/>
      <c r="AB755" s="8734"/>
      <c r="AC755" s="246"/>
      <c r="AD755" s="246"/>
      <c r="AE755" s="250" t="str">
        <f>AF754&amp;"-"&amp;AH754</f>
        <v>45292-45657</v>
      </c>
      <c r="AF755" s="8887"/>
      <c r="AG755" s="8734"/>
      <c r="AH755" s="8906"/>
      <c r="AI755" s="8734"/>
      <c r="AJ755" s="1359"/>
      <c r="AK755" s="8941"/>
      <c r="AL755" s="1562"/>
      <c r="AM755" s="1544"/>
      <c r="AN755" s="1544" t="str">
        <f t="shared" si="12"/>
        <v/>
      </c>
      <c r="AO755" s="1544"/>
      <c r="AP755" s="1544"/>
    </row>
    <row r="756" spans="1:42" s="1818" customFormat="1" ht="21" customHeight="1">
      <c r="A756" s="1284"/>
      <c r="B756" s="1284"/>
      <c r="C756" s="1284"/>
      <c r="D756" s="1284"/>
      <c r="E756" s="8884"/>
      <c r="F756" s="8884"/>
      <c r="G756" s="8884"/>
      <c r="H756" s="8884"/>
      <c r="I756" s="8904"/>
      <c r="J756" s="8881" t="str">
        <f>I748&amp;".1"</f>
        <v>45.1.1.1.1</v>
      </c>
      <c r="K756" s="1284"/>
      <c r="L756" s="1290"/>
      <c r="M756" s="1696"/>
      <c r="N756" s="1696"/>
      <c r="O756" s="1696"/>
      <c r="P756" s="8882"/>
      <c r="Q756" s="8882"/>
      <c r="R756" s="277"/>
      <c r="S756" s="5073"/>
      <c r="T756" s="5074" t="s">
        <v>948</v>
      </c>
      <c r="U756" s="5075"/>
      <c r="V756" s="5076"/>
      <c r="W756" s="5077"/>
      <c r="X756" s="5078"/>
      <c r="Y756" s="5079"/>
      <c r="Z756" s="5080"/>
      <c r="AA756" s="5081"/>
      <c r="AB756" s="5082"/>
      <c r="AC756" s="5083"/>
      <c r="AD756" s="5084"/>
      <c r="AE756" s="5085"/>
      <c r="AF756" s="5086"/>
      <c r="AG756" s="5087"/>
      <c r="AH756" s="5088"/>
      <c r="AI756" s="5089"/>
      <c r="AJ756" s="5090"/>
      <c r="AK756" s="1182" t="s">
        <v>949</v>
      </c>
      <c r="AL756" s="1562"/>
      <c r="AM756" s="1544"/>
      <c r="AN756" s="1544" t="str">
        <f t="shared" si="12"/>
        <v>Добавить значение признака дифференциации</v>
      </c>
      <c r="AO756" s="1544"/>
      <c r="AP756" s="1544"/>
    </row>
    <row r="757" spans="1:42" s="1818" customFormat="1" ht="21" customHeight="1">
      <c r="A757" s="1284"/>
      <c r="B757" s="1284"/>
      <c r="C757" s="1284"/>
      <c r="D757" s="1284"/>
      <c r="E757" s="8884" t="s">
        <v>545</v>
      </c>
      <c r="F757" s="8884"/>
      <c r="G757" s="8884"/>
      <c r="H757" s="8884"/>
      <c r="I757" s="8881"/>
      <c r="J757" s="1284"/>
      <c r="K757" s="1284"/>
      <c r="L757" s="1290"/>
      <c r="M757" s="1696"/>
      <c r="N757" s="1696"/>
      <c r="O757" s="1696"/>
      <c r="P757" s="8882"/>
      <c r="Q757" s="1811"/>
      <c r="R757" s="277"/>
      <c r="S757" s="5091"/>
      <c r="T757" s="5092" t="s">
        <v>877</v>
      </c>
      <c r="U757" s="5093"/>
      <c r="V757" s="5094"/>
      <c r="W757" s="5095"/>
      <c r="X757" s="5096"/>
      <c r="Y757" s="5097"/>
      <c r="Z757" s="5098"/>
      <c r="AA757" s="5099"/>
      <c r="AB757" s="5100"/>
      <c r="AC757" s="5101"/>
      <c r="AD757" s="5102"/>
      <c r="AE757" s="5103"/>
      <c r="AF757" s="5104"/>
      <c r="AG757" s="5105"/>
      <c r="AH757" s="5106"/>
      <c r="AI757" s="5107"/>
      <c r="AJ757" s="5108"/>
      <c r="AK757" s="5109"/>
      <c r="AL757" s="1562"/>
      <c r="AM757" s="1544"/>
      <c r="AN757" s="1544" t="str">
        <f t="shared" si="12"/>
        <v>Добавить группу потребителей</v>
      </c>
      <c r="AO757" s="1544"/>
      <c r="AP757" s="1544"/>
    </row>
    <row r="758" spans="1:42" s="1818" customFormat="1" ht="21" customHeight="1">
      <c r="A758" s="1284"/>
      <c r="B758" s="1284"/>
      <c r="C758" s="1284"/>
      <c r="D758" s="1284"/>
      <c r="E758" s="8884" t="s">
        <v>545</v>
      </c>
      <c r="F758" s="8884"/>
      <c r="G758" s="8884"/>
      <c r="H758" s="8883"/>
      <c r="I758" s="1284"/>
      <c r="J758" s="1284"/>
      <c r="K758" s="1284"/>
      <c r="L758" s="1290"/>
      <c r="M758" s="1286"/>
      <c r="N758" s="1286"/>
      <c r="O758" s="1287"/>
      <c r="P758" s="1742"/>
      <c r="Q758" s="299"/>
      <c r="R758" s="276"/>
      <c r="S758" s="5110"/>
      <c r="T758" s="5111" t="s">
        <v>950</v>
      </c>
      <c r="U758" s="5112"/>
      <c r="V758" s="5113"/>
      <c r="W758" s="5114"/>
      <c r="X758" s="5115"/>
      <c r="Y758" s="5116"/>
      <c r="Z758" s="5117"/>
      <c r="AA758" s="5118"/>
      <c r="AB758" s="5119"/>
      <c r="AC758" s="5120"/>
      <c r="AD758" s="5121"/>
      <c r="AE758" s="5122"/>
      <c r="AF758" s="5123"/>
      <c r="AG758" s="5124"/>
      <c r="AH758" s="5125"/>
      <c r="AI758" s="5126"/>
      <c r="AJ758" s="5127"/>
      <c r="AK758" s="5128"/>
      <c r="AL758" s="1562"/>
      <c r="AM758" s="1544"/>
      <c r="AN758" s="1544" t="str">
        <f t="shared" si="12"/>
        <v>Добавить наименование признака дифференциации</v>
      </c>
      <c r="AO758" s="1544"/>
      <c r="AP758" s="1544"/>
    </row>
    <row r="759" spans="1:42" s="541" customFormat="1" ht="14.25" customHeight="1">
      <c r="A759" s="1265"/>
      <c r="B759" s="1265"/>
      <c r="C759" s="1265"/>
      <c r="D759" s="1265"/>
      <c r="E759" s="8884" t="s">
        <v>545</v>
      </c>
      <c r="F759" s="8883"/>
      <c r="G759" s="1265"/>
      <c r="H759" s="1265"/>
      <c r="I759" s="1265"/>
      <c r="J759" s="1265"/>
      <c r="K759" s="1265"/>
      <c r="L759" s="1466"/>
      <c r="M759" s="1244"/>
      <c r="N759" s="1244"/>
      <c r="O759" s="1562"/>
      <c r="P759" s="1239"/>
      <c r="Q759" s="1266"/>
      <c r="R759" s="1239"/>
      <c r="S759" s="1245"/>
      <c r="T759" s="1248" t="s">
        <v>314</v>
      </c>
      <c r="U759" s="1247"/>
      <c r="V759" s="1247"/>
      <c r="W759" s="1247"/>
      <c r="X759" s="1247"/>
      <c r="Y759" s="1247"/>
      <c r="Z759" s="1247"/>
      <c r="AA759" s="1247"/>
      <c r="AB759" s="1247"/>
      <c r="AC759" s="1247"/>
      <c r="AD759" s="1247"/>
      <c r="AE759" s="1247"/>
      <c r="AF759" s="1247"/>
      <c r="AG759" s="1247"/>
      <c r="AH759" s="1247"/>
      <c r="AI759" s="1247"/>
      <c r="AJ759" s="1247"/>
      <c r="AK759" s="1247"/>
      <c r="AL759" s="1562"/>
      <c r="AM759" s="1544"/>
      <c r="AN759" s="1544" t="str">
        <f t="shared" si="12"/>
        <v>Добавить централизованную систему для дифференциации</v>
      </c>
      <c r="AO759" s="1544"/>
      <c r="AP759" s="1544"/>
    </row>
    <row r="760" spans="1:42" s="541" customFormat="1" ht="14.25" customHeight="1">
      <c r="A760" s="1265"/>
      <c r="B760" s="1265"/>
      <c r="C760" s="1265"/>
      <c r="D760" s="1265"/>
      <c r="E760" s="8883" t="s">
        <v>545</v>
      </c>
      <c r="F760" s="1265"/>
      <c r="G760" s="1265"/>
      <c r="H760" s="1265"/>
      <c r="I760" s="1265"/>
      <c r="J760" s="1265"/>
      <c r="K760" s="1265"/>
      <c r="L760" s="1466"/>
      <c r="M760" s="1244"/>
      <c r="N760" s="1244"/>
      <c r="O760" s="1562"/>
      <c r="P760" s="1239"/>
      <c r="Q760" s="1266"/>
      <c r="R760" s="1239"/>
      <c r="S760" s="1245"/>
      <c r="T760" s="1248" t="s">
        <v>315</v>
      </c>
      <c r="U760" s="1247"/>
      <c r="V760" s="1247"/>
      <c r="W760" s="1247"/>
      <c r="X760" s="1247"/>
      <c r="Y760" s="1247"/>
      <c r="Z760" s="1247"/>
      <c r="AA760" s="1247"/>
      <c r="AB760" s="1247"/>
      <c r="AC760" s="1247"/>
      <c r="AD760" s="1247"/>
      <c r="AE760" s="1247"/>
      <c r="AF760" s="1247"/>
      <c r="AG760" s="1247"/>
      <c r="AH760" s="1247"/>
      <c r="AI760" s="1247"/>
      <c r="AJ760" s="1247"/>
      <c r="AK760" s="1247"/>
      <c r="AL760" s="1562"/>
      <c r="AM760" s="1544"/>
      <c r="AN760" s="1544" t="str">
        <f t="shared" si="12"/>
        <v>Добавить территорию для дифференциации</v>
      </c>
      <c r="AO760" s="1544"/>
      <c r="AP760" s="1544"/>
    </row>
    <row r="761" spans="1:42" s="1818" customFormat="1" ht="23.25" customHeight="1">
      <c r="A761" s="1284" t="s">
        <v>559</v>
      </c>
      <c r="B761" s="1284"/>
      <c r="C761" s="1284"/>
      <c r="D761" s="1284"/>
      <c r="E761" s="8883" t="s">
        <v>557</v>
      </c>
      <c r="F761" s="1284"/>
      <c r="G761" s="1284"/>
      <c r="H761" s="1284"/>
      <c r="I761" s="1284"/>
      <c r="J761" s="1284"/>
      <c r="K761" s="1284"/>
      <c r="L761" s="1290"/>
      <c r="M761" s="1286"/>
      <c r="N761" s="1286"/>
      <c r="O761" s="1286"/>
      <c r="P761" s="1812"/>
      <c r="Q761" s="1742"/>
      <c r="R761" s="276"/>
      <c r="S761" s="1810" t="str">
        <f>INDEX(PT_DIFFERENTIATION_NUM_NTAR,MATCH(A761,PT_DIFFERENTIATION_NTAR_ID,0))</f>
        <v>46</v>
      </c>
      <c r="T761" s="1440" t="s">
        <v>211</v>
      </c>
      <c r="U761" s="214"/>
      <c r="V761" s="8869"/>
      <c r="W761" s="8870"/>
      <c r="X761" s="8870"/>
      <c r="Y761" s="8870"/>
      <c r="Z761" s="8870"/>
      <c r="AA761" s="8870"/>
      <c r="AB761" s="8871"/>
      <c r="AC761" s="8869" t="str">
        <f>INDEX(PT_DIFFERENTIATION_NTAR,MATCH(A761,PT_DIFFERENTIATION_NTAR_ID,0))</f>
        <v>Подвоз воды потребителям поселка Рогового</v>
      </c>
      <c r="AD761" s="8870"/>
      <c r="AE761" s="8870"/>
      <c r="AF761" s="8870"/>
      <c r="AG761" s="8870"/>
      <c r="AH761" s="8870"/>
      <c r="AI761" s="8870"/>
      <c r="AJ761" s="8871"/>
      <c r="AK76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761" s="1562"/>
      <c r="AM761" s="1544"/>
      <c r="AN761" s="1544" t="str">
        <f t="shared" si="12"/>
        <v>Наименование тарифа</v>
      </c>
      <c r="AO761" s="1544"/>
      <c r="AP761" s="1544"/>
    </row>
    <row r="762" spans="1:42" s="1818" customFormat="1" ht="23.25" customHeight="1">
      <c r="A762" s="1284"/>
      <c r="B762" s="1284" t="s">
        <v>560</v>
      </c>
      <c r="C762" s="1284"/>
      <c r="D762" s="1284"/>
      <c r="E762" s="8884" t="s">
        <v>551</v>
      </c>
      <c r="F762" s="8883">
        <v>1</v>
      </c>
      <c r="G762" s="1284"/>
      <c r="H762" s="1284"/>
      <c r="I762" s="1284"/>
      <c r="J762" s="1284"/>
      <c r="K762" s="1284"/>
      <c r="L762" s="1290"/>
      <c r="M762" s="1286"/>
      <c r="N762" s="1286"/>
      <c r="O762" s="1286"/>
      <c r="P762" s="1807"/>
      <c r="Q762" s="273"/>
      <c r="R762" s="274"/>
      <c r="S762" s="1810" t="str">
        <f>INDEX(PT_DIFFERENTIATION_NUM_TER,MATCH(B762,PT_DIFFERENTIATION_TER_ID,0))</f>
        <v>46.1</v>
      </c>
      <c r="T762" s="1437" t="s">
        <v>862</v>
      </c>
      <c r="U762" s="214"/>
      <c r="V762" s="8869"/>
      <c r="W762" s="8870"/>
      <c r="X762" s="8870"/>
      <c r="Y762" s="8870"/>
      <c r="Z762" s="8870"/>
      <c r="AA762" s="8870"/>
      <c r="AB762" s="8871"/>
      <c r="AC762" s="8869" t="str">
        <f>INDEX(PT_DIFFERENTIATION_TER,MATCH(B762,PT_DIFFERENTIATION_TER_ID,0))</f>
        <v>Территория 13</v>
      </c>
      <c r="AD762" s="8870"/>
      <c r="AE762" s="8870"/>
      <c r="AF762" s="8870"/>
      <c r="AG762" s="8870"/>
      <c r="AH762" s="8870"/>
      <c r="AI762" s="8870"/>
      <c r="AJ762" s="8871"/>
      <c r="AK762" s="1182" t="s">
        <v>863</v>
      </c>
      <c r="AL762" s="1562"/>
      <c r="AM762" s="1544"/>
      <c r="AN762" s="1544" t="str">
        <f t="shared" si="12"/>
        <v>Территория действия тарифа</v>
      </c>
      <c r="AO762" s="1544"/>
      <c r="AP762" s="1544"/>
    </row>
    <row r="763" spans="1:42" s="1818" customFormat="1" ht="23.25" customHeight="1">
      <c r="A763" s="1284"/>
      <c r="B763" s="1284"/>
      <c r="C763" s="1284" t="s">
        <v>561</v>
      </c>
      <c r="D763" s="1284"/>
      <c r="E763" s="8884" t="s">
        <v>551</v>
      </c>
      <c r="F763" s="8884"/>
      <c r="G763" s="8883">
        <v>1</v>
      </c>
      <c r="H763" s="1284"/>
      <c r="I763" s="1284"/>
      <c r="J763" s="1284"/>
      <c r="K763" s="1284"/>
      <c r="L763" s="1290"/>
      <c r="M763" s="1286"/>
      <c r="N763" s="1286"/>
      <c r="O763" s="1286"/>
      <c r="P763" s="275"/>
      <c r="Q763" s="273"/>
      <c r="R763" s="274"/>
      <c r="S763" s="1810" t="str">
        <f>INDEX(PT_DIFFERENTIATION_NUM_CS,MATCH(C763,PT_DIFFERENTIATION_CS_ID,0))</f>
        <v>46.1.1</v>
      </c>
      <c r="T763" s="225" t="s">
        <v>943</v>
      </c>
      <c r="U763" s="214"/>
      <c r="V763" s="8869"/>
      <c r="W763" s="8870"/>
      <c r="X763" s="8870"/>
      <c r="Y763" s="8870"/>
      <c r="Z763" s="8870"/>
      <c r="AA763" s="8870"/>
      <c r="AB763" s="8871"/>
      <c r="AC763" s="8869" t="str">
        <f>INDEX(PT_DIFFERENTIATION_CS,MATCH(C763,PT_DIFFERENTIATION_CS_ID,0))</f>
        <v>без дифференциации</v>
      </c>
      <c r="AD763" s="8870"/>
      <c r="AE763" s="8870"/>
      <c r="AF763" s="8870"/>
      <c r="AG763" s="8870"/>
      <c r="AH763" s="8870"/>
      <c r="AI763" s="8870"/>
      <c r="AJ763" s="8871"/>
      <c r="AK763" s="1182" t="s">
        <v>944</v>
      </c>
      <c r="AL763" s="1562"/>
      <c r="AM763" s="1544"/>
      <c r="AN763" s="1544" t="str">
        <f t="shared" si="12"/>
        <v>Наименование централизованной системы холодного водоснабжения</v>
      </c>
      <c r="AO763" s="1544"/>
      <c r="AP763" s="1544"/>
    </row>
    <row r="764" spans="1:42" s="1818" customFormat="1" ht="23.25" customHeight="1">
      <c r="A764" s="1284"/>
      <c r="B764" s="1284"/>
      <c r="C764" s="1284"/>
      <c r="D764" s="1284"/>
      <c r="E764" s="8884" t="s">
        <v>551</v>
      </c>
      <c r="F764" s="8884"/>
      <c r="G764" s="8884"/>
      <c r="H764" s="8884"/>
      <c r="I764" s="8881" t="str">
        <f>S763&amp;".1"</f>
        <v>46.1.1.1</v>
      </c>
      <c r="J764" s="1284"/>
      <c r="K764" s="1284"/>
      <c r="L764" s="1290"/>
      <c r="M764" s="1696"/>
      <c r="N764" s="1696"/>
      <c r="O764" s="1696"/>
      <c r="P764" s="8882">
        <v>1</v>
      </c>
      <c r="Q764" s="1811"/>
      <c r="R764" s="277"/>
      <c r="S764" s="1810" t="str">
        <f>$I764</f>
        <v>46.1.1.1</v>
      </c>
      <c r="T764" s="200" t="s">
        <v>945</v>
      </c>
      <c r="U764" s="214"/>
      <c r="V764" s="8942"/>
      <c r="W764" s="8943"/>
      <c r="X764" s="8943"/>
      <c r="Y764" s="8943"/>
      <c r="Z764" s="8943"/>
      <c r="AA764" s="8943"/>
      <c r="AB764" s="8944"/>
      <c r="AC764" s="8945"/>
      <c r="AD764" s="8946"/>
      <c r="AE764" s="8946"/>
      <c r="AF764" s="8946"/>
      <c r="AG764" s="8946"/>
      <c r="AH764" s="8946"/>
      <c r="AI764" s="8946"/>
      <c r="AJ764" s="8947"/>
      <c r="AK764" s="1182" t="s">
        <v>946</v>
      </c>
      <c r="AL764" s="1562"/>
      <c r="AM764" s="1544"/>
      <c r="AN764" s="1544" t="str">
        <f t="shared" si="12"/>
        <v>Наименование признака дифференциации</v>
      </c>
      <c r="AO764" s="1544"/>
      <c r="AP764" s="1544"/>
    </row>
    <row r="765" spans="1:42" s="1818" customFormat="1" ht="23.25" customHeight="1">
      <c r="A765" s="1284"/>
      <c r="B765" s="1284"/>
      <c r="C765" s="1284"/>
      <c r="D765" s="1284"/>
      <c r="E765" s="8884" t="s">
        <v>551</v>
      </c>
      <c r="F765" s="8884"/>
      <c r="G765" s="8884"/>
      <c r="H765" s="8884"/>
      <c r="I765" s="8904"/>
      <c r="J765" s="8881" t="str">
        <f>I764&amp;".1"</f>
        <v>46.1.1.1.1</v>
      </c>
      <c r="K765" s="1284"/>
      <c r="L765" s="1290" t="s">
        <v>871</v>
      </c>
      <c r="M765" s="1696"/>
      <c r="N765" s="1696"/>
      <c r="O765" s="1696"/>
      <c r="P765" s="8882"/>
      <c r="Q765" s="8882">
        <v>1</v>
      </c>
      <c r="R765" s="278"/>
      <c r="S765" s="1810" t="str">
        <f>$J765</f>
        <v>46.1.1.1.1</v>
      </c>
      <c r="T765" s="201" t="s">
        <v>872</v>
      </c>
      <c r="U765" s="214"/>
      <c r="V765" s="8872"/>
      <c r="W765" s="8873"/>
      <c r="X765" s="8873"/>
      <c r="Y765" s="8873"/>
      <c r="Z765" s="8873"/>
      <c r="AA765" s="8873"/>
      <c r="AB765" s="8874"/>
      <c r="AC765" s="8872" t="s">
        <v>961</v>
      </c>
      <c r="AD765" s="8873"/>
      <c r="AE765" s="8873"/>
      <c r="AF765" s="8873"/>
      <c r="AG765" s="8873"/>
      <c r="AH765" s="8873"/>
      <c r="AI765" s="8873"/>
      <c r="AJ765" s="8874"/>
      <c r="AK765" s="1231" t="s">
        <v>947</v>
      </c>
      <c r="AL765" s="1562"/>
      <c r="AM765" s="1544"/>
      <c r="AN765" s="1544" t="str">
        <f t="shared" si="12"/>
        <v>Группа потребителей</v>
      </c>
      <c r="AO765" s="1544"/>
      <c r="AP765" s="1544"/>
    </row>
    <row r="766" spans="1:42" s="1818" customFormat="1" ht="23.25" customHeight="1">
      <c r="A766" s="1284"/>
      <c r="B766" s="1284"/>
      <c r="C766" s="1284"/>
      <c r="D766" s="1284"/>
      <c r="E766" s="8884" t="s">
        <v>551</v>
      </c>
      <c r="F766" s="8884"/>
      <c r="G766" s="8884"/>
      <c r="H766" s="8884"/>
      <c r="I766" s="8904"/>
      <c r="J766" s="8904"/>
      <c r="K766" s="8881" t="str">
        <f>J765&amp;".1"</f>
        <v>46.1.1.1.1.1</v>
      </c>
      <c r="L766" s="1290"/>
      <c r="M766" s="1696"/>
      <c r="N766" s="1696"/>
      <c r="O766" s="1696"/>
      <c r="P766" s="8882"/>
      <c r="Q766" s="8882"/>
      <c r="R766" s="278">
        <v>1</v>
      </c>
      <c r="S766" s="1810" t="str">
        <f>$K766</f>
        <v>46.1.1.1.1.1</v>
      </c>
      <c r="T766" s="1357" t="s">
        <v>962</v>
      </c>
      <c r="U766" s="214"/>
      <c r="V766" s="666"/>
      <c r="W766" s="666"/>
      <c r="X766" s="1181"/>
      <c r="Y766" s="8886"/>
      <c r="Z766" s="8734" t="s">
        <v>63</v>
      </c>
      <c r="AA766" s="8886"/>
      <c r="AB766" s="8734" t="s">
        <v>63</v>
      </c>
      <c r="AC766" s="666">
        <v>1210.42</v>
      </c>
      <c r="AD766" s="666"/>
      <c r="AE766" s="1181"/>
      <c r="AF766" s="8886">
        <v>45292</v>
      </c>
      <c r="AG766" s="8734" t="s">
        <v>63</v>
      </c>
      <c r="AH766" s="8905">
        <v>45657</v>
      </c>
      <c r="AI766" s="8734" t="s">
        <v>63</v>
      </c>
      <c r="AJ766" s="1358"/>
      <c r="AK76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66" s="1562" t="e">
        <f ca="1">STRCHECKDATE(V767:AJ767)</f>
        <v>#NAME?</v>
      </c>
      <c r="AM766" s="1544"/>
      <c r="AN766" s="1544" t="str">
        <f t="shared" si="12"/>
        <v>Тариф для населения, руб. за 1 куб. метр с НДС</v>
      </c>
      <c r="AO766" s="1544"/>
      <c r="AP766" s="1544"/>
    </row>
    <row r="767" spans="1:42" s="1818" customFormat="1" ht="14.25" customHeight="1">
      <c r="A767" s="1284"/>
      <c r="B767" s="1284"/>
      <c r="C767" s="1284"/>
      <c r="D767" s="1284"/>
      <c r="E767" s="8884" t="s">
        <v>551</v>
      </c>
      <c r="F767" s="8884"/>
      <c r="G767" s="8884"/>
      <c r="H767" s="8884"/>
      <c r="I767" s="8904"/>
      <c r="J767" s="8904"/>
      <c r="K767" s="8881"/>
      <c r="L767" s="1290"/>
      <c r="M767" s="1696"/>
      <c r="N767" s="1696"/>
      <c r="O767" s="1696"/>
      <c r="P767" s="8882"/>
      <c r="Q767" s="8882"/>
      <c r="R767" s="278"/>
      <c r="S767" s="1815"/>
      <c r="T767" s="214"/>
      <c r="U767" s="214"/>
      <c r="V767" s="246"/>
      <c r="W767" s="246"/>
      <c r="X767" s="250" t="str">
        <f>Y766&amp;"-"&amp;AA766</f>
        <v>-</v>
      </c>
      <c r="Y767" s="8887"/>
      <c r="Z767" s="8734"/>
      <c r="AA767" s="8887"/>
      <c r="AB767" s="8734"/>
      <c r="AC767" s="246"/>
      <c r="AD767" s="246"/>
      <c r="AE767" s="250" t="str">
        <f>AF766&amp;"-"&amp;AH766</f>
        <v>45292-45657</v>
      </c>
      <c r="AF767" s="8887"/>
      <c r="AG767" s="8734"/>
      <c r="AH767" s="8906"/>
      <c r="AI767" s="8734"/>
      <c r="AJ767" s="1359"/>
      <c r="AK767" s="8941"/>
      <c r="AL767" s="1562"/>
      <c r="AM767" s="1544"/>
      <c r="AN767" s="1544" t="str">
        <f t="shared" si="12"/>
        <v/>
      </c>
      <c r="AO767" s="1544"/>
      <c r="AP767" s="1544"/>
    </row>
    <row r="768" spans="1:42" s="1818" customFormat="1" ht="21" customHeight="1">
      <c r="A768" s="1284"/>
      <c r="B768" s="1284"/>
      <c r="C768" s="1284"/>
      <c r="D768" s="1284"/>
      <c r="E768" s="8884" t="s">
        <v>551</v>
      </c>
      <c r="F768" s="8884"/>
      <c r="G768" s="8884"/>
      <c r="H768" s="8884"/>
      <c r="I768" s="8904"/>
      <c r="J768" s="8881"/>
      <c r="K768" s="1284"/>
      <c r="L768" s="1290"/>
      <c r="M768" s="1696"/>
      <c r="N768" s="1696"/>
      <c r="O768" s="1696"/>
      <c r="P768" s="8882"/>
      <c r="Q768" s="8882"/>
      <c r="R768" s="277"/>
      <c r="S768" s="5129"/>
      <c r="T768" s="5130" t="s">
        <v>948</v>
      </c>
      <c r="U768" s="5131"/>
      <c r="V768" s="5132"/>
      <c r="W768" s="5133"/>
      <c r="X768" s="5134"/>
      <c r="Y768" s="5135"/>
      <c r="Z768" s="5136"/>
      <c r="AA768" s="5137"/>
      <c r="AB768" s="5138"/>
      <c r="AC768" s="5139"/>
      <c r="AD768" s="5140"/>
      <c r="AE768" s="5141"/>
      <c r="AF768" s="5142"/>
      <c r="AG768" s="5143"/>
      <c r="AH768" s="5144"/>
      <c r="AI768" s="5145"/>
      <c r="AJ768" s="5146"/>
      <c r="AK768" s="1182" t="s">
        <v>949</v>
      </c>
      <c r="AL768" s="1562"/>
      <c r="AM768" s="1544"/>
      <c r="AN768" s="1544" t="str">
        <f t="shared" si="12"/>
        <v>Добавить значение признака дифференциации</v>
      </c>
      <c r="AO768" s="1544"/>
      <c r="AP768" s="1544"/>
    </row>
    <row r="769" spans="1:42" s="1818" customFormat="1" ht="23.25" customHeight="1">
      <c r="A769" s="1284"/>
      <c r="B769" s="1284"/>
      <c r="C769" s="1284"/>
      <c r="D769" s="1284"/>
      <c r="E769" s="8884"/>
      <c r="F769" s="8884"/>
      <c r="G769" s="8884"/>
      <c r="H769" s="8884"/>
      <c r="I769" s="8904"/>
      <c r="J769" s="8881" t="str">
        <f>I764&amp;".2"</f>
        <v>46.1.1.1.2</v>
      </c>
      <c r="K769" s="1284"/>
      <c r="L769" s="1290" t="s">
        <v>871</v>
      </c>
      <c r="M769" s="1696"/>
      <c r="N769" s="1696"/>
      <c r="O769" s="1696"/>
      <c r="P769" s="8882"/>
      <c r="Q769" s="8948" t="s">
        <v>100</v>
      </c>
      <c r="R769" s="278"/>
      <c r="S769" s="1810" t="str">
        <f>$J769</f>
        <v>46.1.1.1.2</v>
      </c>
      <c r="T769" s="201" t="s">
        <v>872</v>
      </c>
      <c r="U769" s="214"/>
      <c r="V769" s="8872"/>
      <c r="W769" s="8873"/>
      <c r="X769" s="8873"/>
      <c r="Y769" s="8873"/>
      <c r="Z769" s="8873"/>
      <c r="AA769" s="8873"/>
      <c r="AB769" s="8874"/>
      <c r="AC769" s="8872" t="s">
        <v>963</v>
      </c>
      <c r="AD769" s="8873"/>
      <c r="AE769" s="8873"/>
      <c r="AF769" s="8873"/>
      <c r="AG769" s="8873"/>
      <c r="AH769" s="8873"/>
      <c r="AI769" s="8873"/>
      <c r="AJ769" s="8874"/>
      <c r="AK769" s="1231" t="s">
        <v>947</v>
      </c>
      <c r="AL769" s="1562"/>
      <c r="AM769" s="1544"/>
      <c r="AN769" s="1544" t="str">
        <f t="shared" si="12"/>
        <v>Группа потребителей</v>
      </c>
      <c r="AO769" s="1544"/>
      <c r="AP769" s="1544"/>
    </row>
    <row r="770" spans="1:42" s="1818" customFormat="1" ht="23.25" customHeight="1">
      <c r="A770" s="1284"/>
      <c r="B770" s="1284"/>
      <c r="C770" s="1284"/>
      <c r="D770" s="1284"/>
      <c r="E770" s="8884"/>
      <c r="F770" s="8884"/>
      <c r="G770" s="8884"/>
      <c r="H770" s="8884"/>
      <c r="I770" s="8904"/>
      <c r="J770" s="8904" t="str">
        <f>I764&amp;".1"</f>
        <v>46.1.1.1.1</v>
      </c>
      <c r="K770" s="8881" t="str">
        <f>J769&amp;".1"</f>
        <v>46.1.1.1.2.1</v>
      </c>
      <c r="L770" s="1290"/>
      <c r="M770" s="1696"/>
      <c r="N770" s="1696"/>
      <c r="O770" s="1696"/>
      <c r="P770" s="8882"/>
      <c r="Q770" s="8882"/>
      <c r="R770" s="278">
        <v>1</v>
      </c>
      <c r="S770" s="1810" t="str">
        <f>$K770</f>
        <v>46.1.1.1.2.1</v>
      </c>
      <c r="T770" s="1357" t="s">
        <v>964</v>
      </c>
      <c r="U770" s="214"/>
      <c r="V770" s="666"/>
      <c r="W770" s="666"/>
      <c r="X770" s="1181"/>
      <c r="Y770" s="8886"/>
      <c r="Z770" s="8734" t="s">
        <v>63</v>
      </c>
      <c r="AA770" s="8886"/>
      <c r="AB770" s="8734" t="s">
        <v>63</v>
      </c>
      <c r="AC770" s="666">
        <v>1008.68</v>
      </c>
      <c r="AD770" s="666"/>
      <c r="AE770" s="1181"/>
      <c r="AF770" s="8886">
        <v>45292</v>
      </c>
      <c r="AG770" s="8734" t="s">
        <v>63</v>
      </c>
      <c r="AH770" s="8905">
        <v>45657</v>
      </c>
      <c r="AI770" s="8734" t="s">
        <v>63</v>
      </c>
      <c r="AJ770" s="1358"/>
      <c r="AK77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70" s="1562" t="e">
        <f ca="1">STRCHECKDATE(V771:AJ771)</f>
        <v>#NAME?</v>
      </c>
      <c r="AM770" s="1544"/>
      <c r="AN770" s="1544" t="str">
        <f t="shared" si="12"/>
        <v>Тариф, руб. за 1 куб. метр без НДС</v>
      </c>
      <c r="AO770" s="1544"/>
      <c r="AP770" s="1544"/>
    </row>
    <row r="771" spans="1:42" s="1818" customFormat="1" ht="14.25" customHeight="1">
      <c r="A771" s="1284"/>
      <c r="B771" s="1284"/>
      <c r="C771" s="1284"/>
      <c r="D771" s="1284"/>
      <c r="E771" s="8884"/>
      <c r="F771" s="8884"/>
      <c r="G771" s="8884"/>
      <c r="H771" s="8884"/>
      <c r="I771" s="8904"/>
      <c r="J771" s="8904" t="str">
        <f>I764&amp;".1"</f>
        <v>46.1.1.1.1</v>
      </c>
      <c r="K771" s="8881"/>
      <c r="L771" s="1290"/>
      <c r="M771" s="1696"/>
      <c r="N771" s="1696"/>
      <c r="O771" s="1696"/>
      <c r="P771" s="8882"/>
      <c r="Q771" s="8882"/>
      <c r="R771" s="278"/>
      <c r="S771" s="1815"/>
      <c r="T771" s="214"/>
      <c r="U771" s="214"/>
      <c r="V771" s="246"/>
      <c r="W771" s="246"/>
      <c r="X771" s="250" t="str">
        <f>Y770&amp;"-"&amp;AA770</f>
        <v>-</v>
      </c>
      <c r="Y771" s="8887"/>
      <c r="Z771" s="8734"/>
      <c r="AA771" s="8887"/>
      <c r="AB771" s="8734"/>
      <c r="AC771" s="246"/>
      <c r="AD771" s="246"/>
      <c r="AE771" s="250" t="str">
        <f>AF770&amp;"-"&amp;AH770</f>
        <v>45292-45657</v>
      </c>
      <c r="AF771" s="8887"/>
      <c r="AG771" s="8734"/>
      <c r="AH771" s="8906"/>
      <c r="AI771" s="8734"/>
      <c r="AJ771" s="1359"/>
      <c r="AK771" s="8941"/>
      <c r="AL771" s="1562"/>
      <c r="AM771" s="1544"/>
      <c r="AN771" s="1544" t="str">
        <f t="shared" si="12"/>
        <v/>
      </c>
      <c r="AO771" s="1544"/>
      <c r="AP771" s="1544"/>
    </row>
    <row r="772" spans="1:42" s="1818" customFormat="1" ht="21" customHeight="1">
      <c r="A772" s="1284"/>
      <c r="B772" s="1284"/>
      <c r="C772" s="1284"/>
      <c r="D772" s="1284"/>
      <c r="E772" s="8884"/>
      <c r="F772" s="8884"/>
      <c r="G772" s="8884"/>
      <c r="H772" s="8884"/>
      <c r="I772" s="8904"/>
      <c r="J772" s="8881" t="str">
        <f>I764&amp;".1"</f>
        <v>46.1.1.1.1</v>
      </c>
      <c r="K772" s="1284"/>
      <c r="L772" s="1290"/>
      <c r="M772" s="1696"/>
      <c r="N772" s="1696"/>
      <c r="O772" s="1696"/>
      <c r="P772" s="8882"/>
      <c r="Q772" s="8882"/>
      <c r="R772" s="277"/>
      <c r="S772" s="5147"/>
      <c r="T772" s="5148" t="s">
        <v>948</v>
      </c>
      <c r="U772" s="5149"/>
      <c r="V772" s="5150"/>
      <c r="W772" s="5151"/>
      <c r="X772" s="5152"/>
      <c r="Y772" s="5153"/>
      <c r="Z772" s="5154"/>
      <c r="AA772" s="5155"/>
      <c r="AB772" s="5156"/>
      <c r="AC772" s="5157"/>
      <c r="AD772" s="5158"/>
      <c r="AE772" s="5159"/>
      <c r="AF772" s="5160"/>
      <c r="AG772" s="5161"/>
      <c r="AH772" s="5162"/>
      <c r="AI772" s="5163"/>
      <c r="AJ772" s="5164"/>
      <c r="AK772" s="1182" t="s">
        <v>949</v>
      </c>
      <c r="AL772" s="1562"/>
      <c r="AM772" s="1544"/>
      <c r="AN772" s="1544" t="str">
        <f t="shared" si="12"/>
        <v>Добавить значение признака дифференциации</v>
      </c>
      <c r="AO772" s="1544"/>
      <c r="AP772" s="1544"/>
    </row>
    <row r="773" spans="1:42" s="1818" customFormat="1" ht="21" customHeight="1">
      <c r="A773" s="1284"/>
      <c r="B773" s="1284"/>
      <c r="C773" s="1284"/>
      <c r="D773" s="1284"/>
      <c r="E773" s="8884" t="s">
        <v>551</v>
      </c>
      <c r="F773" s="8884"/>
      <c r="G773" s="8884"/>
      <c r="H773" s="8884"/>
      <c r="I773" s="8881"/>
      <c r="J773" s="1284"/>
      <c r="K773" s="1284"/>
      <c r="L773" s="1290"/>
      <c r="M773" s="1696"/>
      <c r="N773" s="1696"/>
      <c r="O773" s="1696"/>
      <c r="P773" s="8882"/>
      <c r="Q773" s="1811"/>
      <c r="R773" s="277"/>
      <c r="S773" s="5165"/>
      <c r="T773" s="5166" t="s">
        <v>877</v>
      </c>
      <c r="U773" s="5167"/>
      <c r="V773" s="5168"/>
      <c r="W773" s="5169"/>
      <c r="X773" s="5170"/>
      <c r="Y773" s="5171"/>
      <c r="Z773" s="5172"/>
      <c r="AA773" s="5173"/>
      <c r="AB773" s="5174"/>
      <c r="AC773" s="5175"/>
      <c r="AD773" s="5176"/>
      <c r="AE773" s="5177"/>
      <c r="AF773" s="5178"/>
      <c r="AG773" s="5179"/>
      <c r="AH773" s="5180"/>
      <c r="AI773" s="5181"/>
      <c r="AJ773" s="5182"/>
      <c r="AK773" s="5183"/>
      <c r="AL773" s="1562"/>
      <c r="AM773" s="1544"/>
      <c r="AN773" s="1544" t="str">
        <f t="shared" si="12"/>
        <v>Добавить группу потребителей</v>
      </c>
      <c r="AO773" s="1544"/>
      <c r="AP773" s="1544"/>
    </row>
    <row r="774" spans="1:42" s="1818" customFormat="1" ht="21" customHeight="1">
      <c r="A774" s="1284"/>
      <c r="B774" s="1284"/>
      <c r="C774" s="1284"/>
      <c r="D774" s="1284"/>
      <c r="E774" s="8884" t="s">
        <v>551</v>
      </c>
      <c r="F774" s="8884"/>
      <c r="G774" s="8884"/>
      <c r="H774" s="8883"/>
      <c r="I774" s="1284"/>
      <c r="J774" s="1284"/>
      <c r="K774" s="1284"/>
      <c r="L774" s="1290"/>
      <c r="M774" s="1286"/>
      <c r="N774" s="1286"/>
      <c r="O774" s="1287"/>
      <c r="P774" s="1742"/>
      <c r="Q774" s="299"/>
      <c r="R774" s="276"/>
      <c r="S774" s="5184"/>
      <c r="T774" s="5185" t="s">
        <v>950</v>
      </c>
      <c r="U774" s="5186"/>
      <c r="V774" s="5187"/>
      <c r="W774" s="5188"/>
      <c r="X774" s="5189"/>
      <c r="Y774" s="5190"/>
      <c r="Z774" s="5191"/>
      <c r="AA774" s="5192"/>
      <c r="AB774" s="5193"/>
      <c r="AC774" s="5194"/>
      <c r="AD774" s="5195"/>
      <c r="AE774" s="5196"/>
      <c r="AF774" s="5197"/>
      <c r="AG774" s="5198"/>
      <c r="AH774" s="5199"/>
      <c r="AI774" s="5200"/>
      <c r="AJ774" s="5201"/>
      <c r="AK774" s="5202"/>
      <c r="AL774" s="1562"/>
      <c r="AM774" s="1544"/>
      <c r="AN774" s="1544" t="str">
        <f t="shared" si="12"/>
        <v>Добавить наименование признака дифференциации</v>
      </c>
      <c r="AO774" s="1544"/>
      <c r="AP774" s="1544"/>
    </row>
    <row r="775" spans="1:42" s="541" customFormat="1" ht="14.25" customHeight="1">
      <c r="A775" s="1265"/>
      <c r="B775" s="1265"/>
      <c r="C775" s="1265"/>
      <c r="D775" s="1265"/>
      <c r="E775" s="8884" t="s">
        <v>551</v>
      </c>
      <c r="F775" s="8883"/>
      <c r="G775" s="1265"/>
      <c r="H775" s="1265"/>
      <c r="I775" s="1265"/>
      <c r="J775" s="1265"/>
      <c r="K775" s="1265"/>
      <c r="L775" s="1466"/>
      <c r="M775" s="1244"/>
      <c r="N775" s="1244"/>
      <c r="O775" s="1562"/>
      <c r="P775" s="1239"/>
      <c r="Q775" s="1266"/>
      <c r="R775" s="1239"/>
      <c r="S775" s="1245"/>
      <c r="T775" s="1248" t="s">
        <v>314</v>
      </c>
      <c r="U775" s="1247"/>
      <c r="V775" s="1247"/>
      <c r="W775" s="1247"/>
      <c r="X775" s="1247"/>
      <c r="Y775" s="1247"/>
      <c r="Z775" s="1247"/>
      <c r="AA775" s="1247"/>
      <c r="AB775" s="1247"/>
      <c r="AC775" s="1247"/>
      <c r="AD775" s="1247"/>
      <c r="AE775" s="1247"/>
      <c r="AF775" s="1247"/>
      <c r="AG775" s="1247"/>
      <c r="AH775" s="1247"/>
      <c r="AI775" s="1247"/>
      <c r="AJ775" s="1247"/>
      <c r="AK775" s="1247"/>
      <c r="AL775" s="1562"/>
      <c r="AM775" s="1544"/>
      <c r="AN775" s="1544" t="str">
        <f t="shared" si="12"/>
        <v>Добавить централизованную систему для дифференциации</v>
      </c>
      <c r="AO775" s="1544"/>
      <c r="AP775" s="1544"/>
    </row>
    <row r="776" spans="1:42" s="541" customFormat="1" ht="14.25" customHeight="1">
      <c r="A776" s="1265"/>
      <c r="B776" s="1265"/>
      <c r="C776" s="1265"/>
      <c r="D776" s="1265"/>
      <c r="E776" s="8883" t="s">
        <v>551</v>
      </c>
      <c r="F776" s="1265"/>
      <c r="G776" s="1265"/>
      <c r="H776" s="1265"/>
      <c r="I776" s="1265"/>
      <c r="J776" s="1265"/>
      <c r="K776" s="1265"/>
      <c r="L776" s="1466"/>
      <c r="M776" s="1244"/>
      <c r="N776" s="1244"/>
      <c r="O776" s="1562"/>
      <c r="P776" s="1239"/>
      <c r="Q776" s="1266"/>
      <c r="R776" s="1239"/>
      <c r="S776" s="1245"/>
      <c r="T776" s="1248" t="s">
        <v>315</v>
      </c>
      <c r="U776" s="1247"/>
      <c r="V776" s="1247"/>
      <c r="W776" s="1247"/>
      <c r="X776" s="1247"/>
      <c r="Y776" s="1247"/>
      <c r="Z776" s="1247"/>
      <c r="AA776" s="1247"/>
      <c r="AB776" s="1247"/>
      <c r="AC776" s="1247"/>
      <c r="AD776" s="1247"/>
      <c r="AE776" s="1247"/>
      <c r="AF776" s="1247"/>
      <c r="AG776" s="1247"/>
      <c r="AH776" s="1247"/>
      <c r="AI776" s="1247"/>
      <c r="AJ776" s="1247"/>
      <c r="AK776" s="1247"/>
      <c r="AL776" s="1562"/>
      <c r="AM776" s="1544"/>
      <c r="AN776" s="1544" t="str">
        <f t="shared" si="12"/>
        <v>Добавить территорию для дифференциации</v>
      </c>
      <c r="AO776" s="1544"/>
      <c r="AP776" s="1544"/>
    </row>
    <row r="777" spans="1:42" s="1818" customFormat="1" ht="23.25" customHeight="1">
      <c r="A777" s="1284" t="s">
        <v>565</v>
      </c>
      <c r="B777" s="1284"/>
      <c r="C777" s="1284"/>
      <c r="D777" s="1284"/>
      <c r="E777" s="8883" t="s">
        <v>563</v>
      </c>
      <c r="F777" s="1284"/>
      <c r="G777" s="1284"/>
      <c r="H777" s="1284"/>
      <c r="I777" s="1284"/>
      <c r="J777" s="1284"/>
      <c r="K777" s="1284"/>
      <c r="L777" s="1290"/>
      <c r="M777" s="1286"/>
      <c r="N777" s="1286"/>
      <c r="O777" s="1286"/>
      <c r="P777" s="1812"/>
      <c r="Q777" s="1742"/>
      <c r="R777" s="276"/>
      <c r="S777" s="1810" t="str">
        <f>INDEX(PT_DIFFERENTIATION_NUM_NTAR,MATCH(A777,PT_DIFFERENTIATION_NTAR_ID,0))</f>
        <v>47</v>
      </c>
      <c r="T777" s="1440" t="s">
        <v>211</v>
      </c>
      <c r="U777" s="214"/>
      <c r="V777" s="8869"/>
      <c r="W777" s="8870"/>
      <c r="X777" s="8870"/>
      <c r="Y777" s="8870"/>
      <c r="Z777" s="8870"/>
      <c r="AA777" s="8870"/>
      <c r="AB777" s="8871"/>
      <c r="AC777" s="8869" t="str">
        <f>INDEX(PT_DIFFERENTIATION_NTAR,MATCH(A777,PT_DIFFERENTIATION_NTAR_ID,0))</f>
        <v>Подвоз воды потребителям поселка Приэтокского</v>
      </c>
      <c r="AD777" s="8870"/>
      <c r="AE777" s="8870"/>
      <c r="AF777" s="8870"/>
      <c r="AG777" s="8870"/>
      <c r="AH777" s="8870"/>
      <c r="AI777" s="8870"/>
      <c r="AJ777" s="8871"/>
      <c r="AK77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777" s="1562"/>
      <c r="AM777" s="1544"/>
      <c r="AN777" s="1544" t="str">
        <f t="shared" si="12"/>
        <v>Наименование тарифа</v>
      </c>
      <c r="AO777" s="1544"/>
      <c r="AP777" s="1544"/>
    </row>
    <row r="778" spans="1:42" s="1818" customFormat="1" ht="23.25" customHeight="1">
      <c r="A778" s="1284"/>
      <c r="B778" s="1284" t="s">
        <v>566</v>
      </c>
      <c r="C778" s="1284"/>
      <c r="D778" s="1284"/>
      <c r="E778" s="8884" t="s">
        <v>557</v>
      </c>
      <c r="F778" s="8883">
        <v>1</v>
      </c>
      <c r="G778" s="1284"/>
      <c r="H778" s="1284"/>
      <c r="I778" s="1284"/>
      <c r="J778" s="1284"/>
      <c r="K778" s="1284"/>
      <c r="L778" s="1290"/>
      <c r="M778" s="1286"/>
      <c r="N778" s="1286"/>
      <c r="O778" s="1286"/>
      <c r="P778" s="1807"/>
      <c r="Q778" s="273"/>
      <c r="R778" s="274"/>
      <c r="S778" s="1810" t="str">
        <f>INDEX(PT_DIFFERENTIATION_NUM_TER,MATCH(B778,PT_DIFFERENTIATION_TER_ID,0))</f>
        <v>47.1</v>
      </c>
      <c r="T778" s="1437" t="s">
        <v>862</v>
      </c>
      <c r="U778" s="214"/>
      <c r="V778" s="8869"/>
      <c r="W778" s="8870"/>
      <c r="X778" s="8870"/>
      <c r="Y778" s="8870"/>
      <c r="Z778" s="8870"/>
      <c r="AA778" s="8870"/>
      <c r="AB778" s="8871"/>
      <c r="AC778" s="8869" t="str">
        <f>INDEX(PT_DIFFERENTIATION_TER,MATCH(B778,PT_DIFFERENTIATION_TER_ID,0))</f>
        <v>Территория 13</v>
      </c>
      <c r="AD778" s="8870"/>
      <c r="AE778" s="8870"/>
      <c r="AF778" s="8870"/>
      <c r="AG778" s="8870"/>
      <c r="AH778" s="8870"/>
      <c r="AI778" s="8870"/>
      <c r="AJ778" s="8871"/>
      <c r="AK778" s="1182" t="s">
        <v>863</v>
      </c>
      <c r="AL778" s="1562"/>
      <c r="AM778" s="1544"/>
      <c r="AN778" s="1544" t="str">
        <f t="shared" si="12"/>
        <v>Территория действия тарифа</v>
      </c>
      <c r="AO778" s="1544"/>
      <c r="AP778" s="1544"/>
    </row>
    <row r="779" spans="1:42" s="1818" customFormat="1" ht="23.25" customHeight="1">
      <c r="A779" s="1284"/>
      <c r="B779" s="1284"/>
      <c r="C779" s="1284" t="s">
        <v>567</v>
      </c>
      <c r="D779" s="1284"/>
      <c r="E779" s="8884" t="s">
        <v>557</v>
      </c>
      <c r="F779" s="8884"/>
      <c r="G779" s="8883">
        <v>1</v>
      </c>
      <c r="H779" s="1284"/>
      <c r="I779" s="1284"/>
      <c r="J779" s="1284"/>
      <c r="K779" s="1284"/>
      <c r="L779" s="1290"/>
      <c r="M779" s="1286"/>
      <c r="N779" s="1286"/>
      <c r="O779" s="1286"/>
      <c r="P779" s="275"/>
      <c r="Q779" s="273"/>
      <c r="R779" s="274"/>
      <c r="S779" s="1810" t="str">
        <f>INDEX(PT_DIFFERENTIATION_NUM_CS,MATCH(C779,PT_DIFFERENTIATION_CS_ID,0))</f>
        <v>47.1.1</v>
      </c>
      <c r="T779" s="225" t="s">
        <v>943</v>
      </c>
      <c r="U779" s="214"/>
      <c r="V779" s="8869"/>
      <c r="W779" s="8870"/>
      <c r="X779" s="8870"/>
      <c r="Y779" s="8870"/>
      <c r="Z779" s="8870"/>
      <c r="AA779" s="8870"/>
      <c r="AB779" s="8871"/>
      <c r="AC779" s="8869" t="str">
        <f>INDEX(PT_DIFFERENTIATION_CS,MATCH(C779,PT_DIFFERENTIATION_CS_ID,0))</f>
        <v>без дифференциации</v>
      </c>
      <c r="AD779" s="8870"/>
      <c r="AE779" s="8870"/>
      <c r="AF779" s="8870"/>
      <c r="AG779" s="8870"/>
      <c r="AH779" s="8870"/>
      <c r="AI779" s="8870"/>
      <c r="AJ779" s="8871"/>
      <c r="AK779" s="1182" t="s">
        <v>944</v>
      </c>
      <c r="AL779" s="1562"/>
      <c r="AM779" s="1544"/>
      <c r="AN779" s="1544" t="str">
        <f t="shared" si="12"/>
        <v>Наименование централизованной системы холодного водоснабжения</v>
      </c>
      <c r="AO779" s="1544"/>
      <c r="AP779" s="1544"/>
    </row>
    <row r="780" spans="1:42" s="1818" customFormat="1" ht="23.25" customHeight="1">
      <c r="A780" s="1284"/>
      <c r="B780" s="1284"/>
      <c r="C780" s="1284"/>
      <c r="D780" s="1284"/>
      <c r="E780" s="8884" t="s">
        <v>557</v>
      </c>
      <c r="F780" s="8884"/>
      <c r="G780" s="8884"/>
      <c r="H780" s="8884"/>
      <c r="I780" s="8881" t="str">
        <f>S779&amp;".1"</f>
        <v>47.1.1.1</v>
      </c>
      <c r="J780" s="1284"/>
      <c r="K780" s="1284"/>
      <c r="L780" s="1290"/>
      <c r="M780" s="1696"/>
      <c r="N780" s="1696"/>
      <c r="O780" s="1696"/>
      <c r="P780" s="8882">
        <v>1</v>
      </c>
      <c r="Q780" s="1811"/>
      <c r="R780" s="277"/>
      <c r="S780" s="1810" t="str">
        <f>$I780</f>
        <v>47.1.1.1</v>
      </c>
      <c r="T780" s="200" t="s">
        <v>945</v>
      </c>
      <c r="U780" s="214"/>
      <c r="V780" s="8942"/>
      <c r="W780" s="8943"/>
      <c r="X780" s="8943"/>
      <c r="Y780" s="8943"/>
      <c r="Z780" s="8943"/>
      <c r="AA780" s="8943"/>
      <c r="AB780" s="8944"/>
      <c r="AC780" s="8945"/>
      <c r="AD780" s="8946"/>
      <c r="AE780" s="8946"/>
      <c r="AF780" s="8946"/>
      <c r="AG780" s="8946"/>
      <c r="AH780" s="8946"/>
      <c r="AI780" s="8946"/>
      <c r="AJ780" s="8947"/>
      <c r="AK780" s="1182" t="s">
        <v>946</v>
      </c>
      <c r="AL780" s="1562"/>
      <c r="AM780" s="1544"/>
      <c r="AN780" s="1544" t="str">
        <f t="shared" si="12"/>
        <v>Наименование признака дифференциации</v>
      </c>
      <c r="AO780" s="1544"/>
      <c r="AP780" s="1544"/>
    </row>
    <row r="781" spans="1:42" s="1818" customFormat="1" ht="23.25" customHeight="1">
      <c r="A781" s="1284"/>
      <c r="B781" s="1284"/>
      <c r="C781" s="1284"/>
      <c r="D781" s="1284"/>
      <c r="E781" s="8884" t="s">
        <v>557</v>
      </c>
      <c r="F781" s="8884"/>
      <c r="G781" s="8884"/>
      <c r="H781" s="8884"/>
      <c r="I781" s="8904"/>
      <c r="J781" s="8881" t="str">
        <f>I780&amp;".1"</f>
        <v>47.1.1.1.1</v>
      </c>
      <c r="K781" s="1284"/>
      <c r="L781" s="1290" t="s">
        <v>871</v>
      </c>
      <c r="M781" s="1696"/>
      <c r="N781" s="1696"/>
      <c r="O781" s="1696"/>
      <c r="P781" s="8882"/>
      <c r="Q781" s="8882">
        <v>1</v>
      </c>
      <c r="R781" s="278"/>
      <c r="S781" s="1810" t="str">
        <f>$J781</f>
        <v>47.1.1.1.1</v>
      </c>
      <c r="T781" s="201" t="s">
        <v>872</v>
      </c>
      <c r="U781" s="214"/>
      <c r="V781" s="8872"/>
      <c r="W781" s="8873"/>
      <c r="X781" s="8873"/>
      <c r="Y781" s="8873"/>
      <c r="Z781" s="8873"/>
      <c r="AA781" s="8873"/>
      <c r="AB781" s="8874"/>
      <c r="AC781" s="8872" t="s">
        <v>961</v>
      </c>
      <c r="AD781" s="8873"/>
      <c r="AE781" s="8873"/>
      <c r="AF781" s="8873"/>
      <c r="AG781" s="8873"/>
      <c r="AH781" s="8873"/>
      <c r="AI781" s="8873"/>
      <c r="AJ781" s="8874"/>
      <c r="AK781" s="1231" t="s">
        <v>947</v>
      </c>
      <c r="AL781" s="1562"/>
      <c r="AM781" s="1544"/>
      <c r="AN781" s="1544" t="str">
        <f t="shared" si="12"/>
        <v>Группа потребителей</v>
      </c>
      <c r="AO781" s="1544"/>
      <c r="AP781" s="1544"/>
    </row>
    <row r="782" spans="1:42" s="1818" customFormat="1" ht="23.25" customHeight="1">
      <c r="A782" s="1284"/>
      <c r="B782" s="1284"/>
      <c r="C782" s="1284"/>
      <c r="D782" s="1284"/>
      <c r="E782" s="8884" t="s">
        <v>557</v>
      </c>
      <c r="F782" s="8884"/>
      <c r="G782" s="8884"/>
      <c r="H782" s="8884"/>
      <c r="I782" s="8904"/>
      <c r="J782" s="8904"/>
      <c r="K782" s="8881" t="str">
        <f>J781&amp;".1"</f>
        <v>47.1.1.1.1.1</v>
      </c>
      <c r="L782" s="1290"/>
      <c r="M782" s="1696"/>
      <c r="N782" s="1696"/>
      <c r="O782" s="1696"/>
      <c r="P782" s="8882"/>
      <c r="Q782" s="8882"/>
      <c r="R782" s="278">
        <v>1</v>
      </c>
      <c r="S782" s="1810" t="str">
        <f>$K782</f>
        <v>47.1.1.1.1.1</v>
      </c>
      <c r="T782" s="1357" t="s">
        <v>962</v>
      </c>
      <c r="U782" s="214"/>
      <c r="V782" s="666"/>
      <c r="W782" s="666"/>
      <c r="X782" s="1181"/>
      <c r="Y782" s="8886"/>
      <c r="Z782" s="8734" t="s">
        <v>63</v>
      </c>
      <c r="AA782" s="8886"/>
      <c r="AB782" s="8734" t="s">
        <v>63</v>
      </c>
      <c r="AC782" s="666">
        <v>986.04</v>
      </c>
      <c r="AD782" s="666"/>
      <c r="AE782" s="1181"/>
      <c r="AF782" s="8886">
        <v>45292</v>
      </c>
      <c r="AG782" s="8734" t="s">
        <v>63</v>
      </c>
      <c r="AH782" s="8905">
        <v>45657</v>
      </c>
      <c r="AI782" s="8734" t="s">
        <v>63</v>
      </c>
      <c r="AJ782" s="1358"/>
      <c r="AK78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2" s="1562" t="e">
        <f ca="1">STRCHECKDATE(V783:AJ783)</f>
        <v>#NAME?</v>
      </c>
      <c r="AM782" s="1544"/>
      <c r="AN782" s="1544" t="str">
        <f t="shared" si="12"/>
        <v>Тариф для населения, руб. за 1 куб. метр с НДС</v>
      </c>
      <c r="AO782" s="1544"/>
      <c r="AP782" s="1544"/>
    </row>
    <row r="783" spans="1:42" s="1818" customFormat="1" ht="14.25" customHeight="1">
      <c r="A783" s="1284"/>
      <c r="B783" s="1284"/>
      <c r="C783" s="1284"/>
      <c r="D783" s="1284"/>
      <c r="E783" s="8884" t="s">
        <v>557</v>
      </c>
      <c r="F783" s="8884"/>
      <c r="G783" s="8884"/>
      <c r="H783" s="8884"/>
      <c r="I783" s="8904"/>
      <c r="J783" s="8904"/>
      <c r="K783" s="8881"/>
      <c r="L783" s="1290"/>
      <c r="M783" s="1696"/>
      <c r="N783" s="1696"/>
      <c r="O783" s="1696"/>
      <c r="P783" s="8882"/>
      <c r="Q783" s="8882"/>
      <c r="R783" s="278"/>
      <c r="S783" s="1815"/>
      <c r="T783" s="214"/>
      <c r="U783" s="214"/>
      <c r="V783" s="246"/>
      <c r="W783" s="246"/>
      <c r="X783" s="250" t="str">
        <f>Y782&amp;"-"&amp;AA782</f>
        <v>-</v>
      </c>
      <c r="Y783" s="8887"/>
      <c r="Z783" s="8734"/>
      <c r="AA783" s="8887"/>
      <c r="AB783" s="8734"/>
      <c r="AC783" s="246"/>
      <c r="AD783" s="246"/>
      <c r="AE783" s="250" t="str">
        <f>AF782&amp;"-"&amp;AH782</f>
        <v>45292-45657</v>
      </c>
      <c r="AF783" s="8887"/>
      <c r="AG783" s="8734"/>
      <c r="AH783" s="8906"/>
      <c r="AI783" s="8734"/>
      <c r="AJ783" s="1359"/>
      <c r="AK783" s="8941"/>
      <c r="AL783" s="1562"/>
      <c r="AM783" s="1544"/>
      <c r="AN783" s="1544" t="str">
        <f t="shared" si="12"/>
        <v/>
      </c>
      <c r="AO783" s="1544"/>
      <c r="AP783" s="1544"/>
    </row>
    <row r="784" spans="1:42" s="1818" customFormat="1" ht="21" customHeight="1">
      <c r="A784" s="1284"/>
      <c r="B784" s="1284"/>
      <c r="C784" s="1284"/>
      <c r="D784" s="1284"/>
      <c r="E784" s="8884" t="s">
        <v>557</v>
      </c>
      <c r="F784" s="8884"/>
      <c r="G784" s="8884"/>
      <c r="H784" s="8884"/>
      <c r="I784" s="8904"/>
      <c r="J784" s="8881"/>
      <c r="K784" s="1284"/>
      <c r="L784" s="1290"/>
      <c r="M784" s="1696"/>
      <c r="N784" s="1696"/>
      <c r="O784" s="1696"/>
      <c r="P784" s="8882"/>
      <c r="Q784" s="8882"/>
      <c r="R784" s="277"/>
      <c r="S784" s="5203"/>
      <c r="T784" s="5204" t="s">
        <v>948</v>
      </c>
      <c r="U784" s="5205"/>
      <c r="V784" s="5206"/>
      <c r="W784" s="5207"/>
      <c r="X784" s="5208"/>
      <c r="Y784" s="5209"/>
      <c r="Z784" s="5210"/>
      <c r="AA784" s="5211"/>
      <c r="AB784" s="5212"/>
      <c r="AC784" s="5213"/>
      <c r="AD784" s="5214"/>
      <c r="AE784" s="5215"/>
      <c r="AF784" s="5216"/>
      <c r="AG784" s="5217"/>
      <c r="AH784" s="5218"/>
      <c r="AI784" s="5219"/>
      <c r="AJ784" s="5220"/>
      <c r="AK784" s="1182" t="s">
        <v>949</v>
      </c>
      <c r="AL784" s="1562"/>
      <c r="AM784" s="1544"/>
      <c r="AN784" s="1544" t="str">
        <f t="shared" si="12"/>
        <v>Добавить значение признака дифференциации</v>
      </c>
      <c r="AO784" s="1544"/>
      <c r="AP784" s="1544"/>
    </row>
    <row r="785" spans="1:42" s="1818" customFormat="1" ht="23.25" customHeight="1">
      <c r="A785" s="1284"/>
      <c r="B785" s="1284"/>
      <c r="C785" s="1284"/>
      <c r="D785" s="1284"/>
      <c r="E785" s="8884"/>
      <c r="F785" s="8884"/>
      <c r="G785" s="8884"/>
      <c r="H785" s="8884"/>
      <c r="I785" s="8904"/>
      <c r="J785" s="8881" t="str">
        <f>I780&amp;".2"</f>
        <v>47.1.1.1.2</v>
      </c>
      <c r="K785" s="1284"/>
      <c r="L785" s="1290" t="s">
        <v>871</v>
      </c>
      <c r="M785" s="1696"/>
      <c r="N785" s="1696"/>
      <c r="O785" s="1696"/>
      <c r="P785" s="8882"/>
      <c r="Q785" s="8948" t="s">
        <v>100</v>
      </c>
      <c r="R785" s="278"/>
      <c r="S785" s="1810" t="str">
        <f>$J785</f>
        <v>47.1.1.1.2</v>
      </c>
      <c r="T785" s="201" t="s">
        <v>872</v>
      </c>
      <c r="U785" s="214"/>
      <c r="V785" s="8872"/>
      <c r="W785" s="8873"/>
      <c r="X785" s="8873"/>
      <c r="Y785" s="8873"/>
      <c r="Z785" s="8873"/>
      <c r="AA785" s="8873"/>
      <c r="AB785" s="8874"/>
      <c r="AC785" s="8872" t="s">
        <v>963</v>
      </c>
      <c r="AD785" s="8873"/>
      <c r="AE785" s="8873"/>
      <c r="AF785" s="8873"/>
      <c r="AG785" s="8873"/>
      <c r="AH785" s="8873"/>
      <c r="AI785" s="8873"/>
      <c r="AJ785" s="8874"/>
      <c r="AK785" s="1231" t="s">
        <v>947</v>
      </c>
      <c r="AL785" s="1562"/>
      <c r="AM785" s="1544"/>
      <c r="AN785" s="1544" t="str">
        <f t="shared" si="12"/>
        <v>Группа потребителей</v>
      </c>
      <c r="AO785" s="1544"/>
      <c r="AP785" s="1544"/>
    </row>
    <row r="786" spans="1:42" s="1818" customFormat="1" ht="23.25" customHeight="1">
      <c r="A786" s="1284"/>
      <c r="B786" s="1284"/>
      <c r="C786" s="1284"/>
      <c r="D786" s="1284"/>
      <c r="E786" s="8884"/>
      <c r="F786" s="8884"/>
      <c r="G786" s="8884"/>
      <c r="H786" s="8884"/>
      <c r="I786" s="8904"/>
      <c r="J786" s="8904" t="str">
        <f>I780&amp;".1"</f>
        <v>47.1.1.1.1</v>
      </c>
      <c r="K786" s="8881" t="str">
        <f>J785&amp;".1"</f>
        <v>47.1.1.1.2.1</v>
      </c>
      <c r="L786" s="1290"/>
      <c r="M786" s="1696"/>
      <c r="N786" s="1696"/>
      <c r="O786" s="1696"/>
      <c r="P786" s="8882"/>
      <c r="Q786" s="8882"/>
      <c r="R786" s="278">
        <v>1</v>
      </c>
      <c r="S786" s="1810" t="str">
        <f>$K786</f>
        <v>47.1.1.1.2.1</v>
      </c>
      <c r="T786" s="1357" t="s">
        <v>964</v>
      </c>
      <c r="U786" s="214"/>
      <c r="V786" s="666"/>
      <c r="W786" s="666"/>
      <c r="X786" s="1181"/>
      <c r="Y786" s="8886"/>
      <c r="Z786" s="8734" t="s">
        <v>63</v>
      </c>
      <c r="AA786" s="8886"/>
      <c r="AB786" s="8734" t="s">
        <v>63</v>
      </c>
      <c r="AC786" s="666">
        <v>821.7</v>
      </c>
      <c r="AD786" s="666"/>
      <c r="AE786" s="1181"/>
      <c r="AF786" s="8886">
        <v>45292</v>
      </c>
      <c r="AG786" s="8734" t="s">
        <v>63</v>
      </c>
      <c r="AH786" s="8905">
        <v>45657</v>
      </c>
      <c r="AI786" s="8734" t="s">
        <v>63</v>
      </c>
      <c r="AJ786" s="1358"/>
      <c r="AK78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6" s="1562" t="e">
        <f ca="1">STRCHECKDATE(V787:AJ787)</f>
        <v>#NAME?</v>
      </c>
      <c r="AM786" s="1544"/>
      <c r="AN786" s="1544" t="str">
        <f t="shared" si="12"/>
        <v>Тариф, руб. за 1 куб. метр без НДС</v>
      </c>
      <c r="AO786" s="1544"/>
      <c r="AP786" s="1544"/>
    </row>
    <row r="787" spans="1:42" s="1818" customFormat="1" ht="14.25" customHeight="1">
      <c r="A787" s="1284"/>
      <c r="B787" s="1284"/>
      <c r="C787" s="1284"/>
      <c r="D787" s="1284"/>
      <c r="E787" s="8884"/>
      <c r="F787" s="8884"/>
      <c r="G787" s="8884"/>
      <c r="H787" s="8884"/>
      <c r="I787" s="8904"/>
      <c r="J787" s="8904" t="str">
        <f>I780&amp;".1"</f>
        <v>47.1.1.1.1</v>
      </c>
      <c r="K787" s="8881"/>
      <c r="L787" s="1290"/>
      <c r="M787" s="1696"/>
      <c r="N787" s="1696"/>
      <c r="O787" s="1696"/>
      <c r="P787" s="8882"/>
      <c r="Q787" s="8882"/>
      <c r="R787" s="278"/>
      <c r="S787" s="1815"/>
      <c r="T787" s="214"/>
      <c r="U787" s="214"/>
      <c r="V787" s="246"/>
      <c r="W787" s="246"/>
      <c r="X787" s="250" t="str">
        <f>Y786&amp;"-"&amp;AA786</f>
        <v>-</v>
      </c>
      <c r="Y787" s="8887"/>
      <c r="Z787" s="8734"/>
      <c r="AA787" s="8887"/>
      <c r="AB787" s="8734"/>
      <c r="AC787" s="246"/>
      <c r="AD787" s="246"/>
      <c r="AE787" s="250" t="str">
        <f>AF786&amp;"-"&amp;AH786</f>
        <v>45292-45657</v>
      </c>
      <c r="AF787" s="8887"/>
      <c r="AG787" s="8734"/>
      <c r="AH787" s="8906"/>
      <c r="AI787" s="8734"/>
      <c r="AJ787" s="1359"/>
      <c r="AK787" s="8941"/>
      <c r="AL787" s="1562"/>
      <c r="AM787" s="1544"/>
      <c r="AN787" s="1544" t="str">
        <f t="shared" si="12"/>
        <v/>
      </c>
      <c r="AO787" s="1544"/>
      <c r="AP787" s="1544"/>
    </row>
    <row r="788" spans="1:42" s="1818" customFormat="1" ht="21" customHeight="1">
      <c r="A788" s="1284"/>
      <c r="B788" s="1284"/>
      <c r="C788" s="1284"/>
      <c r="D788" s="1284"/>
      <c r="E788" s="8884"/>
      <c r="F788" s="8884"/>
      <c r="G788" s="8884"/>
      <c r="H788" s="8884"/>
      <c r="I788" s="8904"/>
      <c r="J788" s="8881" t="str">
        <f>I780&amp;".1"</f>
        <v>47.1.1.1.1</v>
      </c>
      <c r="K788" s="1284"/>
      <c r="L788" s="1290"/>
      <c r="M788" s="1696"/>
      <c r="N788" s="1696"/>
      <c r="O788" s="1696"/>
      <c r="P788" s="8882"/>
      <c r="Q788" s="8882"/>
      <c r="R788" s="277"/>
      <c r="S788" s="5221"/>
      <c r="T788" s="5222" t="s">
        <v>948</v>
      </c>
      <c r="U788" s="5223"/>
      <c r="V788" s="5224"/>
      <c r="W788" s="5225"/>
      <c r="X788" s="5226"/>
      <c r="Y788" s="5227"/>
      <c r="Z788" s="5228"/>
      <c r="AA788" s="5229"/>
      <c r="AB788" s="5230"/>
      <c r="AC788" s="5231"/>
      <c r="AD788" s="5232"/>
      <c r="AE788" s="5233"/>
      <c r="AF788" s="5234"/>
      <c r="AG788" s="5235"/>
      <c r="AH788" s="5236"/>
      <c r="AI788" s="5237"/>
      <c r="AJ788" s="5238"/>
      <c r="AK788" s="1182" t="s">
        <v>949</v>
      </c>
      <c r="AL788" s="1562"/>
      <c r="AM788" s="1544"/>
      <c r="AN788" s="1544" t="str">
        <f t="shared" si="12"/>
        <v>Добавить значение признака дифференциации</v>
      </c>
      <c r="AO788" s="1544"/>
      <c r="AP788" s="1544"/>
    </row>
    <row r="789" spans="1:42" s="1818" customFormat="1" ht="21" customHeight="1">
      <c r="A789" s="1284"/>
      <c r="B789" s="1284"/>
      <c r="C789" s="1284"/>
      <c r="D789" s="1284"/>
      <c r="E789" s="8884" t="s">
        <v>557</v>
      </c>
      <c r="F789" s="8884"/>
      <c r="G789" s="8884"/>
      <c r="H789" s="8884"/>
      <c r="I789" s="8881"/>
      <c r="J789" s="1284"/>
      <c r="K789" s="1284"/>
      <c r="L789" s="1290"/>
      <c r="M789" s="1696"/>
      <c r="N789" s="1696"/>
      <c r="O789" s="1696"/>
      <c r="P789" s="8882"/>
      <c r="Q789" s="1811"/>
      <c r="R789" s="277"/>
      <c r="S789" s="5239"/>
      <c r="T789" s="5240" t="s">
        <v>877</v>
      </c>
      <c r="U789" s="5241"/>
      <c r="V789" s="5242"/>
      <c r="W789" s="5243"/>
      <c r="X789" s="5244"/>
      <c r="Y789" s="5245"/>
      <c r="Z789" s="5246"/>
      <c r="AA789" s="5247"/>
      <c r="AB789" s="5248"/>
      <c r="AC789" s="5249"/>
      <c r="AD789" s="5250"/>
      <c r="AE789" s="5251"/>
      <c r="AF789" s="5252"/>
      <c r="AG789" s="5253"/>
      <c r="AH789" s="5254"/>
      <c r="AI789" s="5255"/>
      <c r="AJ789" s="5256"/>
      <c r="AK789" s="5257"/>
      <c r="AL789" s="1562"/>
      <c r="AM789" s="1544"/>
      <c r="AN789" s="1544" t="str">
        <f t="shared" si="12"/>
        <v>Добавить группу потребителей</v>
      </c>
      <c r="AO789" s="1544"/>
      <c r="AP789" s="1544"/>
    </row>
    <row r="790" spans="1:42" s="1818" customFormat="1" ht="21" customHeight="1">
      <c r="A790" s="1284"/>
      <c r="B790" s="1284"/>
      <c r="C790" s="1284"/>
      <c r="D790" s="1284"/>
      <c r="E790" s="8884" t="s">
        <v>557</v>
      </c>
      <c r="F790" s="8884"/>
      <c r="G790" s="8884"/>
      <c r="H790" s="8883"/>
      <c r="I790" s="1284"/>
      <c r="J790" s="1284"/>
      <c r="K790" s="1284"/>
      <c r="L790" s="1290"/>
      <c r="M790" s="1286"/>
      <c r="N790" s="1286"/>
      <c r="O790" s="1287"/>
      <c r="P790" s="1742"/>
      <c r="Q790" s="299"/>
      <c r="R790" s="276"/>
      <c r="S790" s="5258"/>
      <c r="T790" s="5259" t="s">
        <v>950</v>
      </c>
      <c r="U790" s="5260"/>
      <c r="V790" s="5261"/>
      <c r="W790" s="5262"/>
      <c r="X790" s="5263"/>
      <c r="Y790" s="5264"/>
      <c r="Z790" s="5265"/>
      <c r="AA790" s="5266"/>
      <c r="AB790" s="5267"/>
      <c r="AC790" s="5268"/>
      <c r="AD790" s="5269"/>
      <c r="AE790" s="5270"/>
      <c r="AF790" s="5271"/>
      <c r="AG790" s="5272"/>
      <c r="AH790" s="5273"/>
      <c r="AI790" s="5274"/>
      <c r="AJ790" s="5275"/>
      <c r="AK790" s="5276"/>
      <c r="AL790" s="1562"/>
      <c r="AM790" s="1544"/>
      <c r="AN790" s="1544" t="str">
        <f t="shared" si="12"/>
        <v>Добавить наименование признака дифференциации</v>
      </c>
      <c r="AO790" s="1544"/>
      <c r="AP790" s="1544"/>
    </row>
    <row r="791" spans="1:42" s="541" customFormat="1" ht="14.25" customHeight="1">
      <c r="A791" s="1265"/>
      <c r="B791" s="1265"/>
      <c r="C791" s="1265"/>
      <c r="D791" s="1265"/>
      <c r="E791" s="8884" t="s">
        <v>557</v>
      </c>
      <c r="F791" s="8883"/>
      <c r="G791" s="1265"/>
      <c r="H791" s="1265"/>
      <c r="I791" s="1265"/>
      <c r="J791" s="1265"/>
      <c r="K791" s="1265"/>
      <c r="L791" s="1466"/>
      <c r="M791" s="1244"/>
      <c r="N791" s="1244"/>
      <c r="O791" s="1562"/>
      <c r="P791" s="1239"/>
      <c r="Q791" s="1266"/>
      <c r="R791" s="1239"/>
      <c r="S791" s="1245"/>
      <c r="T791" s="1248" t="s">
        <v>314</v>
      </c>
      <c r="U791" s="1247"/>
      <c r="V791" s="1247"/>
      <c r="W791" s="1247"/>
      <c r="X791" s="1247"/>
      <c r="Y791" s="1247"/>
      <c r="Z791" s="1247"/>
      <c r="AA791" s="1247"/>
      <c r="AB791" s="1247"/>
      <c r="AC791" s="1247"/>
      <c r="AD791" s="1247"/>
      <c r="AE791" s="1247"/>
      <c r="AF791" s="1247"/>
      <c r="AG791" s="1247"/>
      <c r="AH791" s="1247"/>
      <c r="AI791" s="1247"/>
      <c r="AJ791" s="1247"/>
      <c r="AK791" s="1247"/>
      <c r="AL791" s="1562"/>
      <c r="AM791" s="1544"/>
      <c r="AN791" s="1544" t="str">
        <f t="shared" si="12"/>
        <v>Добавить централизованную систему для дифференциации</v>
      </c>
      <c r="AO791" s="1544"/>
      <c r="AP791" s="1544"/>
    </row>
    <row r="792" spans="1:42" s="541" customFormat="1" ht="14.25" customHeight="1">
      <c r="A792" s="1265"/>
      <c r="B792" s="1265"/>
      <c r="C792" s="1265"/>
      <c r="D792" s="1265"/>
      <c r="E792" s="8883" t="s">
        <v>557</v>
      </c>
      <c r="F792" s="1265"/>
      <c r="G792" s="1265"/>
      <c r="H792" s="1265"/>
      <c r="I792" s="1265"/>
      <c r="J792" s="1265"/>
      <c r="K792" s="1265"/>
      <c r="L792" s="1466"/>
      <c r="M792" s="1244"/>
      <c r="N792" s="1244"/>
      <c r="O792" s="1562"/>
      <c r="P792" s="1239"/>
      <c r="Q792" s="1266"/>
      <c r="R792" s="1239"/>
      <c r="S792" s="1245"/>
      <c r="T792" s="1248" t="s">
        <v>315</v>
      </c>
      <c r="U792" s="1247"/>
      <c r="V792" s="1247"/>
      <c r="W792" s="1247"/>
      <c r="X792" s="1247"/>
      <c r="Y792" s="1247"/>
      <c r="Z792" s="1247"/>
      <c r="AA792" s="1247"/>
      <c r="AB792" s="1247"/>
      <c r="AC792" s="1247"/>
      <c r="AD792" s="1247"/>
      <c r="AE792" s="1247"/>
      <c r="AF792" s="1247"/>
      <c r="AG792" s="1247"/>
      <c r="AH792" s="1247"/>
      <c r="AI792" s="1247"/>
      <c r="AJ792" s="1247"/>
      <c r="AK792" s="1247"/>
      <c r="AL792" s="1562"/>
      <c r="AM792" s="1544"/>
      <c r="AN792" s="1544" t="str">
        <f t="shared" si="12"/>
        <v>Добавить территорию для дифференциации</v>
      </c>
      <c r="AO792" s="1544"/>
      <c r="AP792" s="1544"/>
    </row>
    <row r="793" spans="1:42" s="1818" customFormat="1" ht="23.25" customHeight="1">
      <c r="A793" s="1284" t="s">
        <v>571</v>
      </c>
      <c r="B793" s="1284"/>
      <c r="C793" s="1284"/>
      <c r="D793" s="1284"/>
      <c r="E793" s="8883" t="s">
        <v>569</v>
      </c>
      <c r="F793" s="1284"/>
      <c r="G793" s="1284"/>
      <c r="H793" s="1284"/>
      <c r="I793" s="1284"/>
      <c r="J793" s="1284"/>
      <c r="K793" s="1284"/>
      <c r="L793" s="1290"/>
      <c r="M793" s="1286"/>
      <c r="N793" s="1286"/>
      <c r="O793" s="1286"/>
      <c r="P793" s="1812"/>
      <c r="Q793" s="1742"/>
      <c r="R793" s="276"/>
      <c r="S793" s="1810" t="str">
        <f>INDEX(PT_DIFFERENTIATION_NUM_NTAR,MATCH(A793,PT_DIFFERENTIATION_NTAR_ID,0))</f>
        <v>48</v>
      </c>
      <c r="T793" s="1440" t="s">
        <v>211</v>
      </c>
      <c r="U793" s="214"/>
      <c r="V793" s="8869"/>
      <c r="W793" s="8870"/>
      <c r="X793" s="8870"/>
      <c r="Y793" s="8870"/>
      <c r="Z793" s="8870"/>
      <c r="AA793" s="8870"/>
      <c r="AB793" s="8871"/>
      <c r="AC793" s="8869" t="str">
        <f>INDEX(PT_DIFFERENTIATION_NTAR,MATCH(A793,PT_DIFFERENTIATION_NTAR_ID,0))</f>
        <v>Подвоз воды потребителям поселка Ореховая Роща</v>
      </c>
      <c r="AD793" s="8870"/>
      <c r="AE793" s="8870"/>
      <c r="AF793" s="8870"/>
      <c r="AG793" s="8870"/>
      <c r="AH793" s="8870"/>
      <c r="AI793" s="8870"/>
      <c r="AJ793" s="8871"/>
      <c r="AK79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793" s="1562"/>
      <c r="AM793" s="1544"/>
      <c r="AN793" s="1544" t="str">
        <f t="shared" si="12"/>
        <v>Наименование тарифа</v>
      </c>
      <c r="AO793" s="1544"/>
      <c r="AP793" s="1544"/>
    </row>
    <row r="794" spans="1:42" s="1818" customFormat="1" ht="23.25" customHeight="1">
      <c r="A794" s="1284"/>
      <c r="B794" s="1284" t="s">
        <v>572</v>
      </c>
      <c r="C794" s="1284"/>
      <c r="D794" s="1284"/>
      <c r="E794" s="8884" t="s">
        <v>563</v>
      </c>
      <c r="F794" s="8883">
        <v>1</v>
      </c>
      <c r="G794" s="1284"/>
      <c r="H794" s="1284"/>
      <c r="I794" s="1284"/>
      <c r="J794" s="1284"/>
      <c r="K794" s="1284"/>
      <c r="L794" s="1290"/>
      <c r="M794" s="1286"/>
      <c r="N794" s="1286"/>
      <c r="O794" s="1286"/>
      <c r="P794" s="1807"/>
      <c r="Q794" s="273"/>
      <c r="R794" s="274"/>
      <c r="S794" s="1810" t="str">
        <f>INDEX(PT_DIFFERENTIATION_NUM_TER,MATCH(B794,PT_DIFFERENTIATION_TER_ID,0))</f>
        <v>48.1</v>
      </c>
      <c r="T794" s="1437" t="s">
        <v>862</v>
      </c>
      <c r="U794" s="214"/>
      <c r="V794" s="8869"/>
      <c r="W794" s="8870"/>
      <c r="X794" s="8870"/>
      <c r="Y794" s="8870"/>
      <c r="Z794" s="8870"/>
      <c r="AA794" s="8870"/>
      <c r="AB794" s="8871"/>
      <c r="AC794" s="8869" t="str">
        <f>INDEX(PT_DIFFERENTIATION_TER,MATCH(B794,PT_DIFFERENTIATION_TER_ID,0))</f>
        <v>Территория 13</v>
      </c>
      <c r="AD794" s="8870"/>
      <c r="AE794" s="8870"/>
      <c r="AF794" s="8870"/>
      <c r="AG794" s="8870"/>
      <c r="AH794" s="8870"/>
      <c r="AI794" s="8870"/>
      <c r="AJ794" s="8871"/>
      <c r="AK794" s="1182" t="s">
        <v>863</v>
      </c>
      <c r="AL794" s="1562"/>
      <c r="AM794" s="1544"/>
      <c r="AN794" s="1544" t="str">
        <f t="shared" si="12"/>
        <v>Территория действия тарифа</v>
      </c>
      <c r="AO794" s="1544"/>
      <c r="AP794" s="1544"/>
    </row>
    <row r="795" spans="1:42" s="1818" customFormat="1" ht="23.25" customHeight="1">
      <c r="A795" s="1284"/>
      <c r="B795" s="1284"/>
      <c r="C795" s="1284" t="s">
        <v>573</v>
      </c>
      <c r="D795" s="1284"/>
      <c r="E795" s="8884" t="s">
        <v>563</v>
      </c>
      <c r="F795" s="8884"/>
      <c r="G795" s="8883">
        <v>1</v>
      </c>
      <c r="H795" s="1284"/>
      <c r="I795" s="1284"/>
      <c r="J795" s="1284"/>
      <c r="K795" s="1284"/>
      <c r="L795" s="1290"/>
      <c r="M795" s="1286"/>
      <c r="N795" s="1286"/>
      <c r="O795" s="1286"/>
      <c r="P795" s="275"/>
      <c r="Q795" s="273"/>
      <c r="R795" s="274"/>
      <c r="S795" s="1810" t="str">
        <f>INDEX(PT_DIFFERENTIATION_NUM_CS,MATCH(C795,PT_DIFFERENTIATION_CS_ID,0))</f>
        <v>48.1.1</v>
      </c>
      <c r="T795" s="225" t="s">
        <v>943</v>
      </c>
      <c r="U795" s="214"/>
      <c r="V795" s="8869"/>
      <c r="W795" s="8870"/>
      <c r="X795" s="8870"/>
      <c r="Y795" s="8870"/>
      <c r="Z795" s="8870"/>
      <c r="AA795" s="8870"/>
      <c r="AB795" s="8871"/>
      <c r="AC795" s="8869" t="str">
        <f>INDEX(PT_DIFFERENTIATION_CS,MATCH(C795,PT_DIFFERENTIATION_CS_ID,0))</f>
        <v>без дифференциации</v>
      </c>
      <c r="AD795" s="8870"/>
      <c r="AE795" s="8870"/>
      <c r="AF795" s="8870"/>
      <c r="AG795" s="8870"/>
      <c r="AH795" s="8870"/>
      <c r="AI795" s="8870"/>
      <c r="AJ795" s="8871"/>
      <c r="AK795" s="1182" t="s">
        <v>944</v>
      </c>
      <c r="AL795" s="1562"/>
      <c r="AM795" s="1544"/>
      <c r="AN795" s="1544" t="str">
        <f t="shared" si="12"/>
        <v>Наименование централизованной системы холодного водоснабжения</v>
      </c>
      <c r="AO795" s="1544"/>
      <c r="AP795" s="1544"/>
    </row>
    <row r="796" spans="1:42" s="1818" customFormat="1" ht="23.25" customHeight="1">
      <c r="A796" s="1284"/>
      <c r="B796" s="1284"/>
      <c r="C796" s="1284"/>
      <c r="D796" s="1284"/>
      <c r="E796" s="8884" t="s">
        <v>563</v>
      </c>
      <c r="F796" s="8884"/>
      <c r="G796" s="8884"/>
      <c r="H796" s="8884"/>
      <c r="I796" s="8881" t="str">
        <f>S795&amp;".1"</f>
        <v>48.1.1.1</v>
      </c>
      <c r="J796" s="1284"/>
      <c r="K796" s="1284"/>
      <c r="L796" s="1290"/>
      <c r="M796" s="1696"/>
      <c r="N796" s="1696"/>
      <c r="O796" s="1696"/>
      <c r="P796" s="8882">
        <v>1</v>
      </c>
      <c r="Q796" s="1811"/>
      <c r="R796" s="277"/>
      <c r="S796" s="1810" t="str">
        <f>$I796</f>
        <v>48.1.1.1</v>
      </c>
      <c r="T796" s="200" t="s">
        <v>945</v>
      </c>
      <c r="U796" s="214"/>
      <c r="V796" s="8942"/>
      <c r="W796" s="8943"/>
      <c r="X796" s="8943"/>
      <c r="Y796" s="8943"/>
      <c r="Z796" s="8943"/>
      <c r="AA796" s="8943"/>
      <c r="AB796" s="8944"/>
      <c r="AC796" s="8945"/>
      <c r="AD796" s="8946"/>
      <c r="AE796" s="8946"/>
      <c r="AF796" s="8946"/>
      <c r="AG796" s="8946"/>
      <c r="AH796" s="8946"/>
      <c r="AI796" s="8946"/>
      <c r="AJ796" s="8947"/>
      <c r="AK796" s="1182" t="s">
        <v>946</v>
      </c>
      <c r="AL796" s="1562"/>
      <c r="AM796" s="1544"/>
      <c r="AN796" s="1544" t="str">
        <f t="shared" si="12"/>
        <v>Наименование признака дифференциации</v>
      </c>
      <c r="AO796" s="1544"/>
      <c r="AP796" s="1544"/>
    </row>
    <row r="797" spans="1:42" s="1818" customFormat="1" ht="23.25" customHeight="1">
      <c r="A797" s="1284"/>
      <c r="B797" s="1284"/>
      <c r="C797" s="1284"/>
      <c r="D797" s="1284"/>
      <c r="E797" s="8884" t="s">
        <v>563</v>
      </c>
      <c r="F797" s="8884"/>
      <c r="G797" s="8884"/>
      <c r="H797" s="8884"/>
      <c r="I797" s="8904"/>
      <c r="J797" s="8881" t="str">
        <f>I796&amp;".1"</f>
        <v>48.1.1.1.1</v>
      </c>
      <c r="K797" s="1284"/>
      <c r="L797" s="1290" t="s">
        <v>871</v>
      </c>
      <c r="M797" s="1696"/>
      <c r="N797" s="1696"/>
      <c r="O797" s="1696"/>
      <c r="P797" s="8882"/>
      <c r="Q797" s="8882">
        <v>1</v>
      </c>
      <c r="R797" s="278"/>
      <c r="S797" s="1810" t="str">
        <f>$J797</f>
        <v>48.1.1.1.1</v>
      </c>
      <c r="T797" s="201" t="s">
        <v>872</v>
      </c>
      <c r="U797" s="214"/>
      <c r="V797" s="8872"/>
      <c r="W797" s="8873"/>
      <c r="X797" s="8873"/>
      <c r="Y797" s="8873"/>
      <c r="Z797" s="8873"/>
      <c r="AA797" s="8873"/>
      <c r="AB797" s="8874"/>
      <c r="AC797" s="8872" t="s">
        <v>961</v>
      </c>
      <c r="AD797" s="8873"/>
      <c r="AE797" s="8873"/>
      <c r="AF797" s="8873"/>
      <c r="AG797" s="8873"/>
      <c r="AH797" s="8873"/>
      <c r="AI797" s="8873"/>
      <c r="AJ797" s="8874"/>
      <c r="AK797" s="1231" t="s">
        <v>947</v>
      </c>
      <c r="AL797" s="1562"/>
      <c r="AM797" s="1544"/>
      <c r="AN797" s="1544" t="str">
        <f t="shared" si="12"/>
        <v>Группа потребителей</v>
      </c>
      <c r="AO797" s="1544"/>
      <c r="AP797" s="1544"/>
    </row>
    <row r="798" spans="1:42" s="1818" customFormat="1" ht="23.25" customHeight="1">
      <c r="A798" s="1284"/>
      <c r="B798" s="1284"/>
      <c r="C798" s="1284"/>
      <c r="D798" s="1284"/>
      <c r="E798" s="8884" t="s">
        <v>563</v>
      </c>
      <c r="F798" s="8884"/>
      <c r="G798" s="8884"/>
      <c r="H798" s="8884"/>
      <c r="I798" s="8904"/>
      <c r="J798" s="8904"/>
      <c r="K798" s="8881" t="str">
        <f>J797&amp;".1"</f>
        <v>48.1.1.1.1.1</v>
      </c>
      <c r="L798" s="1290"/>
      <c r="M798" s="1696"/>
      <c r="N798" s="1696"/>
      <c r="O798" s="1696"/>
      <c r="P798" s="8882"/>
      <c r="Q798" s="8882"/>
      <c r="R798" s="278">
        <v>1</v>
      </c>
      <c r="S798" s="1810" t="str">
        <f>$K798</f>
        <v>48.1.1.1.1.1</v>
      </c>
      <c r="T798" s="1357" t="s">
        <v>962</v>
      </c>
      <c r="U798" s="214"/>
      <c r="V798" s="666"/>
      <c r="W798" s="666"/>
      <c r="X798" s="1181"/>
      <c r="Y798" s="8886"/>
      <c r="Z798" s="8734" t="s">
        <v>63</v>
      </c>
      <c r="AA798" s="8886"/>
      <c r="AB798" s="8734" t="s">
        <v>63</v>
      </c>
      <c r="AC798" s="666">
        <v>763.97</v>
      </c>
      <c r="AD798" s="666"/>
      <c r="AE798" s="1181"/>
      <c r="AF798" s="8886">
        <v>45292</v>
      </c>
      <c r="AG798" s="8734" t="s">
        <v>63</v>
      </c>
      <c r="AH798" s="8905">
        <v>45657</v>
      </c>
      <c r="AI798" s="8734" t="s">
        <v>63</v>
      </c>
      <c r="AJ798" s="1358"/>
      <c r="AK79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98" s="1562" t="e">
        <f ca="1">STRCHECKDATE(V799:AJ799)</f>
        <v>#NAME?</v>
      </c>
      <c r="AM798" s="1544"/>
      <c r="AN798" s="1544" t="str">
        <f t="shared" si="12"/>
        <v>Тариф для населения, руб. за 1 куб. метр с НДС</v>
      </c>
      <c r="AO798" s="1544"/>
      <c r="AP798" s="1544"/>
    </row>
    <row r="799" spans="1:42" s="1818" customFormat="1" ht="14.25" customHeight="1">
      <c r="A799" s="1284"/>
      <c r="B799" s="1284"/>
      <c r="C799" s="1284"/>
      <c r="D799" s="1284"/>
      <c r="E799" s="8884" t="s">
        <v>563</v>
      </c>
      <c r="F799" s="8884"/>
      <c r="G799" s="8884"/>
      <c r="H799" s="8884"/>
      <c r="I799" s="8904"/>
      <c r="J799" s="8904"/>
      <c r="K799" s="8881"/>
      <c r="L799" s="1290"/>
      <c r="M799" s="1696"/>
      <c r="N799" s="1696"/>
      <c r="O799" s="1696"/>
      <c r="P799" s="8882"/>
      <c r="Q799" s="8882"/>
      <c r="R799" s="278"/>
      <c r="S799" s="1815"/>
      <c r="T799" s="214"/>
      <c r="U799" s="214"/>
      <c r="V799" s="246"/>
      <c r="W799" s="246"/>
      <c r="X799" s="250" t="str">
        <f>Y798&amp;"-"&amp;AA798</f>
        <v>-</v>
      </c>
      <c r="Y799" s="8887"/>
      <c r="Z799" s="8734"/>
      <c r="AA799" s="8887"/>
      <c r="AB799" s="8734"/>
      <c r="AC799" s="246"/>
      <c r="AD799" s="246"/>
      <c r="AE799" s="250" t="str">
        <f>AF798&amp;"-"&amp;AH798</f>
        <v>45292-45657</v>
      </c>
      <c r="AF799" s="8887"/>
      <c r="AG799" s="8734"/>
      <c r="AH799" s="8906"/>
      <c r="AI799" s="8734"/>
      <c r="AJ799" s="1359"/>
      <c r="AK799" s="8941"/>
      <c r="AL799" s="1562"/>
      <c r="AM799" s="1544"/>
      <c r="AN799" s="1544" t="str">
        <f t="shared" si="12"/>
        <v/>
      </c>
      <c r="AO799" s="1544"/>
      <c r="AP799" s="1544"/>
    </row>
    <row r="800" spans="1:42" s="1818" customFormat="1" ht="21" customHeight="1">
      <c r="A800" s="1284"/>
      <c r="B800" s="1284"/>
      <c r="C800" s="1284"/>
      <c r="D800" s="1284"/>
      <c r="E800" s="8884" t="s">
        <v>563</v>
      </c>
      <c r="F800" s="8884"/>
      <c r="G800" s="8884"/>
      <c r="H800" s="8884"/>
      <c r="I800" s="8904"/>
      <c r="J800" s="8881"/>
      <c r="K800" s="1284"/>
      <c r="L800" s="1290"/>
      <c r="M800" s="1696"/>
      <c r="N800" s="1696"/>
      <c r="O800" s="1696"/>
      <c r="P800" s="8882"/>
      <c r="Q800" s="8882"/>
      <c r="R800" s="277"/>
      <c r="S800" s="5277"/>
      <c r="T800" s="5278" t="s">
        <v>948</v>
      </c>
      <c r="U800" s="5279"/>
      <c r="V800" s="5280"/>
      <c r="W800" s="5281"/>
      <c r="X800" s="5282"/>
      <c r="Y800" s="5283"/>
      <c r="Z800" s="5284"/>
      <c r="AA800" s="5285"/>
      <c r="AB800" s="5286"/>
      <c r="AC800" s="5287"/>
      <c r="AD800" s="5288"/>
      <c r="AE800" s="5289"/>
      <c r="AF800" s="5290"/>
      <c r="AG800" s="5291"/>
      <c r="AH800" s="5292"/>
      <c r="AI800" s="5293"/>
      <c r="AJ800" s="5294"/>
      <c r="AK800" s="1182" t="s">
        <v>949</v>
      </c>
      <c r="AL800" s="1562"/>
      <c r="AM800" s="1544"/>
      <c r="AN800" s="1544" t="str">
        <f t="shared" si="12"/>
        <v>Добавить значение признака дифференциации</v>
      </c>
      <c r="AO800" s="1544"/>
      <c r="AP800" s="1544"/>
    </row>
    <row r="801" spans="1:42" s="1818" customFormat="1" ht="23.25" customHeight="1">
      <c r="A801" s="1284"/>
      <c r="B801" s="1284"/>
      <c r="C801" s="1284"/>
      <c r="D801" s="1284"/>
      <c r="E801" s="8884"/>
      <c r="F801" s="8884"/>
      <c r="G801" s="8884"/>
      <c r="H801" s="8884"/>
      <c r="I801" s="8904"/>
      <c r="J801" s="8881" t="str">
        <f>I796&amp;".2"</f>
        <v>48.1.1.1.2</v>
      </c>
      <c r="K801" s="1284"/>
      <c r="L801" s="1290" t="s">
        <v>871</v>
      </c>
      <c r="M801" s="1696"/>
      <c r="N801" s="1696"/>
      <c r="O801" s="1696"/>
      <c r="P801" s="8882"/>
      <c r="Q801" s="8948" t="s">
        <v>100</v>
      </c>
      <c r="R801" s="278"/>
      <c r="S801" s="1810" t="str">
        <f>$J801</f>
        <v>48.1.1.1.2</v>
      </c>
      <c r="T801" s="201" t="s">
        <v>872</v>
      </c>
      <c r="U801" s="214"/>
      <c r="V801" s="8872"/>
      <c r="W801" s="8873"/>
      <c r="X801" s="8873"/>
      <c r="Y801" s="8873"/>
      <c r="Z801" s="8873"/>
      <c r="AA801" s="8873"/>
      <c r="AB801" s="8874"/>
      <c r="AC801" s="8872" t="s">
        <v>963</v>
      </c>
      <c r="AD801" s="8873"/>
      <c r="AE801" s="8873"/>
      <c r="AF801" s="8873"/>
      <c r="AG801" s="8873"/>
      <c r="AH801" s="8873"/>
      <c r="AI801" s="8873"/>
      <c r="AJ801" s="8874"/>
      <c r="AK801" s="1231" t="s">
        <v>947</v>
      </c>
      <c r="AL801" s="1562"/>
      <c r="AM801" s="1544"/>
      <c r="AN801" s="1544" t="str">
        <f t="shared" si="12"/>
        <v>Группа потребителей</v>
      </c>
      <c r="AO801" s="1544"/>
      <c r="AP801" s="1544"/>
    </row>
    <row r="802" spans="1:42" s="1818" customFormat="1" ht="23.25" customHeight="1">
      <c r="A802" s="1284"/>
      <c r="B802" s="1284"/>
      <c r="C802" s="1284"/>
      <c r="D802" s="1284"/>
      <c r="E802" s="8884"/>
      <c r="F802" s="8884"/>
      <c r="G802" s="8884"/>
      <c r="H802" s="8884"/>
      <c r="I802" s="8904"/>
      <c r="J802" s="8904" t="str">
        <f>I796&amp;".1"</f>
        <v>48.1.1.1.1</v>
      </c>
      <c r="K802" s="8881" t="str">
        <f>J801&amp;".1"</f>
        <v>48.1.1.1.2.1</v>
      </c>
      <c r="L802" s="1290"/>
      <c r="M802" s="1696"/>
      <c r="N802" s="1696"/>
      <c r="O802" s="1696"/>
      <c r="P802" s="8882"/>
      <c r="Q802" s="8882"/>
      <c r="R802" s="278">
        <v>1</v>
      </c>
      <c r="S802" s="1810" t="str">
        <f>$K802</f>
        <v>48.1.1.1.2.1</v>
      </c>
      <c r="T802" s="1357" t="s">
        <v>964</v>
      </c>
      <c r="U802" s="214"/>
      <c r="V802" s="666"/>
      <c r="W802" s="666"/>
      <c r="X802" s="1181"/>
      <c r="Y802" s="8886"/>
      <c r="Z802" s="8734" t="s">
        <v>63</v>
      </c>
      <c r="AA802" s="8886"/>
      <c r="AB802" s="8734" t="s">
        <v>63</v>
      </c>
      <c r="AC802" s="666">
        <v>636.64</v>
      </c>
      <c r="AD802" s="666"/>
      <c r="AE802" s="1181"/>
      <c r="AF802" s="8886">
        <v>45292</v>
      </c>
      <c r="AG802" s="8734" t="s">
        <v>63</v>
      </c>
      <c r="AH802" s="8905">
        <v>45657</v>
      </c>
      <c r="AI802" s="8734" t="s">
        <v>63</v>
      </c>
      <c r="AJ802" s="1358"/>
      <c r="AK80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2" s="1562" t="e">
        <f ca="1">STRCHECKDATE(V803:AJ803)</f>
        <v>#NAME?</v>
      </c>
      <c r="AM802" s="1544"/>
      <c r="AN802" s="1544" t="str">
        <f t="shared" si="12"/>
        <v>Тариф, руб. за 1 куб. метр без НДС</v>
      </c>
      <c r="AO802" s="1544"/>
      <c r="AP802" s="1544"/>
    </row>
    <row r="803" spans="1:42" s="1818" customFormat="1" ht="14.25" customHeight="1">
      <c r="A803" s="1284"/>
      <c r="B803" s="1284"/>
      <c r="C803" s="1284"/>
      <c r="D803" s="1284"/>
      <c r="E803" s="8884"/>
      <c r="F803" s="8884"/>
      <c r="G803" s="8884"/>
      <c r="H803" s="8884"/>
      <c r="I803" s="8904"/>
      <c r="J803" s="8904" t="str">
        <f>I796&amp;".1"</f>
        <v>48.1.1.1.1</v>
      </c>
      <c r="K803" s="8881"/>
      <c r="L803" s="1290"/>
      <c r="M803" s="1696"/>
      <c r="N803" s="1696"/>
      <c r="O803" s="1696"/>
      <c r="P803" s="8882"/>
      <c r="Q803" s="8882"/>
      <c r="R803" s="278"/>
      <c r="S803" s="1815"/>
      <c r="T803" s="214"/>
      <c r="U803" s="214"/>
      <c r="V803" s="246"/>
      <c r="W803" s="246"/>
      <c r="X803" s="250" t="str">
        <f>Y802&amp;"-"&amp;AA802</f>
        <v>-</v>
      </c>
      <c r="Y803" s="8887"/>
      <c r="Z803" s="8734"/>
      <c r="AA803" s="8887"/>
      <c r="AB803" s="8734"/>
      <c r="AC803" s="246"/>
      <c r="AD803" s="246"/>
      <c r="AE803" s="250" t="str">
        <f>AF802&amp;"-"&amp;AH802</f>
        <v>45292-45657</v>
      </c>
      <c r="AF803" s="8887"/>
      <c r="AG803" s="8734"/>
      <c r="AH803" s="8906"/>
      <c r="AI803" s="8734"/>
      <c r="AJ803" s="1359"/>
      <c r="AK803" s="8941"/>
      <c r="AL803" s="1562"/>
      <c r="AM803" s="1544"/>
      <c r="AN803" s="1544" t="str">
        <f t="shared" si="12"/>
        <v/>
      </c>
      <c r="AO803" s="1544"/>
      <c r="AP803" s="1544"/>
    </row>
    <row r="804" spans="1:42" s="1818" customFormat="1" ht="21" customHeight="1">
      <c r="A804" s="1284"/>
      <c r="B804" s="1284"/>
      <c r="C804" s="1284"/>
      <c r="D804" s="1284"/>
      <c r="E804" s="8884"/>
      <c r="F804" s="8884"/>
      <c r="G804" s="8884"/>
      <c r="H804" s="8884"/>
      <c r="I804" s="8904"/>
      <c r="J804" s="8881" t="str">
        <f>I796&amp;".1"</f>
        <v>48.1.1.1.1</v>
      </c>
      <c r="K804" s="1284"/>
      <c r="L804" s="1290"/>
      <c r="M804" s="1696"/>
      <c r="N804" s="1696"/>
      <c r="O804" s="1696"/>
      <c r="P804" s="8882"/>
      <c r="Q804" s="8882"/>
      <c r="R804" s="277"/>
      <c r="S804" s="5295"/>
      <c r="T804" s="5296" t="s">
        <v>948</v>
      </c>
      <c r="U804" s="5297"/>
      <c r="V804" s="5298"/>
      <c r="W804" s="5299"/>
      <c r="X804" s="5300"/>
      <c r="Y804" s="5301"/>
      <c r="Z804" s="5302"/>
      <c r="AA804" s="5303"/>
      <c r="AB804" s="5304"/>
      <c r="AC804" s="5305"/>
      <c r="AD804" s="5306"/>
      <c r="AE804" s="5307"/>
      <c r="AF804" s="5308"/>
      <c r="AG804" s="5309"/>
      <c r="AH804" s="5310"/>
      <c r="AI804" s="5311"/>
      <c r="AJ804" s="5312"/>
      <c r="AK804" s="1182" t="s">
        <v>949</v>
      </c>
      <c r="AL804" s="1562"/>
      <c r="AM804" s="1544"/>
      <c r="AN804" s="1544" t="str">
        <f t="shared" si="12"/>
        <v>Добавить значение признака дифференциации</v>
      </c>
      <c r="AO804" s="1544"/>
      <c r="AP804" s="1544"/>
    </row>
    <row r="805" spans="1:42" s="1818" customFormat="1" ht="21" customHeight="1">
      <c r="A805" s="1284"/>
      <c r="B805" s="1284"/>
      <c r="C805" s="1284"/>
      <c r="D805" s="1284"/>
      <c r="E805" s="8884" t="s">
        <v>563</v>
      </c>
      <c r="F805" s="8884"/>
      <c r="G805" s="8884"/>
      <c r="H805" s="8884"/>
      <c r="I805" s="8881"/>
      <c r="J805" s="1284"/>
      <c r="K805" s="1284"/>
      <c r="L805" s="1290"/>
      <c r="M805" s="1696"/>
      <c r="N805" s="1696"/>
      <c r="O805" s="1696"/>
      <c r="P805" s="8882"/>
      <c r="Q805" s="1811"/>
      <c r="R805" s="277"/>
      <c r="S805" s="5313"/>
      <c r="T805" s="5314" t="s">
        <v>877</v>
      </c>
      <c r="U805" s="5315"/>
      <c r="V805" s="5316"/>
      <c r="W805" s="5317"/>
      <c r="X805" s="5318"/>
      <c r="Y805" s="5319"/>
      <c r="Z805" s="5320"/>
      <c r="AA805" s="5321"/>
      <c r="AB805" s="5322"/>
      <c r="AC805" s="5323"/>
      <c r="AD805" s="5324"/>
      <c r="AE805" s="5325"/>
      <c r="AF805" s="5326"/>
      <c r="AG805" s="5327"/>
      <c r="AH805" s="5328"/>
      <c r="AI805" s="5329"/>
      <c r="AJ805" s="5330"/>
      <c r="AK805" s="5331"/>
      <c r="AL805" s="1562"/>
      <c r="AM805" s="1544"/>
      <c r="AN805" s="1544" t="str">
        <f t="shared" si="12"/>
        <v>Добавить группу потребителей</v>
      </c>
      <c r="AO805" s="1544"/>
      <c r="AP805" s="1544"/>
    </row>
    <row r="806" spans="1:42" s="1818" customFormat="1" ht="21" customHeight="1">
      <c r="A806" s="1284"/>
      <c r="B806" s="1284"/>
      <c r="C806" s="1284"/>
      <c r="D806" s="1284"/>
      <c r="E806" s="8884" t="s">
        <v>563</v>
      </c>
      <c r="F806" s="8884"/>
      <c r="G806" s="8884"/>
      <c r="H806" s="8883"/>
      <c r="I806" s="1284"/>
      <c r="J806" s="1284"/>
      <c r="K806" s="1284"/>
      <c r="L806" s="1290"/>
      <c r="M806" s="1286"/>
      <c r="N806" s="1286"/>
      <c r="O806" s="1287"/>
      <c r="P806" s="1742"/>
      <c r="Q806" s="299"/>
      <c r="R806" s="276"/>
      <c r="S806" s="5332"/>
      <c r="T806" s="5333" t="s">
        <v>950</v>
      </c>
      <c r="U806" s="5334"/>
      <c r="V806" s="5335"/>
      <c r="W806" s="5336"/>
      <c r="X806" s="5337"/>
      <c r="Y806" s="5338"/>
      <c r="Z806" s="5339"/>
      <c r="AA806" s="5340"/>
      <c r="AB806" s="5341"/>
      <c r="AC806" s="5342"/>
      <c r="AD806" s="5343"/>
      <c r="AE806" s="5344"/>
      <c r="AF806" s="5345"/>
      <c r="AG806" s="5346"/>
      <c r="AH806" s="5347"/>
      <c r="AI806" s="5348"/>
      <c r="AJ806" s="5349"/>
      <c r="AK806" s="5350"/>
      <c r="AL806" s="1562"/>
      <c r="AM806" s="1544"/>
      <c r="AN806" s="1544" t="str">
        <f t="shared" si="12"/>
        <v>Добавить наименование признака дифференциации</v>
      </c>
      <c r="AO806" s="1544"/>
      <c r="AP806" s="1544"/>
    </row>
    <row r="807" spans="1:42" s="541" customFormat="1" ht="14.25" customHeight="1">
      <c r="A807" s="1265"/>
      <c r="B807" s="1265"/>
      <c r="C807" s="1265"/>
      <c r="D807" s="1265"/>
      <c r="E807" s="8884" t="s">
        <v>563</v>
      </c>
      <c r="F807" s="8883"/>
      <c r="G807" s="1265"/>
      <c r="H807" s="1265"/>
      <c r="I807" s="1265"/>
      <c r="J807" s="1265"/>
      <c r="K807" s="1265"/>
      <c r="L807" s="1466"/>
      <c r="M807" s="1244"/>
      <c r="N807" s="1244"/>
      <c r="O807" s="1562"/>
      <c r="P807" s="1239"/>
      <c r="Q807" s="1266"/>
      <c r="R807" s="1239"/>
      <c r="S807" s="1245"/>
      <c r="T807" s="1248" t="s">
        <v>314</v>
      </c>
      <c r="U807" s="1247"/>
      <c r="V807" s="1247"/>
      <c r="W807" s="1247"/>
      <c r="X807" s="1247"/>
      <c r="Y807" s="1247"/>
      <c r="Z807" s="1247"/>
      <c r="AA807" s="1247"/>
      <c r="AB807" s="1247"/>
      <c r="AC807" s="1247"/>
      <c r="AD807" s="1247"/>
      <c r="AE807" s="1247"/>
      <c r="AF807" s="1247"/>
      <c r="AG807" s="1247"/>
      <c r="AH807" s="1247"/>
      <c r="AI807" s="1247"/>
      <c r="AJ807" s="1247"/>
      <c r="AK807" s="1247"/>
      <c r="AL807" s="1562"/>
      <c r="AM807" s="1544"/>
      <c r="AN807" s="1544" t="str">
        <f t="shared" si="12"/>
        <v>Добавить централизованную систему для дифференциации</v>
      </c>
      <c r="AO807" s="1544"/>
      <c r="AP807" s="1544"/>
    </row>
    <row r="808" spans="1:42" s="541" customFormat="1" ht="14.25" customHeight="1">
      <c r="A808" s="1265"/>
      <c r="B808" s="1265"/>
      <c r="C808" s="1265"/>
      <c r="D808" s="1265"/>
      <c r="E808" s="8883" t="s">
        <v>563</v>
      </c>
      <c r="F808" s="1265"/>
      <c r="G808" s="1265"/>
      <c r="H808" s="1265"/>
      <c r="I808" s="1265"/>
      <c r="J808" s="1265"/>
      <c r="K808" s="1265"/>
      <c r="L808" s="1466"/>
      <c r="M808" s="1244"/>
      <c r="N808" s="1244"/>
      <c r="O808" s="1562"/>
      <c r="P808" s="1239"/>
      <c r="Q808" s="1266"/>
      <c r="R808" s="1239"/>
      <c r="S808" s="1245"/>
      <c r="T808" s="1248" t="s">
        <v>315</v>
      </c>
      <c r="U808" s="1247"/>
      <c r="V808" s="1247"/>
      <c r="W808" s="1247"/>
      <c r="X808" s="1247"/>
      <c r="Y808" s="1247"/>
      <c r="Z808" s="1247"/>
      <c r="AA808" s="1247"/>
      <c r="AB808" s="1247"/>
      <c r="AC808" s="1247"/>
      <c r="AD808" s="1247"/>
      <c r="AE808" s="1247"/>
      <c r="AF808" s="1247"/>
      <c r="AG808" s="1247"/>
      <c r="AH808" s="1247"/>
      <c r="AI808" s="1247"/>
      <c r="AJ808" s="1247"/>
      <c r="AK808" s="1247"/>
      <c r="AL808" s="1562"/>
      <c r="AM808" s="1544"/>
      <c r="AN808" s="1544" t="str">
        <f t="shared" si="12"/>
        <v>Добавить территорию для дифференциации</v>
      </c>
      <c r="AO808" s="1544"/>
      <c r="AP808" s="1544"/>
    </row>
    <row r="809" spans="1:42" s="1818" customFormat="1" ht="23.25" customHeight="1">
      <c r="A809" s="1284" t="s">
        <v>577</v>
      </c>
      <c r="B809" s="1284"/>
      <c r="C809" s="1284"/>
      <c r="D809" s="1284"/>
      <c r="E809" s="8883" t="s">
        <v>575</v>
      </c>
      <c r="F809" s="1284"/>
      <c r="G809" s="1284"/>
      <c r="H809" s="1284"/>
      <c r="I809" s="1284"/>
      <c r="J809" s="1284"/>
      <c r="K809" s="1284"/>
      <c r="L809" s="1290"/>
      <c r="M809" s="1286"/>
      <c r="N809" s="1286"/>
      <c r="O809" s="1286"/>
      <c r="P809" s="1812"/>
      <c r="Q809" s="1742"/>
      <c r="R809" s="276"/>
      <c r="S809" s="1810" t="str">
        <f>INDEX(PT_DIFFERENTIATION_NUM_NTAR,MATCH(A809,PT_DIFFERENTIATION_NTAR_ID,0))</f>
        <v>49</v>
      </c>
      <c r="T809" s="1440" t="s">
        <v>211</v>
      </c>
      <c r="U809" s="214"/>
      <c r="V809" s="8869"/>
      <c r="W809" s="8870"/>
      <c r="X809" s="8870"/>
      <c r="Y809" s="8870"/>
      <c r="Z809" s="8870"/>
      <c r="AA809" s="8870"/>
      <c r="AB809" s="8871"/>
      <c r="AC809" s="8869" t="str">
        <f>INDEX(PT_DIFFERENTIATION_NTAR,MATCH(A809,PT_DIFFERENTIATION_NTAR_ID,0))</f>
        <v>Подвоз воды потребителям хутора Беляева</v>
      </c>
      <c r="AD809" s="8870"/>
      <c r="AE809" s="8870"/>
      <c r="AF809" s="8870"/>
      <c r="AG809" s="8870"/>
      <c r="AH809" s="8870"/>
      <c r="AI809" s="8870"/>
      <c r="AJ809" s="8871"/>
      <c r="AK80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809" s="1562"/>
      <c r="AM809" s="1544"/>
      <c r="AN809" s="1544" t="str">
        <f t="shared" ref="AN809:AN872" si="13">IF(T809="","",T809)</f>
        <v>Наименование тарифа</v>
      </c>
      <c r="AO809" s="1544"/>
      <c r="AP809" s="1544"/>
    </row>
    <row r="810" spans="1:42" s="1818" customFormat="1" ht="23.25" customHeight="1">
      <c r="A810" s="1284"/>
      <c r="B810" s="1284" t="s">
        <v>578</v>
      </c>
      <c r="C810" s="1284"/>
      <c r="D810" s="1284"/>
      <c r="E810" s="8884" t="s">
        <v>569</v>
      </c>
      <c r="F810" s="8883">
        <v>1</v>
      </c>
      <c r="G810" s="1284"/>
      <c r="H810" s="1284"/>
      <c r="I810" s="1284"/>
      <c r="J810" s="1284"/>
      <c r="K810" s="1284"/>
      <c r="L810" s="1290"/>
      <c r="M810" s="1286"/>
      <c r="N810" s="1286"/>
      <c r="O810" s="1286"/>
      <c r="P810" s="1807"/>
      <c r="Q810" s="273"/>
      <c r="R810" s="274"/>
      <c r="S810" s="1810" t="str">
        <f>INDEX(PT_DIFFERENTIATION_NUM_TER,MATCH(B810,PT_DIFFERENTIATION_TER_ID,0))</f>
        <v>49.1</v>
      </c>
      <c r="T810" s="1437" t="s">
        <v>862</v>
      </c>
      <c r="U810" s="214"/>
      <c r="V810" s="8869"/>
      <c r="W810" s="8870"/>
      <c r="X810" s="8870"/>
      <c r="Y810" s="8870"/>
      <c r="Z810" s="8870"/>
      <c r="AA810" s="8870"/>
      <c r="AB810" s="8871"/>
      <c r="AC810" s="8869" t="str">
        <f>INDEX(PT_DIFFERENTIATION_TER,MATCH(B810,PT_DIFFERENTIATION_TER_ID,0))</f>
        <v>Территория 13</v>
      </c>
      <c r="AD810" s="8870"/>
      <c r="AE810" s="8870"/>
      <c r="AF810" s="8870"/>
      <c r="AG810" s="8870"/>
      <c r="AH810" s="8870"/>
      <c r="AI810" s="8870"/>
      <c r="AJ810" s="8871"/>
      <c r="AK810" s="1182" t="s">
        <v>863</v>
      </c>
      <c r="AL810" s="1562"/>
      <c r="AM810" s="1544"/>
      <c r="AN810" s="1544" t="str">
        <f t="shared" si="13"/>
        <v>Территория действия тарифа</v>
      </c>
      <c r="AO810" s="1544"/>
      <c r="AP810" s="1544"/>
    </row>
    <row r="811" spans="1:42" s="1818" customFormat="1" ht="23.25" customHeight="1">
      <c r="A811" s="1284"/>
      <c r="B811" s="1284"/>
      <c r="C811" s="1284" t="s">
        <v>579</v>
      </c>
      <c r="D811" s="1284"/>
      <c r="E811" s="8884" t="s">
        <v>569</v>
      </c>
      <c r="F811" s="8884"/>
      <c r="G811" s="8883">
        <v>1</v>
      </c>
      <c r="H811" s="1284"/>
      <c r="I811" s="1284"/>
      <c r="J811" s="1284"/>
      <c r="K811" s="1284"/>
      <c r="L811" s="1290"/>
      <c r="M811" s="1286"/>
      <c r="N811" s="1286"/>
      <c r="O811" s="1286"/>
      <c r="P811" s="275"/>
      <c r="Q811" s="273"/>
      <c r="R811" s="274"/>
      <c r="S811" s="1810" t="str">
        <f>INDEX(PT_DIFFERENTIATION_NUM_CS,MATCH(C811,PT_DIFFERENTIATION_CS_ID,0))</f>
        <v>49.1.1</v>
      </c>
      <c r="T811" s="225" t="s">
        <v>943</v>
      </c>
      <c r="U811" s="214"/>
      <c r="V811" s="8869"/>
      <c r="W811" s="8870"/>
      <c r="X811" s="8870"/>
      <c r="Y811" s="8870"/>
      <c r="Z811" s="8870"/>
      <c r="AA811" s="8870"/>
      <c r="AB811" s="8871"/>
      <c r="AC811" s="8869" t="str">
        <f>INDEX(PT_DIFFERENTIATION_CS,MATCH(C811,PT_DIFFERENTIATION_CS_ID,0))</f>
        <v>без дифференциации</v>
      </c>
      <c r="AD811" s="8870"/>
      <c r="AE811" s="8870"/>
      <c r="AF811" s="8870"/>
      <c r="AG811" s="8870"/>
      <c r="AH811" s="8870"/>
      <c r="AI811" s="8870"/>
      <c r="AJ811" s="8871"/>
      <c r="AK811" s="1182" t="s">
        <v>944</v>
      </c>
      <c r="AL811" s="1562"/>
      <c r="AM811" s="1544"/>
      <c r="AN811" s="1544" t="str">
        <f t="shared" si="13"/>
        <v>Наименование централизованной системы холодного водоснабжения</v>
      </c>
      <c r="AO811" s="1544"/>
      <c r="AP811" s="1544"/>
    </row>
    <row r="812" spans="1:42" s="1818" customFormat="1" ht="23.25" customHeight="1">
      <c r="A812" s="1284"/>
      <c r="B812" s="1284"/>
      <c r="C812" s="1284"/>
      <c r="D812" s="1284"/>
      <c r="E812" s="8884" t="s">
        <v>569</v>
      </c>
      <c r="F812" s="8884"/>
      <c r="G812" s="8884"/>
      <c r="H812" s="8884"/>
      <c r="I812" s="8881" t="str">
        <f>S811&amp;".1"</f>
        <v>49.1.1.1</v>
      </c>
      <c r="J812" s="1284"/>
      <c r="K812" s="1284"/>
      <c r="L812" s="1290"/>
      <c r="M812" s="1696"/>
      <c r="N812" s="1696"/>
      <c r="O812" s="1696"/>
      <c r="P812" s="8882">
        <v>1</v>
      </c>
      <c r="Q812" s="1811"/>
      <c r="R812" s="277"/>
      <c r="S812" s="1810" t="str">
        <f>$I812</f>
        <v>49.1.1.1</v>
      </c>
      <c r="T812" s="200" t="s">
        <v>945</v>
      </c>
      <c r="U812" s="214"/>
      <c r="V812" s="8942"/>
      <c r="W812" s="8943"/>
      <c r="X812" s="8943"/>
      <c r="Y812" s="8943"/>
      <c r="Z812" s="8943"/>
      <c r="AA812" s="8943"/>
      <c r="AB812" s="8944"/>
      <c r="AC812" s="8945"/>
      <c r="AD812" s="8946"/>
      <c r="AE812" s="8946"/>
      <c r="AF812" s="8946"/>
      <c r="AG812" s="8946"/>
      <c r="AH812" s="8946"/>
      <c r="AI812" s="8946"/>
      <c r="AJ812" s="8947"/>
      <c r="AK812" s="1182" t="s">
        <v>946</v>
      </c>
      <c r="AL812" s="1562"/>
      <c r="AM812" s="1544"/>
      <c r="AN812" s="1544" t="str">
        <f t="shared" si="13"/>
        <v>Наименование признака дифференциации</v>
      </c>
      <c r="AO812" s="1544"/>
      <c r="AP812" s="1544"/>
    </row>
    <row r="813" spans="1:42" s="1818" customFormat="1" ht="23.25" customHeight="1">
      <c r="A813" s="1284"/>
      <c r="B813" s="1284"/>
      <c r="C813" s="1284"/>
      <c r="D813" s="1284"/>
      <c r="E813" s="8884" t="s">
        <v>569</v>
      </c>
      <c r="F813" s="8884"/>
      <c r="G813" s="8884"/>
      <c r="H813" s="8884"/>
      <c r="I813" s="8904"/>
      <c r="J813" s="8881" t="str">
        <f>I812&amp;".1"</f>
        <v>49.1.1.1.1</v>
      </c>
      <c r="K813" s="1284"/>
      <c r="L813" s="1290" t="s">
        <v>871</v>
      </c>
      <c r="M813" s="1696"/>
      <c r="N813" s="1696"/>
      <c r="O813" s="1696"/>
      <c r="P813" s="8882"/>
      <c r="Q813" s="8882">
        <v>1</v>
      </c>
      <c r="R813" s="278"/>
      <c r="S813" s="1810" t="str">
        <f>$J813</f>
        <v>49.1.1.1.1</v>
      </c>
      <c r="T813" s="201" t="s">
        <v>872</v>
      </c>
      <c r="U813" s="214"/>
      <c r="V813" s="8872"/>
      <c r="W813" s="8873"/>
      <c r="X813" s="8873"/>
      <c r="Y813" s="8873"/>
      <c r="Z813" s="8873"/>
      <c r="AA813" s="8873"/>
      <c r="AB813" s="8874"/>
      <c r="AC813" s="8872" t="s">
        <v>961</v>
      </c>
      <c r="AD813" s="8873"/>
      <c r="AE813" s="8873"/>
      <c r="AF813" s="8873"/>
      <c r="AG813" s="8873"/>
      <c r="AH813" s="8873"/>
      <c r="AI813" s="8873"/>
      <c r="AJ813" s="8874"/>
      <c r="AK813" s="1231" t="s">
        <v>947</v>
      </c>
      <c r="AL813" s="1562"/>
      <c r="AM813" s="1544"/>
      <c r="AN813" s="1544" t="str">
        <f t="shared" si="13"/>
        <v>Группа потребителей</v>
      </c>
      <c r="AO813" s="1544"/>
      <c r="AP813" s="1544"/>
    </row>
    <row r="814" spans="1:42" s="1818" customFormat="1" ht="23.25" customHeight="1">
      <c r="A814" s="1284"/>
      <c r="B814" s="1284"/>
      <c r="C814" s="1284"/>
      <c r="D814" s="1284"/>
      <c r="E814" s="8884" t="s">
        <v>569</v>
      </c>
      <c r="F814" s="8884"/>
      <c r="G814" s="8884"/>
      <c r="H814" s="8884"/>
      <c r="I814" s="8904"/>
      <c r="J814" s="8904"/>
      <c r="K814" s="8881" t="str">
        <f>J813&amp;".1"</f>
        <v>49.1.1.1.1.1</v>
      </c>
      <c r="L814" s="1290"/>
      <c r="M814" s="1696"/>
      <c r="N814" s="1696"/>
      <c r="O814" s="1696"/>
      <c r="P814" s="8882"/>
      <c r="Q814" s="8882"/>
      <c r="R814" s="278">
        <v>1</v>
      </c>
      <c r="S814" s="1810" t="str">
        <f>$K814</f>
        <v>49.1.1.1.1.1</v>
      </c>
      <c r="T814" s="1357" t="s">
        <v>962</v>
      </c>
      <c r="U814" s="214"/>
      <c r="V814" s="666"/>
      <c r="W814" s="666"/>
      <c r="X814" s="1181"/>
      <c r="Y814" s="8886"/>
      <c r="Z814" s="8734" t="s">
        <v>63</v>
      </c>
      <c r="AA814" s="8886"/>
      <c r="AB814" s="8734" t="s">
        <v>63</v>
      </c>
      <c r="AC814" s="666">
        <v>388.94</v>
      </c>
      <c r="AD814" s="666"/>
      <c r="AE814" s="1181"/>
      <c r="AF814" s="8886">
        <v>45292</v>
      </c>
      <c r="AG814" s="8734" t="s">
        <v>63</v>
      </c>
      <c r="AH814" s="8905">
        <v>45657</v>
      </c>
      <c r="AI814" s="8734" t="s">
        <v>63</v>
      </c>
      <c r="AJ814" s="1358"/>
      <c r="AK81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14" s="1562" t="e">
        <f ca="1">STRCHECKDATE(V815:AJ815)</f>
        <v>#NAME?</v>
      </c>
      <c r="AM814" s="1544"/>
      <c r="AN814" s="1544" t="str">
        <f t="shared" si="13"/>
        <v>Тариф для населения, руб. за 1 куб. метр с НДС</v>
      </c>
      <c r="AO814" s="1544"/>
      <c r="AP814" s="1544"/>
    </row>
    <row r="815" spans="1:42" s="1818" customFormat="1" ht="14.25" customHeight="1">
      <c r="A815" s="1284"/>
      <c r="B815" s="1284"/>
      <c r="C815" s="1284"/>
      <c r="D815" s="1284"/>
      <c r="E815" s="8884" t="s">
        <v>569</v>
      </c>
      <c r="F815" s="8884"/>
      <c r="G815" s="8884"/>
      <c r="H815" s="8884"/>
      <c r="I815" s="8904"/>
      <c r="J815" s="8904"/>
      <c r="K815" s="8881"/>
      <c r="L815" s="1290"/>
      <c r="M815" s="1696"/>
      <c r="N815" s="1696"/>
      <c r="O815" s="1696"/>
      <c r="P815" s="8882"/>
      <c r="Q815" s="8882"/>
      <c r="R815" s="278"/>
      <c r="S815" s="1815"/>
      <c r="T815" s="214"/>
      <c r="U815" s="214"/>
      <c r="V815" s="246"/>
      <c r="W815" s="246"/>
      <c r="X815" s="250" t="str">
        <f>Y814&amp;"-"&amp;AA814</f>
        <v>-</v>
      </c>
      <c r="Y815" s="8887"/>
      <c r="Z815" s="8734"/>
      <c r="AA815" s="8887"/>
      <c r="AB815" s="8734"/>
      <c r="AC815" s="246"/>
      <c r="AD815" s="246"/>
      <c r="AE815" s="250" t="str">
        <f>AF814&amp;"-"&amp;AH814</f>
        <v>45292-45657</v>
      </c>
      <c r="AF815" s="8887"/>
      <c r="AG815" s="8734"/>
      <c r="AH815" s="8906"/>
      <c r="AI815" s="8734"/>
      <c r="AJ815" s="1359"/>
      <c r="AK815" s="8941"/>
      <c r="AL815" s="1562"/>
      <c r="AM815" s="1544"/>
      <c r="AN815" s="1544" t="str">
        <f t="shared" si="13"/>
        <v/>
      </c>
      <c r="AO815" s="1544"/>
      <c r="AP815" s="1544"/>
    </row>
    <row r="816" spans="1:42" s="1818" customFormat="1" ht="21" customHeight="1">
      <c r="A816" s="1284"/>
      <c r="B816" s="1284"/>
      <c r="C816" s="1284"/>
      <c r="D816" s="1284"/>
      <c r="E816" s="8884" t="s">
        <v>569</v>
      </c>
      <c r="F816" s="8884"/>
      <c r="G816" s="8884"/>
      <c r="H816" s="8884"/>
      <c r="I816" s="8904"/>
      <c r="J816" s="8881"/>
      <c r="K816" s="1284"/>
      <c r="L816" s="1290"/>
      <c r="M816" s="1696"/>
      <c r="N816" s="1696"/>
      <c r="O816" s="1696"/>
      <c r="P816" s="8882"/>
      <c r="Q816" s="8882"/>
      <c r="R816" s="277"/>
      <c r="S816" s="5351"/>
      <c r="T816" s="5352" t="s">
        <v>948</v>
      </c>
      <c r="U816" s="5353"/>
      <c r="V816" s="5354"/>
      <c r="W816" s="5355"/>
      <c r="X816" s="5356"/>
      <c r="Y816" s="5357"/>
      <c r="Z816" s="5358"/>
      <c r="AA816" s="5359"/>
      <c r="AB816" s="5360"/>
      <c r="AC816" s="5361"/>
      <c r="AD816" s="5362"/>
      <c r="AE816" s="5363"/>
      <c r="AF816" s="5364"/>
      <c r="AG816" s="5365"/>
      <c r="AH816" s="5366"/>
      <c r="AI816" s="5367"/>
      <c r="AJ816" s="5368"/>
      <c r="AK816" s="1182" t="s">
        <v>949</v>
      </c>
      <c r="AL816" s="1562"/>
      <c r="AM816" s="1544"/>
      <c r="AN816" s="1544" t="str">
        <f t="shared" si="13"/>
        <v>Добавить значение признака дифференциации</v>
      </c>
      <c r="AO816" s="1544"/>
      <c r="AP816" s="1544"/>
    </row>
    <row r="817" spans="1:42" s="1818" customFormat="1" ht="23.25" customHeight="1">
      <c r="A817" s="1284"/>
      <c r="B817" s="1284"/>
      <c r="C817" s="1284"/>
      <c r="D817" s="1284"/>
      <c r="E817" s="8884"/>
      <c r="F817" s="8884"/>
      <c r="G817" s="8884"/>
      <c r="H817" s="8884"/>
      <c r="I817" s="8904"/>
      <c r="J817" s="8881" t="str">
        <f>I812&amp;".2"</f>
        <v>49.1.1.1.2</v>
      </c>
      <c r="K817" s="1284"/>
      <c r="L817" s="1290" t="s">
        <v>871</v>
      </c>
      <c r="M817" s="1696"/>
      <c r="N817" s="1696"/>
      <c r="O817" s="1696"/>
      <c r="P817" s="8882"/>
      <c r="Q817" s="8948" t="s">
        <v>100</v>
      </c>
      <c r="R817" s="278"/>
      <c r="S817" s="1810" t="str">
        <f>$J817</f>
        <v>49.1.1.1.2</v>
      </c>
      <c r="T817" s="201" t="s">
        <v>872</v>
      </c>
      <c r="U817" s="214"/>
      <c r="V817" s="8872"/>
      <c r="W817" s="8873"/>
      <c r="X817" s="8873"/>
      <c r="Y817" s="8873"/>
      <c r="Z817" s="8873"/>
      <c r="AA817" s="8873"/>
      <c r="AB817" s="8874"/>
      <c r="AC817" s="8872" t="s">
        <v>963</v>
      </c>
      <c r="AD817" s="8873"/>
      <c r="AE817" s="8873"/>
      <c r="AF817" s="8873"/>
      <c r="AG817" s="8873"/>
      <c r="AH817" s="8873"/>
      <c r="AI817" s="8873"/>
      <c r="AJ817" s="8874"/>
      <c r="AK817" s="1231" t="s">
        <v>947</v>
      </c>
      <c r="AL817" s="1562"/>
      <c r="AM817" s="1544"/>
      <c r="AN817" s="1544" t="str">
        <f t="shared" si="13"/>
        <v>Группа потребителей</v>
      </c>
      <c r="AO817" s="1544"/>
      <c r="AP817" s="1544"/>
    </row>
    <row r="818" spans="1:42" s="1818" customFormat="1" ht="23.25" customHeight="1">
      <c r="A818" s="1284"/>
      <c r="B818" s="1284"/>
      <c r="C818" s="1284"/>
      <c r="D818" s="1284"/>
      <c r="E818" s="8884"/>
      <c r="F818" s="8884"/>
      <c r="G818" s="8884"/>
      <c r="H818" s="8884"/>
      <c r="I818" s="8904"/>
      <c r="J818" s="8904" t="str">
        <f>I812&amp;".1"</f>
        <v>49.1.1.1.1</v>
      </c>
      <c r="K818" s="8881" t="str">
        <f>J817&amp;".1"</f>
        <v>49.1.1.1.2.1</v>
      </c>
      <c r="L818" s="1290"/>
      <c r="M818" s="1696"/>
      <c r="N818" s="1696"/>
      <c r="O818" s="1696"/>
      <c r="P818" s="8882"/>
      <c r="Q818" s="8882"/>
      <c r="R818" s="278">
        <v>1</v>
      </c>
      <c r="S818" s="1810" t="str">
        <f>$K818</f>
        <v>49.1.1.1.2.1</v>
      </c>
      <c r="T818" s="1357" t="s">
        <v>964</v>
      </c>
      <c r="U818" s="214"/>
      <c r="V818" s="666"/>
      <c r="W818" s="666"/>
      <c r="X818" s="1181"/>
      <c r="Y818" s="8886"/>
      <c r="Z818" s="8734" t="s">
        <v>63</v>
      </c>
      <c r="AA818" s="8886"/>
      <c r="AB818" s="8734" t="s">
        <v>63</v>
      </c>
      <c r="AC818" s="666">
        <v>324.12</v>
      </c>
      <c r="AD818" s="666"/>
      <c r="AE818" s="1181"/>
      <c r="AF818" s="8886">
        <v>45292</v>
      </c>
      <c r="AG818" s="8734" t="s">
        <v>63</v>
      </c>
      <c r="AH818" s="8905">
        <v>45657</v>
      </c>
      <c r="AI818" s="8734" t="s">
        <v>63</v>
      </c>
      <c r="AJ818" s="1358"/>
      <c r="AK81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18" s="1562" t="e">
        <f ca="1">STRCHECKDATE(V819:AJ819)</f>
        <v>#NAME?</v>
      </c>
      <c r="AM818" s="1544"/>
      <c r="AN818" s="1544" t="str">
        <f t="shared" si="13"/>
        <v>Тариф, руб. за 1 куб. метр без НДС</v>
      </c>
      <c r="AO818" s="1544"/>
      <c r="AP818" s="1544"/>
    </row>
    <row r="819" spans="1:42" s="1818" customFormat="1" ht="14.25" customHeight="1">
      <c r="A819" s="1284"/>
      <c r="B819" s="1284"/>
      <c r="C819" s="1284"/>
      <c r="D819" s="1284"/>
      <c r="E819" s="8884"/>
      <c r="F819" s="8884"/>
      <c r="G819" s="8884"/>
      <c r="H819" s="8884"/>
      <c r="I819" s="8904"/>
      <c r="J819" s="8904" t="str">
        <f>I812&amp;".1"</f>
        <v>49.1.1.1.1</v>
      </c>
      <c r="K819" s="8881"/>
      <c r="L819" s="1290"/>
      <c r="M819" s="1696"/>
      <c r="N819" s="1696"/>
      <c r="O819" s="1696"/>
      <c r="P819" s="8882"/>
      <c r="Q819" s="8882"/>
      <c r="R819" s="278"/>
      <c r="S819" s="1815"/>
      <c r="T819" s="214"/>
      <c r="U819" s="214"/>
      <c r="V819" s="246"/>
      <c r="W819" s="246"/>
      <c r="X819" s="250" t="str">
        <f>Y818&amp;"-"&amp;AA818</f>
        <v>-</v>
      </c>
      <c r="Y819" s="8887"/>
      <c r="Z819" s="8734"/>
      <c r="AA819" s="8887"/>
      <c r="AB819" s="8734"/>
      <c r="AC819" s="246"/>
      <c r="AD819" s="246"/>
      <c r="AE819" s="250" t="str">
        <f>AF818&amp;"-"&amp;AH818</f>
        <v>45292-45657</v>
      </c>
      <c r="AF819" s="8887"/>
      <c r="AG819" s="8734"/>
      <c r="AH819" s="8906"/>
      <c r="AI819" s="8734"/>
      <c r="AJ819" s="1359"/>
      <c r="AK819" s="8941"/>
      <c r="AL819" s="1562"/>
      <c r="AM819" s="1544"/>
      <c r="AN819" s="1544" t="str">
        <f t="shared" si="13"/>
        <v/>
      </c>
      <c r="AO819" s="1544"/>
      <c r="AP819" s="1544"/>
    </row>
    <row r="820" spans="1:42" s="1818" customFormat="1" ht="21" customHeight="1">
      <c r="A820" s="1284"/>
      <c r="B820" s="1284"/>
      <c r="C820" s="1284"/>
      <c r="D820" s="1284"/>
      <c r="E820" s="8884"/>
      <c r="F820" s="8884"/>
      <c r="G820" s="8884"/>
      <c r="H820" s="8884"/>
      <c r="I820" s="8904"/>
      <c r="J820" s="8881" t="str">
        <f>I812&amp;".1"</f>
        <v>49.1.1.1.1</v>
      </c>
      <c r="K820" s="1284"/>
      <c r="L820" s="1290"/>
      <c r="M820" s="1696"/>
      <c r="N820" s="1696"/>
      <c r="O820" s="1696"/>
      <c r="P820" s="8882"/>
      <c r="Q820" s="8882"/>
      <c r="R820" s="277"/>
      <c r="S820" s="5369"/>
      <c r="T820" s="5370" t="s">
        <v>948</v>
      </c>
      <c r="U820" s="5371"/>
      <c r="V820" s="5372"/>
      <c r="W820" s="5373"/>
      <c r="X820" s="5374"/>
      <c r="Y820" s="5375"/>
      <c r="Z820" s="5376"/>
      <c r="AA820" s="5377"/>
      <c r="AB820" s="5378"/>
      <c r="AC820" s="5379"/>
      <c r="AD820" s="5380"/>
      <c r="AE820" s="5381"/>
      <c r="AF820" s="5382"/>
      <c r="AG820" s="5383"/>
      <c r="AH820" s="5384"/>
      <c r="AI820" s="5385"/>
      <c r="AJ820" s="5386"/>
      <c r="AK820" s="1182" t="s">
        <v>949</v>
      </c>
      <c r="AL820" s="1562"/>
      <c r="AM820" s="1544"/>
      <c r="AN820" s="1544" t="str">
        <f t="shared" si="13"/>
        <v>Добавить значение признака дифференциации</v>
      </c>
      <c r="AO820" s="1544"/>
      <c r="AP820" s="1544"/>
    </row>
    <row r="821" spans="1:42" s="1818" customFormat="1" ht="21" customHeight="1">
      <c r="A821" s="1284"/>
      <c r="B821" s="1284"/>
      <c r="C821" s="1284"/>
      <c r="D821" s="1284"/>
      <c r="E821" s="8884" t="s">
        <v>569</v>
      </c>
      <c r="F821" s="8884"/>
      <c r="G821" s="8884"/>
      <c r="H821" s="8884"/>
      <c r="I821" s="8881"/>
      <c r="J821" s="1284"/>
      <c r="K821" s="1284"/>
      <c r="L821" s="1290"/>
      <c r="M821" s="1696"/>
      <c r="N821" s="1696"/>
      <c r="O821" s="1696"/>
      <c r="P821" s="8882"/>
      <c r="Q821" s="1811"/>
      <c r="R821" s="277"/>
      <c r="S821" s="5387"/>
      <c r="T821" s="5388" t="s">
        <v>877</v>
      </c>
      <c r="U821" s="5389"/>
      <c r="V821" s="5390"/>
      <c r="W821" s="5391"/>
      <c r="X821" s="5392"/>
      <c r="Y821" s="5393"/>
      <c r="Z821" s="5394"/>
      <c r="AA821" s="5395"/>
      <c r="AB821" s="5396"/>
      <c r="AC821" s="5397"/>
      <c r="AD821" s="5398"/>
      <c r="AE821" s="5399"/>
      <c r="AF821" s="5400"/>
      <c r="AG821" s="5401"/>
      <c r="AH821" s="5402"/>
      <c r="AI821" s="5403"/>
      <c r="AJ821" s="5404"/>
      <c r="AK821" s="5405"/>
      <c r="AL821" s="1562"/>
      <c r="AM821" s="1544"/>
      <c r="AN821" s="1544" t="str">
        <f t="shared" si="13"/>
        <v>Добавить группу потребителей</v>
      </c>
      <c r="AO821" s="1544"/>
      <c r="AP821" s="1544"/>
    </row>
    <row r="822" spans="1:42" s="1818" customFormat="1" ht="21" customHeight="1">
      <c r="A822" s="1284"/>
      <c r="B822" s="1284"/>
      <c r="C822" s="1284"/>
      <c r="D822" s="1284"/>
      <c r="E822" s="8884" t="s">
        <v>569</v>
      </c>
      <c r="F822" s="8884"/>
      <c r="G822" s="8884"/>
      <c r="H822" s="8883"/>
      <c r="I822" s="1284"/>
      <c r="J822" s="1284"/>
      <c r="K822" s="1284"/>
      <c r="L822" s="1290"/>
      <c r="M822" s="1286"/>
      <c r="N822" s="1286"/>
      <c r="O822" s="1287"/>
      <c r="P822" s="1742"/>
      <c r="Q822" s="299"/>
      <c r="R822" s="276"/>
      <c r="S822" s="5406"/>
      <c r="T822" s="5407" t="s">
        <v>950</v>
      </c>
      <c r="U822" s="5408"/>
      <c r="V822" s="5409"/>
      <c r="W822" s="5410"/>
      <c r="X822" s="5411"/>
      <c r="Y822" s="5412"/>
      <c r="Z822" s="5413"/>
      <c r="AA822" s="5414"/>
      <c r="AB822" s="5415"/>
      <c r="AC822" s="5416"/>
      <c r="AD822" s="5417"/>
      <c r="AE822" s="5418"/>
      <c r="AF822" s="5419"/>
      <c r="AG822" s="5420"/>
      <c r="AH822" s="5421"/>
      <c r="AI822" s="5422"/>
      <c r="AJ822" s="5423"/>
      <c r="AK822" s="5424"/>
      <c r="AL822" s="1562"/>
      <c r="AM822" s="1544"/>
      <c r="AN822" s="1544" t="str">
        <f t="shared" si="13"/>
        <v>Добавить наименование признака дифференциации</v>
      </c>
      <c r="AO822" s="1544"/>
      <c r="AP822" s="1544"/>
    </row>
    <row r="823" spans="1:42" s="541" customFormat="1" ht="14.25" customHeight="1">
      <c r="A823" s="1265"/>
      <c r="B823" s="1265"/>
      <c r="C823" s="1265"/>
      <c r="D823" s="1265"/>
      <c r="E823" s="8884" t="s">
        <v>569</v>
      </c>
      <c r="F823" s="8883"/>
      <c r="G823" s="1265"/>
      <c r="H823" s="1265"/>
      <c r="I823" s="1265"/>
      <c r="J823" s="1265"/>
      <c r="K823" s="1265"/>
      <c r="L823" s="1466"/>
      <c r="M823" s="1244"/>
      <c r="N823" s="1244"/>
      <c r="O823" s="1562"/>
      <c r="P823" s="1239"/>
      <c r="Q823" s="1266"/>
      <c r="R823" s="1239"/>
      <c r="S823" s="1245"/>
      <c r="T823" s="1248" t="s">
        <v>314</v>
      </c>
      <c r="U823" s="1247"/>
      <c r="V823" s="1247"/>
      <c r="W823" s="1247"/>
      <c r="X823" s="1247"/>
      <c r="Y823" s="1247"/>
      <c r="Z823" s="1247"/>
      <c r="AA823" s="1247"/>
      <c r="AB823" s="1247"/>
      <c r="AC823" s="1247"/>
      <c r="AD823" s="1247"/>
      <c r="AE823" s="1247"/>
      <c r="AF823" s="1247"/>
      <c r="AG823" s="1247"/>
      <c r="AH823" s="1247"/>
      <c r="AI823" s="1247"/>
      <c r="AJ823" s="1247"/>
      <c r="AK823" s="1247"/>
      <c r="AL823" s="1562"/>
      <c r="AM823" s="1544"/>
      <c r="AN823" s="1544" t="str">
        <f t="shared" si="13"/>
        <v>Добавить централизованную систему для дифференциации</v>
      </c>
      <c r="AO823" s="1544"/>
      <c r="AP823" s="1544"/>
    </row>
    <row r="824" spans="1:42" s="541" customFormat="1" ht="14.25" customHeight="1">
      <c r="A824" s="1265"/>
      <c r="B824" s="1265"/>
      <c r="C824" s="1265"/>
      <c r="D824" s="1265"/>
      <c r="E824" s="8883" t="s">
        <v>569</v>
      </c>
      <c r="F824" s="1265"/>
      <c r="G824" s="1265"/>
      <c r="H824" s="1265"/>
      <c r="I824" s="1265"/>
      <c r="J824" s="1265"/>
      <c r="K824" s="1265"/>
      <c r="L824" s="1466"/>
      <c r="M824" s="1244"/>
      <c r="N824" s="1244"/>
      <c r="O824" s="1562"/>
      <c r="P824" s="1239"/>
      <c r="Q824" s="1266"/>
      <c r="R824" s="1239"/>
      <c r="S824" s="1245"/>
      <c r="T824" s="1248" t="s">
        <v>315</v>
      </c>
      <c r="U824" s="1247"/>
      <c r="V824" s="1247"/>
      <c r="W824" s="1247"/>
      <c r="X824" s="1247"/>
      <c r="Y824" s="1247"/>
      <c r="Z824" s="1247"/>
      <c r="AA824" s="1247"/>
      <c r="AB824" s="1247"/>
      <c r="AC824" s="1247"/>
      <c r="AD824" s="1247"/>
      <c r="AE824" s="1247"/>
      <c r="AF824" s="1247"/>
      <c r="AG824" s="1247"/>
      <c r="AH824" s="1247"/>
      <c r="AI824" s="1247"/>
      <c r="AJ824" s="1247"/>
      <c r="AK824" s="1247"/>
      <c r="AL824" s="1562"/>
      <c r="AM824" s="1544"/>
      <c r="AN824" s="1544" t="str">
        <f t="shared" si="13"/>
        <v>Добавить территорию для дифференциации</v>
      </c>
      <c r="AO824" s="1544"/>
      <c r="AP824" s="1544"/>
    </row>
    <row r="825" spans="1:42" s="1818" customFormat="1" ht="23.25" customHeight="1">
      <c r="A825" s="1284" t="s">
        <v>583</v>
      </c>
      <c r="B825" s="1284"/>
      <c r="C825" s="1284"/>
      <c r="D825" s="1284"/>
      <c r="E825" s="8883" t="s">
        <v>581</v>
      </c>
      <c r="F825" s="1284"/>
      <c r="G825" s="1284"/>
      <c r="H825" s="1284"/>
      <c r="I825" s="1284"/>
      <c r="J825" s="1284"/>
      <c r="K825" s="1284"/>
      <c r="L825" s="1290"/>
      <c r="M825" s="1286"/>
      <c r="N825" s="1286"/>
      <c r="O825" s="1286"/>
      <c r="P825" s="1812"/>
      <c r="Q825" s="1742"/>
      <c r="R825" s="276"/>
      <c r="S825" s="1810" t="str">
        <f>INDEX(PT_DIFFERENTIATION_NUM_NTAR,MATCH(A825,PT_DIFFERENTIATION_NTAR_ID,0))</f>
        <v>50</v>
      </c>
      <c r="T825" s="1440" t="s">
        <v>211</v>
      </c>
      <c r="U825" s="214"/>
      <c r="V825" s="8869"/>
      <c r="W825" s="8870"/>
      <c r="X825" s="8870"/>
      <c r="Y825" s="8870"/>
      <c r="Z825" s="8870"/>
      <c r="AA825" s="8870"/>
      <c r="AB825" s="8871"/>
      <c r="AC825" s="8869" t="str">
        <f>INDEX(PT_DIFFERENTIATION_NTAR,MATCH(A825,PT_DIFFERENTIATION_NTAR_ID,0))</f>
        <v>Подвоз воды потребителям села Найдёновка</v>
      </c>
      <c r="AD825" s="8870"/>
      <c r="AE825" s="8870"/>
      <c r="AF825" s="8870"/>
      <c r="AG825" s="8870"/>
      <c r="AH825" s="8870"/>
      <c r="AI825" s="8870"/>
      <c r="AJ825" s="8871"/>
      <c r="AK82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825" s="1562"/>
      <c r="AM825" s="1544"/>
      <c r="AN825" s="1544" t="str">
        <f t="shared" si="13"/>
        <v>Наименование тарифа</v>
      </c>
      <c r="AO825" s="1544"/>
      <c r="AP825" s="1544"/>
    </row>
    <row r="826" spans="1:42" s="1818" customFormat="1" ht="23.25" customHeight="1">
      <c r="A826" s="1284"/>
      <c r="B826" s="1284" t="s">
        <v>584</v>
      </c>
      <c r="C826" s="1284"/>
      <c r="D826" s="1284"/>
      <c r="E826" s="8884" t="s">
        <v>575</v>
      </c>
      <c r="F826" s="8883">
        <v>1</v>
      </c>
      <c r="G826" s="1284"/>
      <c r="H826" s="1284"/>
      <c r="I826" s="1284"/>
      <c r="J826" s="1284"/>
      <c r="K826" s="1284"/>
      <c r="L826" s="1290"/>
      <c r="M826" s="1286"/>
      <c r="N826" s="1286"/>
      <c r="O826" s="1286"/>
      <c r="P826" s="1807"/>
      <c r="Q826" s="273"/>
      <c r="R826" s="274"/>
      <c r="S826" s="1810" t="str">
        <f>INDEX(PT_DIFFERENTIATION_NUM_TER,MATCH(B826,PT_DIFFERENTIATION_TER_ID,0))</f>
        <v>50.1</v>
      </c>
      <c r="T826" s="1437" t="s">
        <v>862</v>
      </c>
      <c r="U826" s="214"/>
      <c r="V826" s="8869"/>
      <c r="W826" s="8870"/>
      <c r="X826" s="8870"/>
      <c r="Y826" s="8870"/>
      <c r="Z826" s="8870"/>
      <c r="AA826" s="8870"/>
      <c r="AB826" s="8871"/>
      <c r="AC826" s="8869" t="str">
        <f>INDEX(PT_DIFFERENTIATION_TER,MATCH(B826,PT_DIFFERENTIATION_TER_ID,0))</f>
        <v>Территория 14</v>
      </c>
      <c r="AD826" s="8870"/>
      <c r="AE826" s="8870"/>
      <c r="AF826" s="8870"/>
      <c r="AG826" s="8870"/>
      <c r="AH826" s="8870"/>
      <c r="AI826" s="8870"/>
      <c r="AJ826" s="8871"/>
      <c r="AK826" s="1182" t="s">
        <v>863</v>
      </c>
      <c r="AL826" s="1562"/>
      <c r="AM826" s="1544"/>
      <c r="AN826" s="1544" t="str">
        <f t="shared" si="13"/>
        <v>Территория действия тарифа</v>
      </c>
      <c r="AO826" s="1544"/>
      <c r="AP826" s="1544"/>
    </row>
    <row r="827" spans="1:42" s="1818" customFormat="1" ht="23.25" customHeight="1">
      <c r="A827" s="1284"/>
      <c r="B827" s="1284"/>
      <c r="C827" s="1284" t="s">
        <v>585</v>
      </c>
      <c r="D827" s="1284"/>
      <c r="E827" s="8884" t="s">
        <v>575</v>
      </c>
      <c r="F827" s="8884"/>
      <c r="G827" s="8883">
        <v>1</v>
      </c>
      <c r="H827" s="1284"/>
      <c r="I827" s="1284"/>
      <c r="J827" s="1284"/>
      <c r="K827" s="1284"/>
      <c r="L827" s="1290"/>
      <c r="M827" s="1286"/>
      <c r="N827" s="1286"/>
      <c r="O827" s="1286"/>
      <c r="P827" s="275"/>
      <c r="Q827" s="273"/>
      <c r="R827" s="274"/>
      <c r="S827" s="1810" t="str">
        <f>INDEX(PT_DIFFERENTIATION_NUM_CS,MATCH(C827,PT_DIFFERENTIATION_CS_ID,0))</f>
        <v>50.1.1</v>
      </c>
      <c r="T827" s="225" t="s">
        <v>943</v>
      </c>
      <c r="U827" s="214"/>
      <c r="V827" s="8869"/>
      <c r="W827" s="8870"/>
      <c r="X827" s="8870"/>
      <c r="Y827" s="8870"/>
      <c r="Z827" s="8870"/>
      <c r="AA827" s="8870"/>
      <c r="AB827" s="8871"/>
      <c r="AC827" s="8869" t="str">
        <f>INDEX(PT_DIFFERENTIATION_CS,MATCH(C827,PT_DIFFERENTIATION_CS_ID,0))</f>
        <v>без дифференциации</v>
      </c>
      <c r="AD827" s="8870"/>
      <c r="AE827" s="8870"/>
      <c r="AF827" s="8870"/>
      <c r="AG827" s="8870"/>
      <c r="AH827" s="8870"/>
      <c r="AI827" s="8870"/>
      <c r="AJ827" s="8871"/>
      <c r="AK827" s="1182" t="s">
        <v>944</v>
      </c>
      <c r="AL827" s="1562"/>
      <c r="AM827" s="1544"/>
      <c r="AN827" s="1544" t="str">
        <f t="shared" si="13"/>
        <v>Наименование централизованной системы холодного водоснабжения</v>
      </c>
      <c r="AO827" s="1544"/>
      <c r="AP827" s="1544"/>
    </row>
    <row r="828" spans="1:42" s="1818" customFormat="1" ht="23.25" customHeight="1">
      <c r="A828" s="1284"/>
      <c r="B828" s="1284"/>
      <c r="C828" s="1284"/>
      <c r="D828" s="1284"/>
      <c r="E828" s="8884" t="s">
        <v>575</v>
      </c>
      <c r="F828" s="8884"/>
      <c r="G828" s="8884"/>
      <c r="H828" s="8884"/>
      <c r="I828" s="8881" t="str">
        <f>S827&amp;".1"</f>
        <v>50.1.1.1</v>
      </c>
      <c r="J828" s="1284"/>
      <c r="K828" s="1284"/>
      <c r="L828" s="1290"/>
      <c r="M828" s="1696"/>
      <c r="N828" s="1696"/>
      <c r="O828" s="1696"/>
      <c r="P828" s="8882">
        <v>1</v>
      </c>
      <c r="Q828" s="1811"/>
      <c r="R828" s="277"/>
      <c r="S828" s="1810" t="str">
        <f>$I828</f>
        <v>50.1.1.1</v>
      </c>
      <c r="T828" s="200" t="s">
        <v>945</v>
      </c>
      <c r="U828" s="214"/>
      <c r="V828" s="8942"/>
      <c r="W828" s="8943"/>
      <c r="X828" s="8943"/>
      <c r="Y828" s="8943"/>
      <c r="Z828" s="8943"/>
      <c r="AA828" s="8943"/>
      <c r="AB828" s="8944"/>
      <c r="AC828" s="8945"/>
      <c r="AD828" s="8946"/>
      <c r="AE828" s="8946"/>
      <c r="AF828" s="8946"/>
      <c r="AG828" s="8946"/>
      <c r="AH828" s="8946"/>
      <c r="AI828" s="8946"/>
      <c r="AJ828" s="8947"/>
      <c r="AK828" s="1182" t="s">
        <v>946</v>
      </c>
      <c r="AL828" s="1562"/>
      <c r="AM828" s="1544"/>
      <c r="AN828" s="1544" t="str">
        <f t="shared" si="13"/>
        <v>Наименование признака дифференциации</v>
      </c>
      <c r="AO828" s="1544"/>
      <c r="AP828" s="1544"/>
    </row>
    <row r="829" spans="1:42" s="1818" customFormat="1" ht="23.25" customHeight="1">
      <c r="A829" s="1284"/>
      <c r="B829" s="1284"/>
      <c r="C829" s="1284"/>
      <c r="D829" s="1284"/>
      <c r="E829" s="8884" t="s">
        <v>575</v>
      </c>
      <c r="F829" s="8884"/>
      <c r="G829" s="8884"/>
      <c r="H829" s="8884"/>
      <c r="I829" s="8904"/>
      <c r="J829" s="8881" t="str">
        <f>I828&amp;".1"</f>
        <v>50.1.1.1.1</v>
      </c>
      <c r="K829" s="1284"/>
      <c r="L829" s="1290" t="s">
        <v>871</v>
      </c>
      <c r="M829" s="1696"/>
      <c r="N829" s="1696"/>
      <c r="O829" s="1696"/>
      <c r="P829" s="8882"/>
      <c r="Q829" s="8882">
        <v>1</v>
      </c>
      <c r="R829" s="278"/>
      <c r="S829" s="1810" t="str">
        <f>$J829</f>
        <v>50.1.1.1.1</v>
      </c>
      <c r="T829" s="201" t="s">
        <v>872</v>
      </c>
      <c r="U829" s="214"/>
      <c r="V829" s="8872"/>
      <c r="W829" s="8873"/>
      <c r="X829" s="8873"/>
      <c r="Y829" s="8873"/>
      <c r="Z829" s="8873"/>
      <c r="AA829" s="8873"/>
      <c r="AB829" s="8874"/>
      <c r="AC829" s="8872" t="s">
        <v>961</v>
      </c>
      <c r="AD829" s="8873"/>
      <c r="AE829" s="8873"/>
      <c r="AF829" s="8873"/>
      <c r="AG829" s="8873"/>
      <c r="AH829" s="8873"/>
      <c r="AI829" s="8873"/>
      <c r="AJ829" s="8874"/>
      <c r="AK829" s="1231" t="s">
        <v>947</v>
      </c>
      <c r="AL829" s="1562"/>
      <c r="AM829" s="1544"/>
      <c r="AN829" s="1544" t="str">
        <f t="shared" si="13"/>
        <v>Группа потребителей</v>
      </c>
      <c r="AO829" s="1544"/>
      <c r="AP829" s="1544"/>
    </row>
    <row r="830" spans="1:42" s="1818" customFormat="1" ht="23.25" customHeight="1">
      <c r="A830" s="1284"/>
      <c r="B830" s="1284"/>
      <c r="C830" s="1284"/>
      <c r="D830" s="1284"/>
      <c r="E830" s="8884" t="s">
        <v>575</v>
      </c>
      <c r="F830" s="8884"/>
      <c r="G830" s="8884"/>
      <c r="H830" s="8884"/>
      <c r="I830" s="8904"/>
      <c r="J830" s="8904"/>
      <c r="K830" s="8881" t="str">
        <f>J829&amp;".1"</f>
        <v>50.1.1.1.1.1</v>
      </c>
      <c r="L830" s="1290"/>
      <c r="M830" s="1696"/>
      <c r="N830" s="1696"/>
      <c r="O830" s="1696"/>
      <c r="P830" s="8882"/>
      <c r="Q830" s="8882"/>
      <c r="R830" s="278">
        <v>1</v>
      </c>
      <c r="S830" s="1810" t="str">
        <f>$K830</f>
        <v>50.1.1.1.1.1</v>
      </c>
      <c r="T830" s="1357" t="s">
        <v>962</v>
      </c>
      <c r="U830" s="214"/>
      <c r="V830" s="666"/>
      <c r="W830" s="666"/>
      <c r="X830" s="1181"/>
      <c r="Y830" s="8886"/>
      <c r="Z830" s="8734" t="s">
        <v>63</v>
      </c>
      <c r="AA830" s="8886"/>
      <c r="AB830" s="8734" t="s">
        <v>63</v>
      </c>
      <c r="AC830" s="666">
        <v>345.96</v>
      </c>
      <c r="AD830" s="666"/>
      <c r="AE830" s="1181"/>
      <c r="AF830" s="8886">
        <v>45292</v>
      </c>
      <c r="AG830" s="8734" t="s">
        <v>63</v>
      </c>
      <c r="AH830" s="8905">
        <v>45657</v>
      </c>
      <c r="AI830" s="8734" t="s">
        <v>63</v>
      </c>
      <c r="AJ830" s="1358"/>
      <c r="AK83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30" s="1562" t="e">
        <f ca="1">STRCHECKDATE(V831:AJ831)</f>
        <v>#NAME?</v>
      </c>
      <c r="AM830" s="1544"/>
      <c r="AN830" s="1544" t="str">
        <f t="shared" si="13"/>
        <v>Тариф для населения, руб. за 1 куб. метр с НДС</v>
      </c>
      <c r="AO830" s="1544"/>
      <c r="AP830" s="1544"/>
    </row>
    <row r="831" spans="1:42" s="1818" customFormat="1" ht="14.25" customHeight="1">
      <c r="A831" s="1284"/>
      <c r="B831" s="1284"/>
      <c r="C831" s="1284"/>
      <c r="D831" s="1284"/>
      <c r="E831" s="8884" t="s">
        <v>575</v>
      </c>
      <c r="F831" s="8884"/>
      <c r="G831" s="8884"/>
      <c r="H831" s="8884"/>
      <c r="I831" s="8904"/>
      <c r="J831" s="8904"/>
      <c r="K831" s="8881"/>
      <c r="L831" s="1290"/>
      <c r="M831" s="1696"/>
      <c r="N831" s="1696"/>
      <c r="O831" s="1696"/>
      <c r="P831" s="8882"/>
      <c r="Q831" s="8882"/>
      <c r="R831" s="278"/>
      <c r="S831" s="1815"/>
      <c r="T831" s="214"/>
      <c r="U831" s="214"/>
      <c r="V831" s="246"/>
      <c r="W831" s="246"/>
      <c r="X831" s="250" t="str">
        <f>Y830&amp;"-"&amp;AA830</f>
        <v>-</v>
      </c>
      <c r="Y831" s="8887"/>
      <c r="Z831" s="8734"/>
      <c r="AA831" s="8887"/>
      <c r="AB831" s="8734"/>
      <c r="AC831" s="246"/>
      <c r="AD831" s="246"/>
      <c r="AE831" s="250" t="str">
        <f>AF830&amp;"-"&amp;AH830</f>
        <v>45292-45657</v>
      </c>
      <c r="AF831" s="8887"/>
      <c r="AG831" s="8734"/>
      <c r="AH831" s="8906"/>
      <c r="AI831" s="8734"/>
      <c r="AJ831" s="1359"/>
      <c r="AK831" s="8941"/>
      <c r="AL831" s="1562"/>
      <c r="AM831" s="1544"/>
      <c r="AN831" s="1544" t="str">
        <f t="shared" si="13"/>
        <v/>
      </c>
      <c r="AO831" s="1544"/>
      <c r="AP831" s="1544"/>
    </row>
    <row r="832" spans="1:42" s="1818" customFormat="1" ht="21" customHeight="1">
      <c r="A832" s="1284"/>
      <c r="B832" s="1284"/>
      <c r="C832" s="1284"/>
      <c r="D832" s="1284"/>
      <c r="E832" s="8884" t="s">
        <v>575</v>
      </c>
      <c r="F832" s="8884"/>
      <c r="G832" s="8884"/>
      <c r="H832" s="8884"/>
      <c r="I832" s="8904"/>
      <c r="J832" s="8881"/>
      <c r="K832" s="1284"/>
      <c r="L832" s="1290"/>
      <c r="M832" s="1696"/>
      <c r="N832" s="1696"/>
      <c r="O832" s="1696"/>
      <c r="P832" s="8882"/>
      <c r="Q832" s="8882"/>
      <c r="R832" s="277"/>
      <c r="S832" s="5425"/>
      <c r="T832" s="5426" t="s">
        <v>948</v>
      </c>
      <c r="U832" s="5427"/>
      <c r="V832" s="5428"/>
      <c r="W832" s="5429"/>
      <c r="X832" s="5430"/>
      <c r="Y832" s="5431"/>
      <c r="Z832" s="5432"/>
      <c r="AA832" s="5433"/>
      <c r="AB832" s="5434"/>
      <c r="AC832" s="5435"/>
      <c r="AD832" s="5436"/>
      <c r="AE832" s="5437"/>
      <c r="AF832" s="5438"/>
      <c r="AG832" s="5439"/>
      <c r="AH832" s="5440"/>
      <c r="AI832" s="5441"/>
      <c r="AJ832" s="5442"/>
      <c r="AK832" s="1182" t="s">
        <v>949</v>
      </c>
      <c r="AL832" s="1562"/>
      <c r="AM832" s="1544"/>
      <c r="AN832" s="1544" t="str">
        <f t="shared" si="13"/>
        <v>Добавить значение признака дифференциации</v>
      </c>
      <c r="AO832" s="1544"/>
      <c r="AP832" s="1544"/>
    </row>
    <row r="833" spans="1:42" s="1818" customFormat="1" ht="23.25" customHeight="1">
      <c r="A833" s="1284"/>
      <c r="B833" s="1284"/>
      <c r="C833" s="1284"/>
      <c r="D833" s="1284"/>
      <c r="E833" s="8884"/>
      <c r="F833" s="8884"/>
      <c r="G833" s="8884"/>
      <c r="H833" s="8884"/>
      <c r="I833" s="8904"/>
      <c r="J833" s="8881" t="str">
        <f>I828&amp;".2"</f>
        <v>50.1.1.1.2</v>
      </c>
      <c r="K833" s="1284"/>
      <c r="L833" s="1290" t="s">
        <v>871</v>
      </c>
      <c r="M833" s="1696"/>
      <c r="N833" s="1696"/>
      <c r="O833" s="1696"/>
      <c r="P833" s="8882"/>
      <c r="Q833" s="8948" t="s">
        <v>100</v>
      </c>
      <c r="R833" s="278"/>
      <c r="S833" s="1810" t="str">
        <f>$J833</f>
        <v>50.1.1.1.2</v>
      </c>
      <c r="T833" s="201" t="s">
        <v>872</v>
      </c>
      <c r="U833" s="214"/>
      <c r="V833" s="8872"/>
      <c r="W833" s="8873"/>
      <c r="X833" s="8873"/>
      <c r="Y833" s="8873"/>
      <c r="Z833" s="8873"/>
      <c r="AA833" s="8873"/>
      <c r="AB833" s="8874"/>
      <c r="AC833" s="8872" t="s">
        <v>963</v>
      </c>
      <c r="AD833" s="8873"/>
      <c r="AE833" s="8873"/>
      <c r="AF833" s="8873"/>
      <c r="AG833" s="8873"/>
      <c r="AH833" s="8873"/>
      <c r="AI833" s="8873"/>
      <c r="AJ833" s="8874"/>
      <c r="AK833" s="1231" t="s">
        <v>947</v>
      </c>
      <c r="AL833" s="1562"/>
      <c r="AM833" s="1544"/>
      <c r="AN833" s="1544" t="str">
        <f t="shared" si="13"/>
        <v>Группа потребителей</v>
      </c>
      <c r="AO833" s="1544"/>
      <c r="AP833" s="1544"/>
    </row>
    <row r="834" spans="1:42" s="1818" customFormat="1" ht="23.25" customHeight="1">
      <c r="A834" s="1284"/>
      <c r="B834" s="1284"/>
      <c r="C834" s="1284"/>
      <c r="D834" s="1284"/>
      <c r="E834" s="8884"/>
      <c r="F834" s="8884"/>
      <c r="G834" s="8884"/>
      <c r="H834" s="8884"/>
      <c r="I834" s="8904"/>
      <c r="J834" s="8904" t="str">
        <f>I828&amp;".1"</f>
        <v>50.1.1.1.1</v>
      </c>
      <c r="K834" s="8881" t="str">
        <f>J833&amp;".1"</f>
        <v>50.1.1.1.2.1</v>
      </c>
      <c r="L834" s="1290"/>
      <c r="M834" s="1696"/>
      <c r="N834" s="1696"/>
      <c r="O834" s="1696"/>
      <c r="P834" s="8882"/>
      <c r="Q834" s="8882"/>
      <c r="R834" s="278">
        <v>1</v>
      </c>
      <c r="S834" s="1810" t="str">
        <f>$K834</f>
        <v>50.1.1.1.2.1</v>
      </c>
      <c r="T834" s="1357" t="s">
        <v>964</v>
      </c>
      <c r="U834" s="214"/>
      <c r="V834" s="666"/>
      <c r="W834" s="666"/>
      <c r="X834" s="1181"/>
      <c r="Y834" s="8886"/>
      <c r="Z834" s="8734" t="s">
        <v>63</v>
      </c>
      <c r="AA834" s="8886"/>
      <c r="AB834" s="8734" t="s">
        <v>63</v>
      </c>
      <c r="AC834" s="666">
        <v>288.3</v>
      </c>
      <c r="AD834" s="666"/>
      <c r="AE834" s="1181"/>
      <c r="AF834" s="8886">
        <v>45292</v>
      </c>
      <c r="AG834" s="8734" t="s">
        <v>63</v>
      </c>
      <c r="AH834" s="8905">
        <v>45657</v>
      </c>
      <c r="AI834" s="8734" t="s">
        <v>63</v>
      </c>
      <c r="AJ834" s="1358"/>
      <c r="AK83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34" s="1562" t="e">
        <f ca="1">STRCHECKDATE(V835:AJ835)</f>
        <v>#NAME?</v>
      </c>
      <c r="AM834" s="1544"/>
      <c r="AN834" s="1544" t="str">
        <f t="shared" si="13"/>
        <v>Тариф, руб. за 1 куб. метр без НДС</v>
      </c>
      <c r="AO834" s="1544"/>
      <c r="AP834" s="1544"/>
    </row>
    <row r="835" spans="1:42" s="1818" customFormat="1" ht="14.25" customHeight="1">
      <c r="A835" s="1284"/>
      <c r="B835" s="1284"/>
      <c r="C835" s="1284"/>
      <c r="D835" s="1284"/>
      <c r="E835" s="8884"/>
      <c r="F835" s="8884"/>
      <c r="G835" s="8884"/>
      <c r="H835" s="8884"/>
      <c r="I835" s="8904"/>
      <c r="J835" s="8904" t="str">
        <f>I828&amp;".1"</f>
        <v>50.1.1.1.1</v>
      </c>
      <c r="K835" s="8881"/>
      <c r="L835" s="1290"/>
      <c r="M835" s="1696"/>
      <c r="N835" s="1696"/>
      <c r="O835" s="1696"/>
      <c r="P835" s="8882"/>
      <c r="Q835" s="8882"/>
      <c r="R835" s="278"/>
      <c r="S835" s="1815"/>
      <c r="T835" s="214"/>
      <c r="U835" s="214"/>
      <c r="V835" s="246"/>
      <c r="W835" s="246"/>
      <c r="X835" s="250" t="str">
        <f>Y834&amp;"-"&amp;AA834</f>
        <v>-</v>
      </c>
      <c r="Y835" s="8887"/>
      <c r="Z835" s="8734"/>
      <c r="AA835" s="8887"/>
      <c r="AB835" s="8734"/>
      <c r="AC835" s="246"/>
      <c r="AD835" s="246"/>
      <c r="AE835" s="250" t="str">
        <f>AF834&amp;"-"&amp;AH834</f>
        <v>45292-45657</v>
      </c>
      <c r="AF835" s="8887"/>
      <c r="AG835" s="8734"/>
      <c r="AH835" s="8906"/>
      <c r="AI835" s="8734"/>
      <c r="AJ835" s="1359"/>
      <c r="AK835" s="8941"/>
      <c r="AL835" s="1562"/>
      <c r="AM835" s="1544"/>
      <c r="AN835" s="1544" t="str">
        <f t="shared" si="13"/>
        <v/>
      </c>
      <c r="AO835" s="1544"/>
      <c r="AP835" s="1544"/>
    </row>
    <row r="836" spans="1:42" s="1818" customFormat="1" ht="21" customHeight="1">
      <c r="A836" s="1284"/>
      <c r="B836" s="1284"/>
      <c r="C836" s="1284"/>
      <c r="D836" s="1284"/>
      <c r="E836" s="8884"/>
      <c r="F836" s="8884"/>
      <c r="G836" s="8884"/>
      <c r="H836" s="8884"/>
      <c r="I836" s="8904"/>
      <c r="J836" s="8881" t="str">
        <f>I828&amp;".1"</f>
        <v>50.1.1.1.1</v>
      </c>
      <c r="K836" s="1284"/>
      <c r="L836" s="1290"/>
      <c r="M836" s="1696"/>
      <c r="N836" s="1696"/>
      <c r="O836" s="1696"/>
      <c r="P836" s="8882"/>
      <c r="Q836" s="8882"/>
      <c r="R836" s="277"/>
      <c r="S836" s="5443"/>
      <c r="T836" s="5444" t="s">
        <v>948</v>
      </c>
      <c r="U836" s="5445"/>
      <c r="V836" s="5446"/>
      <c r="W836" s="5447"/>
      <c r="X836" s="5448"/>
      <c r="Y836" s="5449"/>
      <c r="Z836" s="5450"/>
      <c r="AA836" s="5451"/>
      <c r="AB836" s="5452"/>
      <c r="AC836" s="5453"/>
      <c r="AD836" s="5454"/>
      <c r="AE836" s="5455"/>
      <c r="AF836" s="5456"/>
      <c r="AG836" s="5457"/>
      <c r="AH836" s="5458"/>
      <c r="AI836" s="5459"/>
      <c r="AJ836" s="5460"/>
      <c r="AK836" s="1182" t="s">
        <v>949</v>
      </c>
      <c r="AL836" s="1562"/>
      <c r="AM836" s="1544"/>
      <c r="AN836" s="1544" t="str">
        <f t="shared" si="13"/>
        <v>Добавить значение признака дифференциации</v>
      </c>
      <c r="AO836" s="1544"/>
      <c r="AP836" s="1544"/>
    </row>
    <row r="837" spans="1:42" s="1818" customFormat="1" ht="21" customHeight="1">
      <c r="A837" s="1284"/>
      <c r="B837" s="1284"/>
      <c r="C837" s="1284"/>
      <c r="D837" s="1284"/>
      <c r="E837" s="8884" t="s">
        <v>575</v>
      </c>
      <c r="F837" s="8884"/>
      <c r="G837" s="8884"/>
      <c r="H837" s="8884"/>
      <c r="I837" s="8881"/>
      <c r="J837" s="1284"/>
      <c r="K837" s="1284"/>
      <c r="L837" s="1290"/>
      <c r="M837" s="1696"/>
      <c r="N837" s="1696"/>
      <c r="O837" s="1696"/>
      <c r="P837" s="8882"/>
      <c r="Q837" s="1811"/>
      <c r="R837" s="277"/>
      <c r="S837" s="5461"/>
      <c r="T837" s="5462" t="s">
        <v>877</v>
      </c>
      <c r="U837" s="5463"/>
      <c r="V837" s="5464"/>
      <c r="W837" s="5465"/>
      <c r="X837" s="5466"/>
      <c r="Y837" s="5467"/>
      <c r="Z837" s="5468"/>
      <c r="AA837" s="5469"/>
      <c r="AB837" s="5470"/>
      <c r="AC837" s="5471"/>
      <c r="AD837" s="5472"/>
      <c r="AE837" s="5473"/>
      <c r="AF837" s="5474"/>
      <c r="AG837" s="5475"/>
      <c r="AH837" s="5476"/>
      <c r="AI837" s="5477"/>
      <c r="AJ837" s="5478"/>
      <c r="AK837" s="5479"/>
      <c r="AL837" s="1562"/>
      <c r="AM837" s="1544"/>
      <c r="AN837" s="1544" t="str">
        <f t="shared" si="13"/>
        <v>Добавить группу потребителей</v>
      </c>
      <c r="AO837" s="1544"/>
      <c r="AP837" s="1544"/>
    </row>
    <row r="838" spans="1:42" s="1818" customFormat="1" ht="21" customHeight="1">
      <c r="A838" s="1284"/>
      <c r="B838" s="1284"/>
      <c r="C838" s="1284"/>
      <c r="D838" s="1284"/>
      <c r="E838" s="8884" t="s">
        <v>575</v>
      </c>
      <c r="F838" s="8884"/>
      <c r="G838" s="8884"/>
      <c r="H838" s="8883"/>
      <c r="I838" s="1284"/>
      <c r="J838" s="1284"/>
      <c r="K838" s="1284"/>
      <c r="L838" s="1290"/>
      <c r="M838" s="1286"/>
      <c r="N838" s="1286"/>
      <c r="O838" s="1287"/>
      <c r="P838" s="1742"/>
      <c r="Q838" s="299"/>
      <c r="R838" s="276"/>
      <c r="S838" s="5480"/>
      <c r="T838" s="5481" t="s">
        <v>950</v>
      </c>
      <c r="U838" s="5482"/>
      <c r="V838" s="5483"/>
      <c r="W838" s="5484"/>
      <c r="X838" s="5485"/>
      <c r="Y838" s="5486"/>
      <c r="Z838" s="5487"/>
      <c r="AA838" s="5488"/>
      <c r="AB838" s="5489"/>
      <c r="AC838" s="5490"/>
      <c r="AD838" s="5491"/>
      <c r="AE838" s="5492"/>
      <c r="AF838" s="5493"/>
      <c r="AG838" s="5494"/>
      <c r="AH838" s="5495"/>
      <c r="AI838" s="5496"/>
      <c r="AJ838" s="5497"/>
      <c r="AK838" s="5498"/>
      <c r="AL838" s="1562"/>
      <c r="AM838" s="1544"/>
      <c r="AN838" s="1544" t="str">
        <f t="shared" si="13"/>
        <v>Добавить наименование признака дифференциации</v>
      </c>
      <c r="AO838" s="1544"/>
      <c r="AP838" s="1544"/>
    </row>
    <row r="839" spans="1:42" s="541" customFormat="1" ht="14.25" customHeight="1">
      <c r="A839" s="1265"/>
      <c r="B839" s="1265"/>
      <c r="C839" s="1265"/>
      <c r="D839" s="1265"/>
      <c r="E839" s="8884" t="s">
        <v>575</v>
      </c>
      <c r="F839" s="8883"/>
      <c r="G839" s="1265"/>
      <c r="H839" s="1265"/>
      <c r="I839" s="1265"/>
      <c r="J839" s="1265"/>
      <c r="K839" s="1265"/>
      <c r="L839" s="1466"/>
      <c r="M839" s="1244"/>
      <c r="N839" s="1244"/>
      <c r="O839" s="1562"/>
      <c r="P839" s="1239"/>
      <c r="Q839" s="1266"/>
      <c r="R839" s="1239"/>
      <c r="S839" s="1245"/>
      <c r="T839" s="1248" t="s">
        <v>314</v>
      </c>
      <c r="U839" s="1247"/>
      <c r="V839" s="1247"/>
      <c r="W839" s="1247"/>
      <c r="X839" s="1247"/>
      <c r="Y839" s="1247"/>
      <c r="Z839" s="1247"/>
      <c r="AA839" s="1247"/>
      <c r="AB839" s="1247"/>
      <c r="AC839" s="1247"/>
      <c r="AD839" s="1247"/>
      <c r="AE839" s="1247"/>
      <c r="AF839" s="1247"/>
      <c r="AG839" s="1247"/>
      <c r="AH839" s="1247"/>
      <c r="AI839" s="1247"/>
      <c r="AJ839" s="1247"/>
      <c r="AK839" s="1247"/>
      <c r="AL839" s="1562"/>
      <c r="AM839" s="1544"/>
      <c r="AN839" s="1544" t="str">
        <f t="shared" si="13"/>
        <v>Добавить централизованную систему для дифференциации</v>
      </c>
      <c r="AO839" s="1544"/>
      <c r="AP839" s="1544"/>
    </row>
    <row r="840" spans="1:42" s="541" customFormat="1" ht="14.25" customHeight="1">
      <c r="A840" s="1265"/>
      <c r="B840" s="1265"/>
      <c r="C840" s="1265"/>
      <c r="D840" s="1265"/>
      <c r="E840" s="8883" t="s">
        <v>575</v>
      </c>
      <c r="F840" s="1265"/>
      <c r="G840" s="1265"/>
      <c r="H840" s="1265"/>
      <c r="I840" s="1265"/>
      <c r="J840" s="1265"/>
      <c r="K840" s="1265"/>
      <c r="L840" s="1466"/>
      <c r="M840" s="1244"/>
      <c r="N840" s="1244"/>
      <c r="O840" s="1562"/>
      <c r="P840" s="1239"/>
      <c r="Q840" s="1266"/>
      <c r="R840" s="1239"/>
      <c r="S840" s="1245"/>
      <c r="T840" s="1248" t="s">
        <v>315</v>
      </c>
      <c r="U840" s="1247"/>
      <c r="V840" s="1247"/>
      <c r="W840" s="1247"/>
      <c r="X840" s="1247"/>
      <c r="Y840" s="1247"/>
      <c r="Z840" s="1247"/>
      <c r="AA840" s="1247"/>
      <c r="AB840" s="1247"/>
      <c r="AC840" s="1247"/>
      <c r="AD840" s="1247"/>
      <c r="AE840" s="1247"/>
      <c r="AF840" s="1247"/>
      <c r="AG840" s="1247"/>
      <c r="AH840" s="1247"/>
      <c r="AI840" s="1247"/>
      <c r="AJ840" s="1247"/>
      <c r="AK840" s="1247"/>
      <c r="AL840" s="1562"/>
      <c r="AM840" s="1544"/>
      <c r="AN840" s="1544" t="str">
        <f t="shared" si="13"/>
        <v>Добавить территорию для дифференциации</v>
      </c>
      <c r="AO840" s="1544"/>
      <c r="AP840" s="1544"/>
    </row>
    <row r="841" spans="1:42" s="1818" customFormat="1" ht="23.25" customHeight="1">
      <c r="A841" s="1284" t="s">
        <v>589</v>
      </c>
      <c r="B841" s="1284"/>
      <c r="C841" s="1284"/>
      <c r="D841" s="1284"/>
      <c r="E841" s="8883" t="s">
        <v>587</v>
      </c>
      <c r="F841" s="1284"/>
      <c r="G841" s="1284"/>
      <c r="H841" s="1284"/>
      <c r="I841" s="1284"/>
      <c r="J841" s="1284"/>
      <c r="K841" s="1284"/>
      <c r="L841" s="1290"/>
      <c r="M841" s="1286"/>
      <c r="N841" s="1286"/>
      <c r="O841" s="1286"/>
      <c r="P841" s="1812"/>
      <c r="Q841" s="1742"/>
      <c r="R841" s="276"/>
      <c r="S841" s="1810" t="str">
        <f>INDEX(PT_DIFFERENTIATION_NUM_NTAR,MATCH(A841,PT_DIFFERENTIATION_NTAR_ID,0))</f>
        <v>51</v>
      </c>
      <c r="T841" s="1440" t="s">
        <v>211</v>
      </c>
      <c r="U841" s="214"/>
      <c r="V841" s="8869"/>
      <c r="W841" s="8870"/>
      <c r="X841" s="8870"/>
      <c r="Y841" s="8870"/>
      <c r="Z841" s="8870"/>
      <c r="AA841" s="8870"/>
      <c r="AB841" s="8871"/>
      <c r="AC841" s="8869" t="str">
        <f>INDEX(PT_DIFFERENTIATION_NTAR,MATCH(A841,PT_DIFFERENTIATION_NTAR_ID,0))</f>
        <v>Подвоз воды потребителям села Подлужного</v>
      </c>
      <c r="AD841" s="8870"/>
      <c r="AE841" s="8870"/>
      <c r="AF841" s="8870"/>
      <c r="AG841" s="8870"/>
      <c r="AH841" s="8870"/>
      <c r="AI841" s="8870"/>
      <c r="AJ841" s="8871"/>
      <c r="AK8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841" s="1562"/>
      <c r="AM841" s="1544"/>
      <c r="AN841" s="1544" t="str">
        <f t="shared" si="13"/>
        <v>Наименование тарифа</v>
      </c>
      <c r="AO841" s="1544"/>
      <c r="AP841" s="1544"/>
    </row>
    <row r="842" spans="1:42" s="1818" customFormat="1" ht="23.25" customHeight="1">
      <c r="A842" s="1284"/>
      <c r="B842" s="1284" t="s">
        <v>590</v>
      </c>
      <c r="C842" s="1284"/>
      <c r="D842" s="1284"/>
      <c r="E842" s="8884" t="s">
        <v>581</v>
      </c>
      <c r="F842" s="8883">
        <v>1</v>
      </c>
      <c r="G842" s="1284"/>
      <c r="H842" s="1284"/>
      <c r="I842" s="1284"/>
      <c r="J842" s="1284"/>
      <c r="K842" s="1284"/>
      <c r="L842" s="1290"/>
      <c r="M842" s="1286"/>
      <c r="N842" s="1286"/>
      <c r="O842" s="1286"/>
      <c r="P842" s="1807"/>
      <c r="Q842" s="273"/>
      <c r="R842" s="274"/>
      <c r="S842" s="1810" t="str">
        <f>INDEX(PT_DIFFERENTIATION_NUM_TER,MATCH(B842,PT_DIFFERENTIATION_TER_ID,0))</f>
        <v>51.1</v>
      </c>
      <c r="T842" s="1437" t="s">
        <v>862</v>
      </c>
      <c r="U842" s="214"/>
      <c r="V842" s="8869"/>
      <c r="W842" s="8870"/>
      <c r="X842" s="8870"/>
      <c r="Y842" s="8870"/>
      <c r="Z842" s="8870"/>
      <c r="AA842" s="8870"/>
      <c r="AB842" s="8871"/>
      <c r="AC842" s="8869" t="str">
        <f>INDEX(PT_DIFFERENTIATION_TER,MATCH(B842,PT_DIFFERENTIATION_TER_ID,0))</f>
        <v>Территория 14</v>
      </c>
      <c r="AD842" s="8870"/>
      <c r="AE842" s="8870"/>
      <c r="AF842" s="8870"/>
      <c r="AG842" s="8870"/>
      <c r="AH842" s="8870"/>
      <c r="AI842" s="8870"/>
      <c r="AJ842" s="8871"/>
      <c r="AK842" s="1182" t="s">
        <v>863</v>
      </c>
      <c r="AL842" s="1562"/>
      <c r="AM842" s="1544"/>
      <c r="AN842" s="1544" t="str">
        <f t="shared" si="13"/>
        <v>Территория действия тарифа</v>
      </c>
      <c r="AO842" s="1544"/>
      <c r="AP842" s="1544"/>
    </row>
    <row r="843" spans="1:42" s="1818" customFormat="1" ht="23.25" customHeight="1">
      <c r="A843" s="1284"/>
      <c r="B843" s="1284"/>
      <c r="C843" s="1284" t="s">
        <v>591</v>
      </c>
      <c r="D843" s="1284"/>
      <c r="E843" s="8884" t="s">
        <v>581</v>
      </c>
      <c r="F843" s="8884"/>
      <c r="G843" s="8883">
        <v>1</v>
      </c>
      <c r="H843" s="1284"/>
      <c r="I843" s="1284"/>
      <c r="J843" s="1284"/>
      <c r="K843" s="1284"/>
      <c r="L843" s="1290"/>
      <c r="M843" s="1286"/>
      <c r="N843" s="1286"/>
      <c r="O843" s="1286"/>
      <c r="P843" s="275"/>
      <c r="Q843" s="273"/>
      <c r="R843" s="274"/>
      <c r="S843" s="1810" t="str">
        <f>INDEX(PT_DIFFERENTIATION_NUM_CS,MATCH(C843,PT_DIFFERENTIATION_CS_ID,0))</f>
        <v>51.1.1</v>
      </c>
      <c r="T843" s="225" t="s">
        <v>943</v>
      </c>
      <c r="U843" s="214"/>
      <c r="V843" s="8869"/>
      <c r="W843" s="8870"/>
      <c r="X843" s="8870"/>
      <c r="Y843" s="8870"/>
      <c r="Z843" s="8870"/>
      <c r="AA843" s="8870"/>
      <c r="AB843" s="8871"/>
      <c r="AC843" s="8869" t="str">
        <f>INDEX(PT_DIFFERENTIATION_CS,MATCH(C843,PT_DIFFERENTIATION_CS_ID,0))</f>
        <v>без дифференциации</v>
      </c>
      <c r="AD843" s="8870"/>
      <c r="AE843" s="8870"/>
      <c r="AF843" s="8870"/>
      <c r="AG843" s="8870"/>
      <c r="AH843" s="8870"/>
      <c r="AI843" s="8870"/>
      <c r="AJ843" s="8871"/>
      <c r="AK843" s="1182" t="s">
        <v>944</v>
      </c>
      <c r="AL843" s="1562"/>
      <c r="AM843" s="1544"/>
      <c r="AN843" s="1544" t="str">
        <f t="shared" si="13"/>
        <v>Наименование централизованной системы холодного водоснабжения</v>
      </c>
      <c r="AO843" s="1544"/>
      <c r="AP843" s="1544"/>
    </row>
    <row r="844" spans="1:42" s="1818" customFormat="1" ht="23.25" customHeight="1">
      <c r="A844" s="1284"/>
      <c r="B844" s="1284"/>
      <c r="C844" s="1284"/>
      <c r="D844" s="1284"/>
      <c r="E844" s="8884" t="s">
        <v>581</v>
      </c>
      <c r="F844" s="8884"/>
      <c r="G844" s="8884"/>
      <c r="H844" s="8884"/>
      <c r="I844" s="8881" t="str">
        <f>S843&amp;".1"</f>
        <v>51.1.1.1</v>
      </c>
      <c r="J844" s="1284"/>
      <c r="K844" s="1284"/>
      <c r="L844" s="1290"/>
      <c r="M844" s="1696"/>
      <c r="N844" s="1696"/>
      <c r="O844" s="1696"/>
      <c r="P844" s="8882">
        <v>1</v>
      </c>
      <c r="Q844" s="1811"/>
      <c r="R844" s="277"/>
      <c r="S844" s="1810" t="str">
        <f>$I844</f>
        <v>51.1.1.1</v>
      </c>
      <c r="T844" s="200" t="s">
        <v>945</v>
      </c>
      <c r="U844" s="214"/>
      <c r="V844" s="8942"/>
      <c r="W844" s="8943"/>
      <c r="X844" s="8943"/>
      <c r="Y844" s="8943"/>
      <c r="Z844" s="8943"/>
      <c r="AA844" s="8943"/>
      <c r="AB844" s="8944"/>
      <c r="AC844" s="8945"/>
      <c r="AD844" s="8946"/>
      <c r="AE844" s="8946"/>
      <c r="AF844" s="8946"/>
      <c r="AG844" s="8946"/>
      <c r="AH844" s="8946"/>
      <c r="AI844" s="8946"/>
      <c r="AJ844" s="8947"/>
      <c r="AK844" s="1182" t="s">
        <v>946</v>
      </c>
      <c r="AL844" s="1562"/>
      <c r="AM844" s="1544"/>
      <c r="AN844" s="1544" t="str">
        <f t="shared" si="13"/>
        <v>Наименование признака дифференциации</v>
      </c>
      <c r="AO844" s="1544"/>
      <c r="AP844" s="1544"/>
    </row>
    <row r="845" spans="1:42" s="1818" customFormat="1" ht="23.25" customHeight="1">
      <c r="A845" s="1284"/>
      <c r="B845" s="1284"/>
      <c r="C845" s="1284"/>
      <c r="D845" s="1284"/>
      <c r="E845" s="8884" t="s">
        <v>581</v>
      </c>
      <c r="F845" s="8884"/>
      <c r="G845" s="8884"/>
      <c r="H845" s="8884"/>
      <c r="I845" s="8904"/>
      <c r="J845" s="8881" t="str">
        <f>I844&amp;".1"</f>
        <v>51.1.1.1.1</v>
      </c>
      <c r="K845" s="1284"/>
      <c r="L845" s="1290" t="s">
        <v>871</v>
      </c>
      <c r="M845" s="1696"/>
      <c r="N845" s="1696"/>
      <c r="O845" s="1696"/>
      <c r="P845" s="8882"/>
      <c r="Q845" s="8882">
        <v>1</v>
      </c>
      <c r="R845" s="278"/>
      <c r="S845" s="1810" t="str">
        <f>$J845</f>
        <v>51.1.1.1.1</v>
      </c>
      <c r="T845" s="201" t="s">
        <v>872</v>
      </c>
      <c r="U845" s="214"/>
      <c r="V845" s="8872"/>
      <c r="W845" s="8873"/>
      <c r="X845" s="8873"/>
      <c r="Y845" s="8873"/>
      <c r="Z845" s="8873"/>
      <c r="AA845" s="8873"/>
      <c r="AB845" s="8874"/>
      <c r="AC845" s="8872" t="s">
        <v>961</v>
      </c>
      <c r="AD845" s="8873"/>
      <c r="AE845" s="8873"/>
      <c r="AF845" s="8873"/>
      <c r="AG845" s="8873"/>
      <c r="AH845" s="8873"/>
      <c r="AI845" s="8873"/>
      <c r="AJ845" s="8874"/>
      <c r="AK845" s="1231" t="s">
        <v>947</v>
      </c>
      <c r="AL845" s="1562"/>
      <c r="AM845" s="1544"/>
      <c r="AN845" s="1544" t="str">
        <f t="shared" si="13"/>
        <v>Группа потребителей</v>
      </c>
      <c r="AO845" s="1544"/>
      <c r="AP845" s="1544"/>
    </row>
    <row r="846" spans="1:42" s="1818" customFormat="1" ht="23.25" customHeight="1">
      <c r="A846" s="1284"/>
      <c r="B846" s="1284"/>
      <c r="C846" s="1284"/>
      <c r="D846" s="1284"/>
      <c r="E846" s="8884" t="s">
        <v>581</v>
      </c>
      <c r="F846" s="8884"/>
      <c r="G846" s="8884"/>
      <c r="H846" s="8884"/>
      <c r="I846" s="8904"/>
      <c r="J846" s="8904"/>
      <c r="K846" s="8881" t="str">
        <f>J845&amp;".1"</f>
        <v>51.1.1.1.1.1</v>
      </c>
      <c r="L846" s="1290"/>
      <c r="M846" s="1696"/>
      <c r="N846" s="1696"/>
      <c r="O846" s="1696"/>
      <c r="P846" s="8882"/>
      <c r="Q846" s="8882"/>
      <c r="R846" s="278">
        <v>1</v>
      </c>
      <c r="S846" s="1810" t="str">
        <f>$K846</f>
        <v>51.1.1.1.1.1</v>
      </c>
      <c r="T846" s="1357" t="s">
        <v>962</v>
      </c>
      <c r="U846" s="214"/>
      <c r="V846" s="666"/>
      <c r="W846" s="666"/>
      <c r="X846" s="1181"/>
      <c r="Y846" s="8886"/>
      <c r="Z846" s="8734" t="s">
        <v>63</v>
      </c>
      <c r="AA846" s="8886"/>
      <c r="AB846" s="8734" t="s">
        <v>63</v>
      </c>
      <c r="AC846" s="666">
        <v>482.34</v>
      </c>
      <c r="AD846" s="666"/>
      <c r="AE846" s="1181"/>
      <c r="AF846" s="8886">
        <v>45292</v>
      </c>
      <c r="AG846" s="8734" t="s">
        <v>63</v>
      </c>
      <c r="AH846" s="8905">
        <v>45657</v>
      </c>
      <c r="AI846" s="8734" t="s">
        <v>63</v>
      </c>
      <c r="AJ846" s="1358"/>
      <c r="AK8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46" s="1562" t="e">
        <f ca="1">STRCHECKDATE(V847:AJ847)</f>
        <v>#NAME?</v>
      </c>
      <c r="AM846" s="1544"/>
      <c r="AN846" s="1544" t="str">
        <f t="shared" si="13"/>
        <v>Тариф для населения, руб. за 1 куб. метр с НДС</v>
      </c>
      <c r="AO846" s="1544"/>
      <c r="AP846" s="1544"/>
    </row>
    <row r="847" spans="1:42" s="1818" customFormat="1" ht="14.25" customHeight="1">
      <c r="A847" s="1284"/>
      <c r="B847" s="1284"/>
      <c r="C847" s="1284"/>
      <c r="D847" s="1284"/>
      <c r="E847" s="8884" t="s">
        <v>581</v>
      </c>
      <c r="F847" s="8884"/>
      <c r="G847" s="8884"/>
      <c r="H847" s="8884"/>
      <c r="I847" s="8904"/>
      <c r="J847" s="8904"/>
      <c r="K847" s="8881"/>
      <c r="L847" s="1290"/>
      <c r="M847" s="1696"/>
      <c r="N847" s="1696"/>
      <c r="O847" s="1696"/>
      <c r="P847" s="8882"/>
      <c r="Q847" s="8882"/>
      <c r="R847" s="278"/>
      <c r="S847" s="1815"/>
      <c r="T847" s="214"/>
      <c r="U847" s="214"/>
      <c r="V847" s="246"/>
      <c r="W847" s="246"/>
      <c r="X847" s="250" t="str">
        <f>Y846&amp;"-"&amp;AA846</f>
        <v>-</v>
      </c>
      <c r="Y847" s="8887"/>
      <c r="Z847" s="8734"/>
      <c r="AA847" s="8887"/>
      <c r="AB847" s="8734"/>
      <c r="AC847" s="246"/>
      <c r="AD847" s="246"/>
      <c r="AE847" s="250" t="str">
        <f>AF846&amp;"-"&amp;AH846</f>
        <v>45292-45657</v>
      </c>
      <c r="AF847" s="8887"/>
      <c r="AG847" s="8734"/>
      <c r="AH847" s="8906"/>
      <c r="AI847" s="8734"/>
      <c r="AJ847" s="1359"/>
      <c r="AK847" s="8941"/>
      <c r="AL847" s="1562"/>
      <c r="AM847" s="1544"/>
      <c r="AN847" s="1544" t="str">
        <f t="shared" si="13"/>
        <v/>
      </c>
      <c r="AO847" s="1544"/>
      <c r="AP847" s="1544"/>
    </row>
    <row r="848" spans="1:42" s="1818" customFormat="1" ht="21" customHeight="1">
      <c r="A848" s="1284"/>
      <c r="B848" s="1284"/>
      <c r="C848" s="1284"/>
      <c r="D848" s="1284"/>
      <c r="E848" s="8884" t="s">
        <v>581</v>
      </c>
      <c r="F848" s="8884"/>
      <c r="G848" s="8884"/>
      <c r="H848" s="8884"/>
      <c r="I848" s="8904"/>
      <c r="J848" s="8881"/>
      <c r="K848" s="1284"/>
      <c r="L848" s="1290"/>
      <c r="M848" s="1696"/>
      <c r="N848" s="1696"/>
      <c r="O848" s="1696"/>
      <c r="P848" s="8882"/>
      <c r="Q848" s="8882"/>
      <c r="R848" s="277"/>
      <c r="S848" s="5499"/>
      <c r="T848" s="5500" t="s">
        <v>948</v>
      </c>
      <c r="U848" s="5501"/>
      <c r="V848" s="5502"/>
      <c r="W848" s="5503"/>
      <c r="X848" s="5504"/>
      <c r="Y848" s="5505"/>
      <c r="Z848" s="5506"/>
      <c r="AA848" s="5507"/>
      <c r="AB848" s="5508"/>
      <c r="AC848" s="5509"/>
      <c r="AD848" s="5510"/>
      <c r="AE848" s="5511"/>
      <c r="AF848" s="5512"/>
      <c r="AG848" s="5513"/>
      <c r="AH848" s="5514"/>
      <c r="AI848" s="5515"/>
      <c r="AJ848" s="5516"/>
      <c r="AK848" s="1182" t="s">
        <v>949</v>
      </c>
      <c r="AL848" s="1562"/>
      <c r="AM848" s="1544"/>
      <c r="AN848" s="1544" t="str">
        <f t="shared" si="13"/>
        <v>Добавить значение признака дифференциации</v>
      </c>
      <c r="AO848" s="1544"/>
      <c r="AP848" s="1544"/>
    </row>
    <row r="849" spans="1:42" s="1818" customFormat="1" ht="23.25" customHeight="1">
      <c r="A849" s="1284"/>
      <c r="B849" s="1284"/>
      <c r="C849" s="1284"/>
      <c r="D849" s="1284"/>
      <c r="E849" s="8884"/>
      <c r="F849" s="8884"/>
      <c r="G849" s="8884"/>
      <c r="H849" s="8884"/>
      <c r="I849" s="8904"/>
      <c r="J849" s="8881" t="str">
        <f>I844&amp;".2"</f>
        <v>51.1.1.1.2</v>
      </c>
      <c r="K849" s="1284"/>
      <c r="L849" s="1290" t="s">
        <v>871</v>
      </c>
      <c r="M849" s="1696"/>
      <c r="N849" s="1696"/>
      <c r="O849" s="1696"/>
      <c r="P849" s="8882"/>
      <c r="Q849" s="8948" t="s">
        <v>100</v>
      </c>
      <c r="R849" s="278"/>
      <c r="S849" s="1810" t="str">
        <f>$J849</f>
        <v>51.1.1.1.2</v>
      </c>
      <c r="T849" s="201" t="s">
        <v>872</v>
      </c>
      <c r="U849" s="214"/>
      <c r="V849" s="8872"/>
      <c r="W849" s="8873"/>
      <c r="X849" s="8873"/>
      <c r="Y849" s="8873"/>
      <c r="Z849" s="8873"/>
      <c r="AA849" s="8873"/>
      <c r="AB849" s="8874"/>
      <c r="AC849" s="8872" t="s">
        <v>963</v>
      </c>
      <c r="AD849" s="8873"/>
      <c r="AE849" s="8873"/>
      <c r="AF849" s="8873"/>
      <c r="AG849" s="8873"/>
      <c r="AH849" s="8873"/>
      <c r="AI849" s="8873"/>
      <c r="AJ849" s="8874"/>
      <c r="AK849" s="1231" t="s">
        <v>947</v>
      </c>
      <c r="AL849" s="1562"/>
      <c r="AM849" s="1544"/>
      <c r="AN849" s="1544" t="str">
        <f t="shared" si="13"/>
        <v>Группа потребителей</v>
      </c>
      <c r="AO849" s="1544"/>
      <c r="AP849" s="1544"/>
    </row>
    <row r="850" spans="1:42" s="1818" customFormat="1" ht="23.25" customHeight="1">
      <c r="A850" s="1284"/>
      <c r="B850" s="1284"/>
      <c r="C850" s="1284"/>
      <c r="D850" s="1284"/>
      <c r="E850" s="8884"/>
      <c r="F850" s="8884"/>
      <c r="G850" s="8884"/>
      <c r="H850" s="8884"/>
      <c r="I850" s="8904"/>
      <c r="J850" s="8904" t="str">
        <f>I844&amp;".1"</f>
        <v>51.1.1.1.1</v>
      </c>
      <c r="K850" s="8881" t="str">
        <f>J849&amp;".1"</f>
        <v>51.1.1.1.2.1</v>
      </c>
      <c r="L850" s="1290"/>
      <c r="M850" s="1696"/>
      <c r="N850" s="1696"/>
      <c r="O850" s="1696"/>
      <c r="P850" s="8882"/>
      <c r="Q850" s="8882"/>
      <c r="R850" s="278">
        <v>1</v>
      </c>
      <c r="S850" s="1810" t="str">
        <f>$K850</f>
        <v>51.1.1.1.2.1</v>
      </c>
      <c r="T850" s="1357" t="s">
        <v>964</v>
      </c>
      <c r="U850" s="214"/>
      <c r="V850" s="666"/>
      <c r="W850" s="666"/>
      <c r="X850" s="1181"/>
      <c r="Y850" s="8886"/>
      <c r="Z850" s="8734" t="s">
        <v>63</v>
      </c>
      <c r="AA850" s="8886"/>
      <c r="AB850" s="8734" t="s">
        <v>63</v>
      </c>
      <c r="AC850" s="666">
        <v>401.95</v>
      </c>
      <c r="AD850" s="666"/>
      <c r="AE850" s="1181"/>
      <c r="AF850" s="8886">
        <v>45292</v>
      </c>
      <c r="AG850" s="8734" t="s">
        <v>63</v>
      </c>
      <c r="AH850" s="8905">
        <v>45657</v>
      </c>
      <c r="AI850" s="8734" t="s">
        <v>63</v>
      </c>
      <c r="AJ850" s="1358"/>
      <c r="AK85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50" s="1562" t="e">
        <f ca="1">STRCHECKDATE(V851:AJ851)</f>
        <v>#NAME?</v>
      </c>
      <c r="AM850" s="1544"/>
      <c r="AN850" s="1544" t="str">
        <f t="shared" si="13"/>
        <v>Тариф, руб. за 1 куб. метр без НДС</v>
      </c>
      <c r="AO850" s="1544"/>
      <c r="AP850" s="1544"/>
    </row>
    <row r="851" spans="1:42" s="1818" customFormat="1" ht="14.25" customHeight="1">
      <c r="A851" s="1284"/>
      <c r="B851" s="1284"/>
      <c r="C851" s="1284"/>
      <c r="D851" s="1284"/>
      <c r="E851" s="8884"/>
      <c r="F851" s="8884"/>
      <c r="G851" s="8884"/>
      <c r="H851" s="8884"/>
      <c r="I851" s="8904"/>
      <c r="J851" s="8904" t="str">
        <f>I844&amp;".1"</f>
        <v>51.1.1.1.1</v>
      </c>
      <c r="K851" s="8881"/>
      <c r="L851" s="1290"/>
      <c r="M851" s="1696"/>
      <c r="N851" s="1696"/>
      <c r="O851" s="1696"/>
      <c r="P851" s="8882"/>
      <c r="Q851" s="8882"/>
      <c r="R851" s="278"/>
      <c r="S851" s="1815"/>
      <c r="T851" s="214"/>
      <c r="U851" s="214"/>
      <c r="V851" s="246"/>
      <c r="W851" s="246"/>
      <c r="X851" s="250" t="str">
        <f>Y850&amp;"-"&amp;AA850</f>
        <v>-</v>
      </c>
      <c r="Y851" s="8887"/>
      <c r="Z851" s="8734"/>
      <c r="AA851" s="8887"/>
      <c r="AB851" s="8734"/>
      <c r="AC851" s="246"/>
      <c r="AD851" s="246"/>
      <c r="AE851" s="250" t="str">
        <f>AF850&amp;"-"&amp;AH850</f>
        <v>45292-45657</v>
      </c>
      <c r="AF851" s="8887"/>
      <c r="AG851" s="8734"/>
      <c r="AH851" s="8906"/>
      <c r="AI851" s="8734"/>
      <c r="AJ851" s="1359"/>
      <c r="AK851" s="8941"/>
      <c r="AL851" s="1562"/>
      <c r="AM851" s="1544"/>
      <c r="AN851" s="1544" t="str">
        <f t="shared" si="13"/>
        <v/>
      </c>
      <c r="AO851" s="1544"/>
      <c r="AP851" s="1544"/>
    </row>
    <row r="852" spans="1:42" s="1818" customFormat="1" ht="21" customHeight="1">
      <c r="A852" s="1284"/>
      <c r="B852" s="1284"/>
      <c r="C852" s="1284"/>
      <c r="D852" s="1284"/>
      <c r="E852" s="8884"/>
      <c r="F852" s="8884"/>
      <c r="G852" s="8884"/>
      <c r="H852" s="8884"/>
      <c r="I852" s="8904"/>
      <c r="J852" s="8881" t="str">
        <f>I844&amp;".1"</f>
        <v>51.1.1.1.1</v>
      </c>
      <c r="K852" s="1284"/>
      <c r="L852" s="1290"/>
      <c r="M852" s="1696"/>
      <c r="N852" s="1696"/>
      <c r="O852" s="1696"/>
      <c r="P852" s="8882"/>
      <c r="Q852" s="8882"/>
      <c r="R852" s="277"/>
      <c r="S852" s="5517"/>
      <c r="T852" s="5518" t="s">
        <v>948</v>
      </c>
      <c r="U852" s="5519"/>
      <c r="V852" s="5520"/>
      <c r="W852" s="5521"/>
      <c r="X852" s="5522"/>
      <c r="Y852" s="5523"/>
      <c r="Z852" s="5524"/>
      <c r="AA852" s="5525"/>
      <c r="AB852" s="5526"/>
      <c r="AC852" s="5527"/>
      <c r="AD852" s="5528"/>
      <c r="AE852" s="5529"/>
      <c r="AF852" s="5530"/>
      <c r="AG852" s="5531"/>
      <c r="AH852" s="5532"/>
      <c r="AI852" s="5533"/>
      <c r="AJ852" s="5534"/>
      <c r="AK852" s="1182" t="s">
        <v>949</v>
      </c>
      <c r="AL852" s="1562"/>
      <c r="AM852" s="1544"/>
      <c r="AN852" s="1544" t="str">
        <f t="shared" si="13"/>
        <v>Добавить значение признака дифференциации</v>
      </c>
      <c r="AO852" s="1544"/>
      <c r="AP852" s="1544"/>
    </row>
    <row r="853" spans="1:42" s="1818" customFormat="1" ht="21" customHeight="1">
      <c r="A853" s="1284"/>
      <c r="B853" s="1284"/>
      <c r="C853" s="1284"/>
      <c r="D853" s="1284"/>
      <c r="E853" s="8884" t="s">
        <v>581</v>
      </c>
      <c r="F853" s="8884"/>
      <c r="G853" s="8884"/>
      <c r="H853" s="8884"/>
      <c r="I853" s="8881"/>
      <c r="J853" s="1284"/>
      <c r="K853" s="1284"/>
      <c r="L853" s="1290"/>
      <c r="M853" s="1696"/>
      <c r="N853" s="1696"/>
      <c r="O853" s="1696"/>
      <c r="P853" s="8882"/>
      <c r="Q853" s="1811"/>
      <c r="R853" s="277"/>
      <c r="S853" s="5535"/>
      <c r="T853" s="5536" t="s">
        <v>877</v>
      </c>
      <c r="U853" s="5537"/>
      <c r="V853" s="5538"/>
      <c r="W853" s="5539"/>
      <c r="X853" s="5540"/>
      <c r="Y853" s="5541"/>
      <c r="Z853" s="5542"/>
      <c r="AA853" s="5543"/>
      <c r="AB853" s="5544"/>
      <c r="AC853" s="5545"/>
      <c r="AD853" s="5546"/>
      <c r="AE853" s="5547"/>
      <c r="AF853" s="5548"/>
      <c r="AG853" s="5549"/>
      <c r="AH853" s="5550"/>
      <c r="AI853" s="5551"/>
      <c r="AJ853" s="5552"/>
      <c r="AK853" s="5553"/>
      <c r="AL853" s="1562"/>
      <c r="AM853" s="1544"/>
      <c r="AN853" s="1544" t="str">
        <f t="shared" si="13"/>
        <v>Добавить группу потребителей</v>
      </c>
      <c r="AO853" s="1544"/>
      <c r="AP853" s="1544"/>
    </row>
    <row r="854" spans="1:42" s="1818" customFormat="1" ht="21" customHeight="1">
      <c r="A854" s="1284"/>
      <c r="B854" s="1284"/>
      <c r="C854" s="1284"/>
      <c r="D854" s="1284"/>
      <c r="E854" s="8884" t="s">
        <v>581</v>
      </c>
      <c r="F854" s="8884"/>
      <c r="G854" s="8884"/>
      <c r="H854" s="8883"/>
      <c r="I854" s="1284"/>
      <c r="J854" s="1284"/>
      <c r="K854" s="1284"/>
      <c r="L854" s="1290"/>
      <c r="M854" s="1286"/>
      <c r="N854" s="1286"/>
      <c r="O854" s="1287"/>
      <c r="P854" s="1742"/>
      <c r="Q854" s="299"/>
      <c r="R854" s="276"/>
      <c r="S854" s="5554"/>
      <c r="T854" s="5555" t="s">
        <v>950</v>
      </c>
      <c r="U854" s="5556"/>
      <c r="V854" s="5557"/>
      <c r="W854" s="5558"/>
      <c r="X854" s="5559"/>
      <c r="Y854" s="5560"/>
      <c r="Z854" s="5561"/>
      <c r="AA854" s="5562"/>
      <c r="AB854" s="5563"/>
      <c r="AC854" s="5564"/>
      <c r="AD854" s="5565"/>
      <c r="AE854" s="5566"/>
      <c r="AF854" s="5567"/>
      <c r="AG854" s="5568"/>
      <c r="AH854" s="5569"/>
      <c r="AI854" s="5570"/>
      <c r="AJ854" s="5571"/>
      <c r="AK854" s="5572"/>
      <c r="AL854" s="1562"/>
      <c r="AM854" s="1544"/>
      <c r="AN854" s="1544" t="str">
        <f t="shared" si="13"/>
        <v>Добавить наименование признака дифференциации</v>
      </c>
      <c r="AO854" s="1544"/>
      <c r="AP854" s="1544"/>
    </row>
    <row r="855" spans="1:42" s="541" customFormat="1" ht="14.25" customHeight="1">
      <c r="A855" s="1265"/>
      <c r="B855" s="1265"/>
      <c r="C855" s="1265"/>
      <c r="D855" s="1265"/>
      <c r="E855" s="8884" t="s">
        <v>581</v>
      </c>
      <c r="F855" s="8883"/>
      <c r="G855" s="1265"/>
      <c r="H855" s="1265"/>
      <c r="I855" s="1265"/>
      <c r="J855" s="1265"/>
      <c r="K855" s="1265"/>
      <c r="L855" s="1466"/>
      <c r="M855" s="1244"/>
      <c r="N855" s="1244"/>
      <c r="O855" s="1562"/>
      <c r="P855" s="1239"/>
      <c r="Q855" s="1266"/>
      <c r="R855" s="1239"/>
      <c r="S855" s="1245"/>
      <c r="T855" s="1248" t="s">
        <v>314</v>
      </c>
      <c r="U855" s="1247"/>
      <c r="V855" s="1247"/>
      <c r="W855" s="1247"/>
      <c r="X855" s="1247"/>
      <c r="Y855" s="1247"/>
      <c r="Z855" s="1247"/>
      <c r="AA855" s="1247"/>
      <c r="AB855" s="1247"/>
      <c r="AC855" s="1247"/>
      <c r="AD855" s="1247"/>
      <c r="AE855" s="1247"/>
      <c r="AF855" s="1247"/>
      <c r="AG855" s="1247"/>
      <c r="AH855" s="1247"/>
      <c r="AI855" s="1247"/>
      <c r="AJ855" s="1247"/>
      <c r="AK855" s="1247"/>
      <c r="AL855" s="1562"/>
      <c r="AM855" s="1544"/>
      <c r="AN855" s="1544" t="str">
        <f t="shared" si="13"/>
        <v>Добавить централизованную систему для дифференциации</v>
      </c>
      <c r="AO855" s="1544"/>
      <c r="AP855" s="1544"/>
    </row>
    <row r="856" spans="1:42" s="541" customFormat="1" ht="14.25" customHeight="1">
      <c r="A856" s="1265"/>
      <c r="B856" s="1265"/>
      <c r="C856" s="1265"/>
      <c r="D856" s="1265"/>
      <c r="E856" s="8883" t="s">
        <v>581</v>
      </c>
      <c r="F856" s="1265"/>
      <c r="G856" s="1265"/>
      <c r="H856" s="1265"/>
      <c r="I856" s="1265"/>
      <c r="J856" s="1265"/>
      <c r="K856" s="1265"/>
      <c r="L856" s="1466"/>
      <c r="M856" s="1244"/>
      <c r="N856" s="1244"/>
      <c r="O856" s="1562"/>
      <c r="P856" s="1239"/>
      <c r="Q856" s="1266"/>
      <c r="R856" s="1239"/>
      <c r="S856" s="1245"/>
      <c r="T856" s="1248" t="s">
        <v>315</v>
      </c>
      <c r="U856" s="1247"/>
      <c r="V856" s="1247"/>
      <c r="W856" s="1247"/>
      <c r="X856" s="1247"/>
      <c r="Y856" s="1247"/>
      <c r="Z856" s="1247"/>
      <c r="AA856" s="1247"/>
      <c r="AB856" s="1247"/>
      <c r="AC856" s="1247"/>
      <c r="AD856" s="1247"/>
      <c r="AE856" s="1247"/>
      <c r="AF856" s="1247"/>
      <c r="AG856" s="1247"/>
      <c r="AH856" s="1247"/>
      <c r="AI856" s="1247"/>
      <c r="AJ856" s="1247"/>
      <c r="AK856" s="1247"/>
      <c r="AL856" s="1562"/>
      <c r="AM856" s="1544"/>
      <c r="AN856" s="1544" t="str">
        <f t="shared" si="13"/>
        <v>Добавить территорию для дифференциации</v>
      </c>
      <c r="AO856" s="1544"/>
      <c r="AP856" s="1544"/>
    </row>
    <row r="857" spans="1:42" s="1818" customFormat="1" ht="23.25" customHeight="1">
      <c r="A857" s="1284" t="s">
        <v>595</v>
      </c>
      <c r="B857" s="1284"/>
      <c r="C857" s="1284"/>
      <c r="D857" s="1284"/>
      <c r="E857" s="8883" t="s">
        <v>593</v>
      </c>
      <c r="F857" s="1284"/>
      <c r="G857" s="1284"/>
      <c r="H857" s="1284"/>
      <c r="I857" s="1284"/>
      <c r="J857" s="1284"/>
      <c r="K857" s="1284"/>
      <c r="L857" s="1290"/>
      <c r="M857" s="1286"/>
      <c r="N857" s="1286"/>
      <c r="O857" s="1286"/>
      <c r="P857" s="1812"/>
      <c r="Q857" s="1742"/>
      <c r="R857" s="276"/>
      <c r="S857" s="1810" t="str">
        <f>INDEX(PT_DIFFERENTIATION_NUM_NTAR,MATCH(A857,PT_DIFFERENTIATION_NTAR_ID,0))</f>
        <v>52</v>
      </c>
      <c r="T857" s="1440" t="s">
        <v>211</v>
      </c>
      <c r="U857" s="214"/>
      <c r="V857" s="8869"/>
      <c r="W857" s="8870"/>
      <c r="X857" s="8870"/>
      <c r="Y857" s="8870"/>
      <c r="Z857" s="8870"/>
      <c r="AA857" s="8870"/>
      <c r="AB857" s="8871"/>
      <c r="AC857" s="8869" t="str">
        <f>INDEX(PT_DIFFERENTIATION_NTAR,MATCH(A857,PT_DIFFERENTIATION_NTAR_ID,0))</f>
        <v>Подвоз воды потребителям хутора Красная Балка</v>
      </c>
      <c r="AD857" s="8870"/>
      <c r="AE857" s="8870"/>
      <c r="AF857" s="8870"/>
      <c r="AG857" s="8870"/>
      <c r="AH857" s="8870"/>
      <c r="AI857" s="8870"/>
      <c r="AJ857" s="8871"/>
      <c r="AK85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857" s="1562"/>
      <c r="AM857" s="1544"/>
      <c r="AN857" s="1544" t="str">
        <f t="shared" si="13"/>
        <v>Наименование тарифа</v>
      </c>
      <c r="AO857" s="1544"/>
      <c r="AP857" s="1544"/>
    </row>
    <row r="858" spans="1:42" s="1818" customFormat="1" ht="23.25" customHeight="1">
      <c r="A858" s="1284"/>
      <c r="B858" s="1284" t="s">
        <v>596</v>
      </c>
      <c r="C858" s="1284"/>
      <c r="D858" s="1284"/>
      <c r="E858" s="8884" t="s">
        <v>587</v>
      </c>
      <c r="F858" s="8883">
        <v>1</v>
      </c>
      <c r="G858" s="1284"/>
      <c r="H858" s="1284"/>
      <c r="I858" s="1284"/>
      <c r="J858" s="1284"/>
      <c r="K858" s="1284"/>
      <c r="L858" s="1290"/>
      <c r="M858" s="1286"/>
      <c r="N858" s="1286"/>
      <c r="O858" s="1286"/>
      <c r="P858" s="1807"/>
      <c r="Q858" s="273"/>
      <c r="R858" s="274"/>
      <c r="S858" s="1810" t="str">
        <f>INDEX(PT_DIFFERENTIATION_NUM_TER,MATCH(B858,PT_DIFFERENTIATION_TER_ID,0))</f>
        <v>52.1</v>
      </c>
      <c r="T858" s="1437" t="s">
        <v>862</v>
      </c>
      <c r="U858" s="214"/>
      <c r="V858" s="8869"/>
      <c r="W858" s="8870"/>
      <c r="X858" s="8870"/>
      <c r="Y858" s="8870"/>
      <c r="Z858" s="8870"/>
      <c r="AA858" s="8870"/>
      <c r="AB858" s="8871"/>
      <c r="AC858" s="8869" t="str">
        <f>INDEX(PT_DIFFERENTIATION_TER,MATCH(B858,PT_DIFFERENTIATION_TER_ID,0))</f>
        <v>Территория 14</v>
      </c>
      <c r="AD858" s="8870"/>
      <c r="AE858" s="8870"/>
      <c r="AF858" s="8870"/>
      <c r="AG858" s="8870"/>
      <c r="AH858" s="8870"/>
      <c r="AI858" s="8870"/>
      <c r="AJ858" s="8871"/>
      <c r="AK858" s="1182" t="s">
        <v>863</v>
      </c>
      <c r="AL858" s="1562"/>
      <c r="AM858" s="1544"/>
      <c r="AN858" s="1544" t="str">
        <f t="shared" si="13"/>
        <v>Территория действия тарифа</v>
      </c>
      <c r="AO858" s="1544"/>
      <c r="AP858" s="1544"/>
    </row>
    <row r="859" spans="1:42" s="1818" customFormat="1" ht="23.25" customHeight="1">
      <c r="A859" s="1284"/>
      <c r="B859" s="1284"/>
      <c r="C859" s="1284" t="s">
        <v>597</v>
      </c>
      <c r="D859" s="1284"/>
      <c r="E859" s="8884" t="s">
        <v>587</v>
      </c>
      <c r="F859" s="8884"/>
      <c r="G859" s="8883">
        <v>1</v>
      </c>
      <c r="H859" s="1284"/>
      <c r="I859" s="1284"/>
      <c r="J859" s="1284"/>
      <c r="K859" s="1284"/>
      <c r="L859" s="1290"/>
      <c r="M859" s="1286"/>
      <c r="N859" s="1286"/>
      <c r="O859" s="1286"/>
      <c r="P859" s="275"/>
      <c r="Q859" s="273"/>
      <c r="R859" s="274"/>
      <c r="S859" s="1810" t="str">
        <f>INDEX(PT_DIFFERENTIATION_NUM_CS,MATCH(C859,PT_DIFFERENTIATION_CS_ID,0))</f>
        <v>52.1.1</v>
      </c>
      <c r="T859" s="225" t="s">
        <v>943</v>
      </c>
      <c r="U859" s="214"/>
      <c r="V859" s="8869"/>
      <c r="W859" s="8870"/>
      <c r="X859" s="8870"/>
      <c r="Y859" s="8870"/>
      <c r="Z859" s="8870"/>
      <c r="AA859" s="8870"/>
      <c r="AB859" s="8871"/>
      <c r="AC859" s="8869" t="str">
        <f>INDEX(PT_DIFFERENTIATION_CS,MATCH(C859,PT_DIFFERENTIATION_CS_ID,0))</f>
        <v>без дифференциации</v>
      </c>
      <c r="AD859" s="8870"/>
      <c r="AE859" s="8870"/>
      <c r="AF859" s="8870"/>
      <c r="AG859" s="8870"/>
      <c r="AH859" s="8870"/>
      <c r="AI859" s="8870"/>
      <c r="AJ859" s="8871"/>
      <c r="AK859" s="1182" t="s">
        <v>944</v>
      </c>
      <c r="AL859" s="1562"/>
      <c r="AM859" s="1544"/>
      <c r="AN859" s="1544" t="str">
        <f t="shared" si="13"/>
        <v>Наименование централизованной системы холодного водоснабжения</v>
      </c>
      <c r="AO859" s="1544"/>
      <c r="AP859" s="1544"/>
    </row>
    <row r="860" spans="1:42" s="1818" customFormat="1" ht="23.25" customHeight="1">
      <c r="A860" s="1284"/>
      <c r="B860" s="1284"/>
      <c r="C860" s="1284"/>
      <c r="D860" s="1284"/>
      <c r="E860" s="8884" t="s">
        <v>587</v>
      </c>
      <c r="F860" s="8884"/>
      <c r="G860" s="8884"/>
      <c r="H860" s="8884"/>
      <c r="I860" s="8881" t="str">
        <f>S859&amp;".1"</f>
        <v>52.1.1.1</v>
      </c>
      <c r="J860" s="1284"/>
      <c r="K860" s="1284"/>
      <c r="L860" s="1290"/>
      <c r="M860" s="1696"/>
      <c r="N860" s="1696"/>
      <c r="O860" s="1696"/>
      <c r="P860" s="8882">
        <v>1</v>
      </c>
      <c r="Q860" s="1811"/>
      <c r="R860" s="277"/>
      <c r="S860" s="1810" t="str">
        <f>$I860</f>
        <v>52.1.1.1</v>
      </c>
      <c r="T860" s="200" t="s">
        <v>945</v>
      </c>
      <c r="U860" s="214"/>
      <c r="V860" s="8942"/>
      <c r="W860" s="8943"/>
      <c r="X860" s="8943"/>
      <c r="Y860" s="8943"/>
      <c r="Z860" s="8943"/>
      <c r="AA860" s="8943"/>
      <c r="AB860" s="8944"/>
      <c r="AC860" s="8945"/>
      <c r="AD860" s="8946"/>
      <c r="AE860" s="8946"/>
      <c r="AF860" s="8946"/>
      <c r="AG860" s="8946"/>
      <c r="AH860" s="8946"/>
      <c r="AI860" s="8946"/>
      <c r="AJ860" s="8947"/>
      <c r="AK860" s="1182" t="s">
        <v>946</v>
      </c>
      <c r="AL860" s="1562"/>
      <c r="AM860" s="1544"/>
      <c r="AN860" s="1544" t="str">
        <f t="shared" si="13"/>
        <v>Наименование признака дифференциации</v>
      </c>
      <c r="AO860" s="1544"/>
      <c r="AP860" s="1544"/>
    </row>
    <row r="861" spans="1:42" s="1818" customFormat="1" ht="23.25" customHeight="1">
      <c r="A861" s="1284"/>
      <c r="B861" s="1284"/>
      <c r="C861" s="1284"/>
      <c r="D861" s="1284"/>
      <c r="E861" s="8884" t="s">
        <v>587</v>
      </c>
      <c r="F861" s="8884"/>
      <c r="G861" s="8884"/>
      <c r="H861" s="8884"/>
      <c r="I861" s="8904"/>
      <c r="J861" s="8881" t="str">
        <f>I860&amp;".1"</f>
        <v>52.1.1.1.1</v>
      </c>
      <c r="K861" s="1284"/>
      <c r="L861" s="1290" t="s">
        <v>871</v>
      </c>
      <c r="M861" s="1696"/>
      <c r="N861" s="1696"/>
      <c r="O861" s="1696"/>
      <c r="P861" s="8882"/>
      <c r="Q861" s="8882">
        <v>1</v>
      </c>
      <c r="R861" s="278"/>
      <c r="S861" s="1810" t="str">
        <f>$J861</f>
        <v>52.1.1.1.1</v>
      </c>
      <c r="T861" s="201" t="s">
        <v>872</v>
      </c>
      <c r="U861" s="214"/>
      <c r="V861" s="8872"/>
      <c r="W861" s="8873"/>
      <c r="X861" s="8873"/>
      <c r="Y861" s="8873"/>
      <c r="Z861" s="8873"/>
      <c r="AA861" s="8873"/>
      <c r="AB861" s="8874"/>
      <c r="AC861" s="8872" t="s">
        <v>961</v>
      </c>
      <c r="AD861" s="8873"/>
      <c r="AE861" s="8873"/>
      <c r="AF861" s="8873"/>
      <c r="AG861" s="8873"/>
      <c r="AH861" s="8873"/>
      <c r="AI861" s="8873"/>
      <c r="AJ861" s="8874"/>
      <c r="AK861" s="1231" t="s">
        <v>947</v>
      </c>
      <c r="AL861" s="1562"/>
      <c r="AM861" s="1544"/>
      <c r="AN861" s="1544" t="str">
        <f t="shared" si="13"/>
        <v>Группа потребителей</v>
      </c>
      <c r="AO861" s="1544"/>
      <c r="AP861" s="1544"/>
    </row>
    <row r="862" spans="1:42" s="1818" customFormat="1" ht="23.25" customHeight="1">
      <c r="A862" s="1284"/>
      <c r="B862" s="1284"/>
      <c r="C862" s="1284"/>
      <c r="D862" s="1284"/>
      <c r="E862" s="8884" t="s">
        <v>587</v>
      </c>
      <c r="F862" s="8884"/>
      <c r="G862" s="8884"/>
      <c r="H862" s="8884"/>
      <c r="I862" s="8904"/>
      <c r="J862" s="8904"/>
      <c r="K862" s="8881" t="str">
        <f>J861&amp;".1"</f>
        <v>52.1.1.1.1.1</v>
      </c>
      <c r="L862" s="1290"/>
      <c r="M862" s="1696"/>
      <c r="N862" s="1696"/>
      <c r="O862" s="1696"/>
      <c r="P862" s="8882"/>
      <c r="Q862" s="8882"/>
      <c r="R862" s="278">
        <v>1</v>
      </c>
      <c r="S862" s="1810" t="str">
        <f>$K862</f>
        <v>52.1.1.1.1.1</v>
      </c>
      <c r="T862" s="1357" t="s">
        <v>962</v>
      </c>
      <c r="U862" s="214"/>
      <c r="V862" s="666"/>
      <c r="W862" s="666"/>
      <c r="X862" s="1181"/>
      <c r="Y862" s="8886"/>
      <c r="Z862" s="8734" t="s">
        <v>63</v>
      </c>
      <c r="AA862" s="8886"/>
      <c r="AB862" s="8734" t="s">
        <v>63</v>
      </c>
      <c r="AC862" s="666">
        <v>522.76</v>
      </c>
      <c r="AD862" s="666"/>
      <c r="AE862" s="1181"/>
      <c r="AF862" s="8886">
        <v>45292</v>
      </c>
      <c r="AG862" s="8734" t="s">
        <v>63</v>
      </c>
      <c r="AH862" s="8905">
        <v>45657</v>
      </c>
      <c r="AI862" s="8734" t="s">
        <v>63</v>
      </c>
      <c r="AJ862" s="1358"/>
      <c r="AK86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62" s="1562" t="e">
        <f ca="1">STRCHECKDATE(V863:AJ863)</f>
        <v>#NAME?</v>
      </c>
      <c r="AM862" s="1544"/>
      <c r="AN862" s="1544" t="str">
        <f t="shared" si="13"/>
        <v>Тариф для населения, руб. за 1 куб. метр с НДС</v>
      </c>
      <c r="AO862" s="1544"/>
      <c r="AP862" s="1544"/>
    </row>
    <row r="863" spans="1:42" s="1818" customFormat="1" ht="14.25" customHeight="1">
      <c r="A863" s="1284"/>
      <c r="B863" s="1284"/>
      <c r="C863" s="1284"/>
      <c r="D863" s="1284"/>
      <c r="E863" s="8884" t="s">
        <v>587</v>
      </c>
      <c r="F863" s="8884"/>
      <c r="G863" s="8884"/>
      <c r="H863" s="8884"/>
      <c r="I863" s="8904"/>
      <c r="J863" s="8904"/>
      <c r="K863" s="8881"/>
      <c r="L863" s="1290"/>
      <c r="M863" s="1696"/>
      <c r="N863" s="1696"/>
      <c r="O863" s="1696"/>
      <c r="P863" s="8882"/>
      <c r="Q863" s="8882"/>
      <c r="R863" s="278"/>
      <c r="S863" s="1815"/>
      <c r="T863" s="214"/>
      <c r="U863" s="214"/>
      <c r="V863" s="246"/>
      <c r="W863" s="246"/>
      <c r="X863" s="250" t="str">
        <f>Y862&amp;"-"&amp;AA862</f>
        <v>-</v>
      </c>
      <c r="Y863" s="8887"/>
      <c r="Z863" s="8734"/>
      <c r="AA863" s="8887"/>
      <c r="AB863" s="8734"/>
      <c r="AC863" s="246"/>
      <c r="AD863" s="246"/>
      <c r="AE863" s="250" t="str">
        <f>AF862&amp;"-"&amp;AH862</f>
        <v>45292-45657</v>
      </c>
      <c r="AF863" s="8887"/>
      <c r="AG863" s="8734"/>
      <c r="AH863" s="8906"/>
      <c r="AI863" s="8734"/>
      <c r="AJ863" s="1359"/>
      <c r="AK863" s="8941"/>
      <c r="AL863" s="1562"/>
      <c r="AM863" s="1544"/>
      <c r="AN863" s="1544" t="str">
        <f t="shared" si="13"/>
        <v/>
      </c>
      <c r="AO863" s="1544"/>
      <c r="AP863" s="1544"/>
    </row>
    <row r="864" spans="1:42" s="1818" customFormat="1" ht="21" customHeight="1">
      <c r="A864" s="1284"/>
      <c r="B864" s="1284"/>
      <c r="C864" s="1284"/>
      <c r="D864" s="1284"/>
      <c r="E864" s="8884" t="s">
        <v>587</v>
      </c>
      <c r="F864" s="8884"/>
      <c r="G864" s="8884"/>
      <c r="H864" s="8884"/>
      <c r="I864" s="8904"/>
      <c r="J864" s="8881"/>
      <c r="K864" s="1284"/>
      <c r="L864" s="1290"/>
      <c r="M864" s="1696"/>
      <c r="N864" s="1696"/>
      <c r="O864" s="1696"/>
      <c r="P864" s="8882"/>
      <c r="Q864" s="8882"/>
      <c r="R864" s="277"/>
      <c r="S864" s="5573"/>
      <c r="T864" s="5574" t="s">
        <v>948</v>
      </c>
      <c r="U864" s="5575"/>
      <c r="V864" s="5576"/>
      <c r="W864" s="5577"/>
      <c r="X864" s="5578"/>
      <c r="Y864" s="5579"/>
      <c r="Z864" s="5580"/>
      <c r="AA864" s="5581"/>
      <c r="AB864" s="5582"/>
      <c r="AC864" s="5583"/>
      <c r="AD864" s="5584"/>
      <c r="AE864" s="5585"/>
      <c r="AF864" s="5586"/>
      <c r="AG864" s="5587"/>
      <c r="AH864" s="5588"/>
      <c r="AI864" s="5589"/>
      <c r="AJ864" s="5590"/>
      <c r="AK864" s="1182" t="s">
        <v>949</v>
      </c>
      <c r="AL864" s="1562"/>
      <c r="AM864" s="1544"/>
      <c r="AN864" s="1544" t="str">
        <f t="shared" si="13"/>
        <v>Добавить значение признака дифференциации</v>
      </c>
      <c r="AO864" s="1544"/>
      <c r="AP864" s="1544"/>
    </row>
    <row r="865" spans="1:42" s="1818" customFormat="1" ht="23.25" customHeight="1">
      <c r="A865" s="1284"/>
      <c r="B865" s="1284"/>
      <c r="C865" s="1284"/>
      <c r="D865" s="1284"/>
      <c r="E865" s="8884"/>
      <c r="F865" s="8884"/>
      <c r="G865" s="8884"/>
      <c r="H865" s="8884"/>
      <c r="I865" s="8904"/>
      <c r="J865" s="8881" t="str">
        <f>I860&amp;".2"</f>
        <v>52.1.1.1.2</v>
      </c>
      <c r="K865" s="1284"/>
      <c r="L865" s="1290" t="s">
        <v>871</v>
      </c>
      <c r="M865" s="1696"/>
      <c r="N865" s="1696"/>
      <c r="O865" s="1696"/>
      <c r="P865" s="8882"/>
      <c r="Q865" s="8948" t="s">
        <v>100</v>
      </c>
      <c r="R865" s="278"/>
      <c r="S865" s="1810" t="str">
        <f>$J865</f>
        <v>52.1.1.1.2</v>
      </c>
      <c r="T865" s="201" t="s">
        <v>872</v>
      </c>
      <c r="U865" s="214"/>
      <c r="V865" s="8872"/>
      <c r="W865" s="8873"/>
      <c r="X865" s="8873"/>
      <c r="Y865" s="8873"/>
      <c r="Z865" s="8873"/>
      <c r="AA865" s="8873"/>
      <c r="AB865" s="8874"/>
      <c r="AC865" s="8872" t="s">
        <v>963</v>
      </c>
      <c r="AD865" s="8873"/>
      <c r="AE865" s="8873"/>
      <c r="AF865" s="8873"/>
      <c r="AG865" s="8873"/>
      <c r="AH865" s="8873"/>
      <c r="AI865" s="8873"/>
      <c r="AJ865" s="8874"/>
      <c r="AK865" s="1231" t="s">
        <v>947</v>
      </c>
      <c r="AL865" s="1562"/>
      <c r="AM865" s="1544"/>
      <c r="AN865" s="1544" t="str">
        <f t="shared" si="13"/>
        <v>Группа потребителей</v>
      </c>
      <c r="AO865" s="1544"/>
      <c r="AP865" s="1544"/>
    </row>
    <row r="866" spans="1:42" s="1818" customFormat="1" ht="23.25" customHeight="1">
      <c r="A866" s="1284"/>
      <c r="B866" s="1284"/>
      <c r="C866" s="1284"/>
      <c r="D866" s="1284"/>
      <c r="E866" s="8884"/>
      <c r="F866" s="8884"/>
      <c r="G866" s="8884"/>
      <c r="H866" s="8884"/>
      <c r="I866" s="8904"/>
      <c r="J866" s="8904" t="str">
        <f>I860&amp;".1"</f>
        <v>52.1.1.1.1</v>
      </c>
      <c r="K866" s="8881" t="str">
        <f>J865&amp;".1"</f>
        <v>52.1.1.1.2.1</v>
      </c>
      <c r="L866" s="1290"/>
      <c r="M866" s="1696"/>
      <c r="N866" s="1696"/>
      <c r="O866" s="1696"/>
      <c r="P866" s="8882"/>
      <c r="Q866" s="8882"/>
      <c r="R866" s="278">
        <v>1</v>
      </c>
      <c r="S866" s="1810" t="str">
        <f>$K866</f>
        <v>52.1.1.1.2.1</v>
      </c>
      <c r="T866" s="1357" t="s">
        <v>964</v>
      </c>
      <c r="U866" s="214"/>
      <c r="V866" s="666"/>
      <c r="W866" s="666"/>
      <c r="X866" s="1181"/>
      <c r="Y866" s="8886"/>
      <c r="Z866" s="8734" t="s">
        <v>63</v>
      </c>
      <c r="AA866" s="8886"/>
      <c r="AB866" s="8734" t="s">
        <v>63</v>
      </c>
      <c r="AC866" s="666">
        <v>435.63</v>
      </c>
      <c r="AD866" s="666"/>
      <c r="AE866" s="1181"/>
      <c r="AF866" s="8886">
        <v>45292</v>
      </c>
      <c r="AG866" s="8734" t="s">
        <v>63</v>
      </c>
      <c r="AH866" s="8905">
        <v>45657</v>
      </c>
      <c r="AI866" s="8734" t="s">
        <v>63</v>
      </c>
      <c r="AJ866" s="1358"/>
      <c r="AK86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66" s="1562" t="e">
        <f ca="1">STRCHECKDATE(V867:AJ867)</f>
        <v>#NAME?</v>
      </c>
      <c r="AM866" s="1544"/>
      <c r="AN866" s="1544" t="str">
        <f t="shared" si="13"/>
        <v>Тариф, руб. за 1 куб. метр без НДС</v>
      </c>
      <c r="AO866" s="1544"/>
      <c r="AP866" s="1544"/>
    </row>
    <row r="867" spans="1:42" s="1818" customFormat="1" ht="14.25" customHeight="1">
      <c r="A867" s="1284"/>
      <c r="B867" s="1284"/>
      <c r="C867" s="1284"/>
      <c r="D867" s="1284"/>
      <c r="E867" s="8884"/>
      <c r="F867" s="8884"/>
      <c r="G867" s="8884"/>
      <c r="H867" s="8884"/>
      <c r="I867" s="8904"/>
      <c r="J867" s="8904" t="str">
        <f>I860&amp;".1"</f>
        <v>52.1.1.1.1</v>
      </c>
      <c r="K867" s="8881"/>
      <c r="L867" s="1290"/>
      <c r="M867" s="1696"/>
      <c r="N867" s="1696"/>
      <c r="O867" s="1696"/>
      <c r="P867" s="8882"/>
      <c r="Q867" s="8882"/>
      <c r="R867" s="278"/>
      <c r="S867" s="1815"/>
      <c r="T867" s="214"/>
      <c r="U867" s="214"/>
      <c r="V867" s="246"/>
      <c r="W867" s="246"/>
      <c r="X867" s="250" t="str">
        <f>Y866&amp;"-"&amp;AA866</f>
        <v>-</v>
      </c>
      <c r="Y867" s="8887"/>
      <c r="Z867" s="8734"/>
      <c r="AA867" s="8887"/>
      <c r="AB867" s="8734"/>
      <c r="AC867" s="246"/>
      <c r="AD867" s="246"/>
      <c r="AE867" s="250" t="str">
        <f>AF866&amp;"-"&amp;AH866</f>
        <v>45292-45657</v>
      </c>
      <c r="AF867" s="8887"/>
      <c r="AG867" s="8734"/>
      <c r="AH867" s="8906"/>
      <c r="AI867" s="8734"/>
      <c r="AJ867" s="1359"/>
      <c r="AK867" s="8941"/>
      <c r="AL867" s="1562"/>
      <c r="AM867" s="1544"/>
      <c r="AN867" s="1544" t="str">
        <f t="shared" si="13"/>
        <v/>
      </c>
      <c r="AO867" s="1544"/>
      <c r="AP867" s="1544"/>
    </row>
    <row r="868" spans="1:42" s="1818" customFormat="1" ht="21" customHeight="1">
      <c r="A868" s="1284"/>
      <c r="B868" s="1284"/>
      <c r="C868" s="1284"/>
      <c r="D868" s="1284"/>
      <c r="E868" s="8884"/>
      <c r="F868" s="8884"/>
      <c r="G868" s="8884"/>
      <c r="H868" s="8884"/>
      <c r="I868" s="8904"/>
      <c r="J868" s="8881" t="str">
        <f>I860&amp;".1"</f>
        <v>52.1.1.1.1</v>
      </c>
      <c r="K868" s="1284"/>
      <c r="L868" s="1290"/>
      <c r="M868" s="1696"/>
      <c r="N868" s="1696"/>
      <c r="O868" s="1696"/>
      <c r="P868" s="8882"/>
      <c r="Q868" s="8882"/>
      <c r="R868" s="277"/>
      <c r="S868" s="5591"/>
      <c r="T868" s="5592" t="s">
        <v>948</v>
      </c>
      <c r="U868" s="5593"/>
      <c r="V868" s="5594"/>
      <c r="W868" s="5595"/>
      <c r="X868" s="5596"/>
      <c r="Y868" s="5597"/>
      <c r="Z868" s="5598"/>
      <c r="AA868" s="5599"/>
      <c r="AB868" s="5600"/>
      <c r="AC868" s="5601"/>
      <c r="AD868" s="5602"/>
      <c r="AE868" s="5603"/>
      <c r="AF868" s="5604"/>
      <c r="AG868" s="5605"/>
      <c r="AH868" s="5606"/>
      <c r="AI868" s="5607"/>
      <c r="AJ868" s="5608"/>
      <c r="AK868" s="1182" t="s">
        <v>949</v>
      </c>
      <c r="AL868" s="1562"/>
      <c r="AM868" s="1544"/>
      <c r="AN868" s="1544" t="str">
        <f t="shared" si="13"/>
        <v>Добавить значение признака дифференциации</v>
      </c>
      <c r="AO868" s="1544"/>
      <c r="AP868" s="1544"/>
    </row>
    <row r="869" spans="1:42" s="1818" customFormat="1" ht="21" customHeight="1">
      <c r="A869" s="1284"/>
      <c r="B869" s="1284"/>
      <c r="C869" s="1284"/>
      <c r="D869" s="1284"/>
      <c r="E869" s="8884" t="s">
        <v>587</v>
      </c>
      <c r="F869" s="8884"/>
      <c r="G869" s="8884"/>
      <c r="H869" s="8884"/>
      <c r="I869" s="8881"/>
      <c r="J869" s="1284"/>
      <c r="K869" s="1284"/>
      <c r="L869" s="1290"/>
      <c r="M869" s="1696"/>
      <c r="N869" s="1696"/>
      <c r="O869" s="1696"/>
      <c r="P869" s="8882"/>
      <c r="Q869" s="1811"/>
      <c r="R869" s="277"/>
      <c r="S869" s="5609"/>
      <c r="T869" s="5610" t="s">
        <v>877</v>
      </c>
      <c r="U869" s="5611"/>
      <c r="V869" s="5612"/>
      <c r="W869" s="5613"/>
      <c r="X869" s="5614"/>
      <c r="Y869" s="5615"/>
      <c r="Z869" s="5616"/>
      <c r="AA869" s="5617"/>
      <c r="AB869" s="5618"/>
      <c r="AC869" s="5619"/>
      <c r="AD869" s="5620"/>
      <c r="AE869" s="5621"/>
      <c r="AF869" s="5622"/>
      <c r="AG869" s="5623"/>
      <c r="AH869" s="5624"/>
      <c r="AI869" s="5625"/>
      <c r="AJ869" s="5626"/>
      <c r="AK869" s="5627"/>
      <c r="AL869" s="1562"/>
      <c r="AM869" s="1544"/>
      <c r="AN869" s="1544" t="str">
        <f t="shared" si="13"/>
        <v>Добавить группу потребителей</v>
      </c>
      <c r="AO869" s="1544"/>
      <c r="AP869" s="1544"/>
    </row>
    <row r="870" spans="1:42" s="1818" customFormat="1" ht="21" customHeight="1">
      <c r="A870" s="1284"/>
      <c r="B870" s="1284"/>
      <c r="C870" s="1284"/>
      <c r="D870" s="1284"/>
      <c r="E870" s="8884" t="s">
        <v>587</v>
      </c>
      <c r="F870" s="8884"/>
      <c r="G870" s="8884"/>
      <c r="H870" s="8883"/>
      <c r="I870" s="1284"/>
      <c r="J870" s="1284"/>
      <c r="K870" s="1284"/>
      <c r="L870" s="1290"/>
      <c r="M870" s="1286"/>
      <c r="N870" s="1286"/>
      <c r="O870" s="1287"/>
      <c r="P870" s="1742"/>
      <c r="Q870" s="299"/>
      <c r="R870" s="276"/>
      <c r="S870" s="5628"/>
      <c r="T870" s="5629" t="s">
        <v>950</v>
      </c>
      <c r="U870" s="5630"/>
      <c r="V870" s="5631"/>
      <c r="W870" s="5632"/>
      <c r="X870" s="5633"/>
      <c r="Y870" s="5634"/>
      <c r="Z870" s="5635"/>
      <c r="AA870" s="5636"/>
      <c r="AB870" s="5637"/>
      <c r="AC870" s="5638"/>
      <c r="AD870" s="5639"/>
      <c r="AE870" s="5640"/>
      <c r="AF870" s="5641"/>
      <c r="AG870" s="5642"/>
      <c r="AH870" s="5643"/>
      <c r="AI870" s="5644"/>
      <c r="AJ870" s="5645"/>
      <c r="AK870" s="5646"/>
      <c r="AL870" s="1562"/>
      <c r="AM870" s="1544"/>
      <c r="AN870" s="1544" t="str">
        <f t="shared" si="13"/>
        <v>Добавить наименование признака дифференциации</v>
      </c>
      <c r="AO870" s="1544"/>
      <c r="AP870" s="1544"/>
    </row>
    <row r="871" spans="1:42" s="541" customFormat="1" ht="14.25" customHeight="1">
      <c r="A871" s="1265"/>
      <c r="B871" s="1265"/>
      <c r="C871" s="1265"/>
      <c r="D871" s="1265"/>
      <c r="E871" s="8884" t="s">
        <v>587</v>
      </c>
      <c r="F871" s="8883"/>
      <c r="G871" s="1265"/>
      <c r="H871" s="1265"/>
      <c r="I871" s="1265"/>
      <c r="J871" s="1265"/>
      <c r="K871" s="1265"/>
      <c r="L871" s="1466"/>
      <c r="M871" s="1244"/>
      <c r="N871" s="1244"/>
      <c r="O871" s="1562"/>
      <c r="P871" s="1239"/>
      <c r="Q871" s="1266"/>
      <c r="R871" s="1239"/>
      <c r="S871" s="1245"/>
      <c r="T871" s="1248" t="s">
        <v>314</v>
      </c>
      <c r="U871" s="1247"/>
      <c r="V871" s="1247"/>
      <c r="W871" s="1247"/>
      <c r="X871" s="1247"/>
      <c r="Y871" s="1247"/>
      <c r="Z871" s="1247"/>
      <c r="AA871" s="1247"/>
      <c r="AB871" s="1247"/>
      <c r="AC871" s="1247"/>
      <c r="AD871" s="1247"/>
      <c r="AE871" s="1247"/>
      <c r="AF871" s="1247"/>
      <c r="AG871" s="1247"/>
      <c r="AH871" s="1247"/>
      <c r="AI871" s="1247"/>
      <c r="AJ871" s="1247"/>
      <c r="AK871" s="1247"/>
      <c r="AL871" s="1562"/>
      <c r="AM871" s="1544"/>
      <c r="AN871" s="1544" t="str">
        <f t="shared" si="13"/>
        <v>Добавить централизованную систему для дифференциации</v>
      </c>
      <c r="AO871" s="1544"/>
      <c r="AP871" s="1544"/>
    </row>
    <row r="872" spans="1:42" s="541" customFormat="1" ht="14.25" customHeight="1">
      <c r="A872" s="1265"/>
      <c r="B872" s="1265"/>
      <c r="C872" s="1265"/>
      <c r="D872" s="1265"/>
      <c r="E872" s="8883" t="s">
        <v>587</v>
      </c>
      <c r="F872" s="1265"/>
      <c r="G872" s="1265"/>
      <c r="H872" s="1265"/>
      <c r="I872" s="1265"/>
      <c r="J872" s="1265"/>
      <c r="K872" s="1265"/>
      <c r="L872" s="1466"/>
      <c r="M872" s="1244"/>
      <c r="N872" s="1244"/>
      <c r="O872" s="1562"/>
      <c r="P872" s="1239"/>
      <c r="Q872" s="1266"/>
      <c r="R872" s="1239"/>
      <c r="S872" s="1245"/>
      <c r="T872" s="1248" t="s">
        <v>315</v>
      </c>
      <c r="U872" s="1247"/>
      <c r="V872" s="1247"/>
      <c r="W872" s="1247"/>
      <c r="X872" s="1247"/>
      <c r="Y872" s="1247"/>
      <c r="Z872" s="1247"/>
      <c r="AA872" s="1247"/>
      <c r="AB872" s="1247"/>
      <c r="AC872" s="1247"/>
      <c r="AD872" s="1247"/>
      <c r="AE872" s="1247"/>
      <c r="AF872" s="1247"/>
      <c r="AG872" s="1247"/>
      <c r="AH872" s="1247"/>
      <c r="AI872" s="1247"/>
      <c r="AJ872" s="1247"/>
      <c r="AK872" s="1247"/>
      <c r="AL872" s="1562"/>
      <c r="AM872" s="1544"/>
      <c r="AN872" s="1544" t="str">
        <f t="shared" si="13"/>
        <v>Добавить территорию для дифференциации</v>
      </c>
      <c r="AO872" s="1544"/>
      <c r="AP872" s="1544"/>
    </row>
    <row r="873" spans="1:42" s="1818" customFormat="1" ht="23.25" customHeight="1">
      <c r="A873" s="1284" t="s">
        <v>601</v>
      </c>
      <c r="B873" s="1284"/>
      <c r="C873" s="1284"/>
      <c r="D873" s="1284"/>
      <c r="E873" s="8883" t="s">
        <v>599</v>
      </c>
      <c r="F873" s="1284"/>
      <c r="G873" s="1284"/>
      <c r="H873" s="1284"/>
      <c r="I873" s="1284"/>
      <c r="J873" s="1284"/>
      <c r="K873" s="1284"/>
      <c r="L873" s="1290"/>
      <c r="M873" s="1286"/>
      <c r="N873" s="1286"/>
      <c r="O873" s="1286"/>
      <c r="P873" s="1812"/>
      <c r="Q873" s="1742"/>
      <c r="R873" s="276"/>
      <c r="S873" s="1810" t="str">
        <f>INDEX(PT_DIFFERENTIATION_NUM_NTAR,MATCH(A873,PT_DIFFERENTIATION_NTAR_ID,0))</f>
        <v>53</v>
      </c>
      <c r="T873" s="1440" t="s">
        <v>211</v>
      </c>
      <c r="U873" s="214"/>
      <c r="V873" s="8869"/>
      <c r="W873" s="8870"/>
      <c r="X873" s="8870"/>
      <c r="Y873" s="8870"/>
      <c r="Z873" s="8870"/>
      <c r="AA873" s="8870"/>
      <c r="AB873" s="8871"/>
      <c r="AC873" s="8869" t="str">
        <f>INDEX(PT_DIFFERENTIATION_NTAR,MATCH(A873,PT_DIFFERENTIATION_NTAR_ID,0))</f>
        <v>Подвоз воды потребителям хутора Козлова</v>
      </c>
      <c r="AD873" s="8870"/>
      <c r="AE873" s="8870"/>
      <c r="AF873" s="8870"/>
      <c r="AG873" s="8870"/>
      <c r="AH873" s="8870"/>
      <c r="AI873" s="8870"/>
      <c r="AJ873" s="8871"/>
      <c r="AK87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873" s="1562"/>
      <c r="AM873" s="1544"/>
      <c r="AN873" s="1544" t="str">
        <f t="shared" ref="AN873:AN936" si="14">IF(T873="","",T873)</f>
        <v>Наименование тарифа</v>
      </c>
      <c r="AO873" s="1544"/>
      <c r="AP873" s="1544"/>
    </row>
    <row r="874" spans="1:42" s="1818" customFormat="1" ht="23.25" customHeight="1">
      <c r="A874" s="1284"/>
      <c r="B874" s="1284" t="s">
        <v>602</v>
      </c>
      <c r="C874" s="1284"/>
      <c r="D874" s="1284"/>
      <c r="E874" s="8884" t="s">
        <v>593</v>
      </c>
      <c r="F874" s="8883">
        <v>1</v>
      </c>
      <c r="G874" s="1284"/>
      <c r="H874" s="1284"/>
      <c r="I874" s="1284"/>
      <c r="J874" s="1284"/>
      <c r="K874" s="1284"/>
      <c r="L874" s="1290"/>
      <c r="M874" s="1286"/>
      <c r="N874" s="1286"/>
      <c r="O874" s="1286"/>
      <c r="P874" s="1807"/>
      <c r="Q874" s="273"/>
      <c r="R874" s="274"/>
      <c r="S874" s="1810" t="str">
        <f>INDEX(PT_DIFFERENTIATION_NUM_TER,MATCH(B874,PT_DIFFERENTIATION_TER_ID,0))</f>
        <v>53.1</v>
      </c>
      <c r="T874" s="1437" t="s">
        <v>862</v>
      </c>
      <c r="U874" s="214"/>
      <c r="V874" s="8869"/>
      <c r="W874" s="8870"/>
      <c r="X874" s="8870"/>
      <c r="Y874" s="8870"/>
      <c r="Z874" s="8870"/>
      <c r="AA874" s="8870"/>
      <c r="AB874" s="8871"/>
      <c r="AC874" s="8869" t="str">
        <f>INDEX(PT_DIFFERENTIATION_TER,MATCH(B874,PT_DIFFERENTIATION_TER_ID,0))</f>
        <v>Территория 14</v>
      </c>
      <c r="AD874" s="8870"/>
      <c r="AE874" s="8870"/>
      <c r="AF874" s="8870"/>
      <c r="AG874" s="8870"/>
      <c r="AH874" s="8870"/>
      <c r="AI874" s="8870"/>
      <c r="AJ874" s="8871"/>
      <c r="AK874" s="1182" t="s">
        <v>863</v>
      </c>
      <c r="AL874" s="1562"/>
      <c r="AM874" s="1544"/>
      <c r="AN874" s="1544" t="str">
        <f t="shared" si="14"/>
        <v>Территория действия тарифа</v>
      </c>
      <c r="AO874" s="1544"/>
      <c r="AP874" s="1544"/>
    </row>
    <row r="875" spans="1:42" s="1818" customFormat="1" ht="23.25" customHeight="1">
      <c r="A875" s="1284"/>
      <c r="B875" s="1284"/>
      <c r="C875" s="1284" t="s">
        <v>603</v>
      </c>
      <c r="D875" s="1284"/>
      <c r="E875" s="8884" t="s">
        <v>593</v>
      </c>
      <c r="F875" s="8884"/>
      <c r="G875" s="8883">
        <v>1</v>
      </c>
      <c r="H875" s="1284"/>
      <c r="I875" s="1284"/>
      <c r="J875" s="1284"/>
      <c r="K875" s="1284"/>
      <c r="L875" s="1290"/>
      <c r="M875" s="1286"/>
      <c r="N875" s="1286"/>
      <c r="O875" s="1286"/>
      <c r="P875" s="275"/>
      <c r="Q875" s="273"/>
      <c r="R875" s="274"/>
      <c r="S875" s="1810" t="str">
        <f>INDEX(PT_DIFFERENTIATION_NUM_CS,MATCH(C875,PT_DIFFERENTIATION_CS_ID,0))</f>
        <v>53.1.1</v>
      </c>
      <c r="T875" s="225" t="s">
        <v>943</v>
      </c>
      <c r="U875" s="214"/>
      <c r="V875" s="8869"/>
      <c r="W875" s="8870"/>
      <c r="X875" s="8870"/>
      <c r="Y875" s="8870"/>
      <c r="Z875" s="8870"/>
      <c r="AA875" s="8870"/>
      <c r="AB875" s="8871"/>
      <c r="AC875" s="8869" t="str">
        <f>INDEX(PT_DIFFERENTIATION_CS,MATCH(C875,PT_DIFFERENTIATION_CS_ID,0))</f>
        <v>без дифференциации</v>
      </c>
      <c r="AD875" s="8870"/>
      <c r="AE875" s="8870"/>
      <c r="AF875" s="8870"/>
      <c r="AG875" s="8870"/>
      <c r="AH875" s="8870"/>
      <c r="AI875" s="8870"/>
      <c r="AJ875" s="8871"/>
      <c r="AK875" s="1182" t="s">
        <v>944</v>
      </c>
      <c r="AL875" s="1562"/>
      <c r="AM875" s="1544"/>
      <c r="AN875" s="1544" t="str">
        <f t="shared" si="14"/>
        <v>Наименование централизованной системы холодного водоснабжения</v>
      </c>
      <c r="AO875" s="1544"/>
      <c r="AP875" s="1544"/>
    </row>
    <row r="876" spans="1:42" s="1818" customFormat="1" ht="23.25" customHeight="1">
      <c r="A876" s="1284"/>
      <c r="B876" s="1284"/>
      <c r="C876" s="1284"/>
      <c r="D876" s="1284"/>
      <c r="E876" s="8884" t="s">
        <v>593</v>
      </c>
      <c r="F876" s="8884"/>
      <c r="G876" s="8884"/>
      <c r="H876" s="8884"/>
      <c r="I876" s="8881" t="str">
        <f>S875&amp;".1"</f>
        <v>53.1.1.1</v>
      </c>
      <c r="J876" s="1284"/>
      <c r="K876" s="1284"/>
      <c r="L876" s="1290"/>
      <c r="M876" s="1696"/>
      <c r="N876" s="1696"/>
      <c r="O876" s="1696"/>
      <c r="P876" s="8882">
        <v>1</v>
      </c>
      <c r="Q876" s="1811"/>
      <c r="R876" s="277"/>
      <c r="S876" s="1810" t="str">
        <f>$I876</f>
        <v>53.1.1.1</v>
      </c>
      <c r="T876" s="200" t="s">
        <v>945</v>
      </c>
      <c r="U876" s="214"/>
      <c r="V876" s="8942"/>
      <c r="W876" s="8943"/>
      <c r="X876" s="8943"/>
      <c r="Y876" s="8943"/>
      <c r="Z876" s="8943"/>
      <c r="AA876" s="8943"/>
      <c r="AB876" s="8944"/>
      <c r="AC876" s="8945"/>
      <c r="AD876" s="8946"/>
      <c r="AE876" s="8946"/>
      <c r="AF876" s="8946"/>
      <c r="AG876" s="8946"/>
      <c r="AH876" s="8946"/>
      <c r="AI876" s="8946"/>
      <c r="AJ876" s="8947"/>
      <c r="AK876" s="1182" t="s">
        <v>946</v>
      </c>
      <c r="AL876" s="1562"/>
      <c r="AM876" s="1544"/>
      <c r="AN876" s="1544" t="str">
        <f t="shared" si="14"/>
        <v>Наименование признака дифференциации</v>
      </c>
      <c r="AO876" s="1544"/>
      <c r="AP876" s="1544"/>
    </row>
    <row r="877" spans="1:42" s="1818" customFormat="1" ht="23.25" customHeight="1">
      <c r="A877" s="1284"/>
      <c r="B877" s="1284"/>
      <c r="C877" s="1284"/>
      <c r="D877" s="1284"/>
      <c r="E877" s="8884" t="s">
        <v>593</v>
      </c>
      <c r="F877" s="8884"/>
      <c r="G877" s="8884"/>
      <c r="H877" s="8884"/>
      <c r="I877" s="8904"/>
      <c r="J877" s="8881" t="str">
        <f>I876&amp;".1"</f>
        <v>53.1.1.1.1</v>
      </c>
      <c r="K877" s="1284"/>
      <c r="L877" s="1290" t="s">
        <v>871</v>
      </c>
      <c r="M877" s="1696"/>
      <c r="N877" s="1696"/>
      <c r="O877" s="1696"/>
      <c r="P877" s="8882"/>
      <c r="Q877" s="8882">
        <v>1</v>
      </c>
      <c r="R877" s="278"/>
      <c r="S877" s="1810" t="str">
        <f>$J877</f>
        <v>53.1.1.1.1</v>
      </c>
      <c r="T877" s="201" t="s">
        <v>872</v>
      </c>
      <c r="U877" s="214"/>
      <c r="V877" s="8872"/>
      <c r="W877" s="8873"/>
      <c r="X877" s="8873"/>
      <c r="Y877" s="8873"/>
      <c r="Z877" s="8873"/>
      <c r="AA877" s="8873"/>
      <c r="AB877" s="8874"/>
      <c r="AC877" s="8872" t="s">
        <v>961</v>
      </c>
      <c r="AD877" s="8873"/>
      <c r="AE877" s="8873"/>
      <c r="AF877" s="8873"/>
      <c r="AG877" s="8873"/>
      <c r="AH877" s="8873"/>
      <c r="AI877" s="8873"/>
      <c r="AJ877" s="8874"/>
      <c r="AK877" s="1231" t="s">
        <v>947</v>
      </c>
      <c r="AL877" s="1562"/>
      <c r="AM877" s="1544"/>
      <c r="AN877" s="1544" t="str">
        <f t="shared" si="14"/>
        <v>Группа потребителей</v>
      </c>
      <c r="AO877" s="1544"/>
      <c r="AP877" s="1544"/>
    </row>
    <row r="878" spans="1:42" s="1818" customFormat="1" ht="23.25" customHeight="1">
      <c r="A878" s="1284"/>
      <c r="B878" s="1284"/>
      <c r="C878" s="1284"/>
      <c r="D878" s="1284"/>
      <c r="E878" s="8884" t="s">
        <v>593</v>
      </c>
      <c r="F878" s="8884"/>
      <c r="G878" s="8884"/>
      <c r="H878" s="8884"/>
      <c r="I878" s="8904"/>
      <c r="J878" s="8904"/>
      <c r="K878" s="8881" t="str">
        <f>J877&amp;".1"</f>
        <v>53.1.1.1.1.1</v>
      </c>
      <c r="L878" s="1290"/>
      <c r="M878" s="1696"/>
      <c r="N878" s="1696"/>
      <c r="O878" s="1696"/>
      <c r="P878" s="8882"/>
      <c r="Q878" s="8882"/>
      <c r="R878" s="278">
        <v>1</v>
      </c>
      <c r="S878" s="1810" t="str">
        <f>$K878</f>
        <v>53.1.1.1.1.1</v>
      </c>
      <c r="T878" s="1357" t="s">
        <v>962</v>
      </c>
      <c r="U878" s="214"/>
      <c r="V878" s="666"/>
      <c r="W878" s="666"/>
      <c r="X878" s="1181"/>
      <c r="Y878" s="8886"/>
      <c r="Z878" s="8734" t="s">
        <v>63</v>
      </c>
      <c r="AA878" s="8886"/>
      <c r="AB878" s="8734" t="s">
        <v>63</v>
      </c>
      <c r="AC878" s="666">
        <v>367.19</v>
      </c>
      <c r="AD878" s="666"/>
      <c r="AE878" s="1181"/>
      <c r="AF878" s="8886">
        <v>45292</v>
      </c>
      <c r="AG878" s="8734" t="s">
        <v>63</v>
      </c>
      <c r="AH878" s="8905">
        <v>45657</v>
      </c>
      <c r="AI878" s="8734" t="s">
        <v>63</v>
      </c>
      <c r="AJ878" s="1358"/>
      <c r="AK87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78" s="1562" t="e">
        <f ca="1">STRCHECKDATE(V879:AJ879)</f>
        <v>#NAME?</v>
      </c>
      <c r="AM878" s="1544"/>
      <c r="AN878" s="1544" t="str">
        <f t="shared" si="14"/>
        <v>Тариф для населения, руб. за 1 куб. метр с НДС</v>
      </c>
      <c r="AO878" s="1544"/>
      <c r="AP878" s="1544"/>
    </row>
    <row r="879" spans="1:42" s="1818" customFormat="1" ht="14.25" customHeight="1">
      <c r="A879" s="1284"/>
      <c r="B879" s="1284"/>
      <c r="C879" s="1284"/>
      <c r="D879" s="1284"/>
      <c r="E879" s="8884" t="s">
        <v>593</v>
      </c>
      <c r="F879" s="8884"/>
      <c r="G879" s="8884"/>
      <c r="H879" s="8884"/>
      <c r="I879" s="8904"/>
      <c r="J879" s="8904"/>
      <c r="K879" s="8881"/>
      <c r="L879" s="1290"/>
      <c r="M879" s="1696"/>
      <c r="N879" s="1696"/>
      <c r="O879" s="1696"/>
      <c r="P879" s="8882"/>
      <c r="Q879" s="8882"/>
      <c r="R879" s="278"/>
      <c r="S879" s="1815"/>
      <c r="T879" s="214"/>
      <c r="U879" s="214"/>
      <c r="V879" s="246"/>
      <c r="W879" s="246"/>
      <c r="X879" s="250" t="str">
        <f>Y878&amp;"-"&amp;AA878</f>
        <v>-</v>
      </c>
      <c r="Y879" s="8887"/>
      <c r="Z879" s="8734"/>
      <c r="AA879" s="8887"/>
      <c r="AB879" s="8734"/>
      <c r="AC879" s="246"/>
      <c r="AD879" s="246"/>
      <c r="AE879" s="250" t="str">
        <f>AF878&amp;"-"&amp;AH878</f>
        <v>45292-45657</v>
      </c>
      <c r="AF879" s="8887"/>
      <c r="AG879" s="8734"/>
      <c r="AH879" s="8906"/>
      <c r="AI879" s="8734"/>
      <c r="AJ879" s="1359"/>
      <c r="AK879" s="8941"/>
      <c r="AL879" s="1562"/>
      <c r="AM879" s="1544"/>
      <c r="AN879" s="1544" t="str">
        <f t="shared" si="14"/>
        <v/>
      </c>
      <c r="AO879" s="1544"/>
      <c r="AP879" s="1544"/>
    </row>
    <row r="880" spans="1:42" s="1818" customFormat="1" ht="21" customHeight="1">
      <c r="A880" s="1284"/>
      <c r="B880" s="1284"/>
      <c r="C880" s="1284"/>
      <c r="D880" s="1284"/>
      <c r="E880" s="8884" t="s">
        <v>593</v>
      </c>
      <c r="F880" s="8884"/>
      <c r="G880" s="8884"/>
      <c r="H880" s="8884"/>
      <c r="I880" s="8904"/>
      <c r="J880" s="8881"/>
      <c r="K880" s="1284"/>
      <c r="L880" s="1290"/>
      <c r="M880" s="1696"/>
      <c r="N880" s="1696"/>
      <c r="O880" s="1696"/>
      <c r="P880" s="8882"/>
      <c r="Q880" s="8882"/>
      <c r="R880" s="277"/>
      <c r="S880" s="5647"/>
      <c r="T880" s="5648" t="s">
        <v>948</v>
      </c>
      <c r="U880" s="5649"/>
      <c r="V880" s="5650"/>
      <c r="W880" s="5651"/>
      <c r="X880" s="5652"/>
      <c r="Y880" s="5653"/>
      <c r="Z880" s="5654"/>
      <c r="AA880" s="5655"/>
      <c r="AB880" s="5656"/>
      <c r="AC880" s="5657"/>
      <c r="AD880" s="5658"/>
      <c r="AE880" s="5659"/>
      <c r="AF880" s="5660"/>
      <c r="AG880" s="5661"/>
      <c r="AH880" s="5662"/>
      <c r="AI880" s="5663"/>
      <c r="AJ880" s="5664"/>
      <c r="AK880" s="1182" t="s">
        <v>949</v>
      </c>
      <c r="AL880" s="1562"/>
      <c r="AM880" s="1544"/>
      <c r="AN880" s="1544" t="str">
        <f t="shared" si="14"/>
        <v>Добавить значение признака дифференциации</v>
      </c>
      <c r="AO880" s="1544"/>
      <c r="AP880" s="1544"/>
    </row>
    <row r="881" spans="1:42" s="1818" customFormat="1" ht="23.25" customHeight="1">
      <c r="A881" s="1284"/>
      <c r="B881" s="1284"/>
      <c r="C881" s="1284"/>
      <c r="D881" s="1284"/>
      <c r="E881" s="8884"/>
      <c r="F881" s="8884"/>
      <c r="G881" s="8884"/>
      <c r="H881" s="8884"/>
      <c r="I881" s="8904"/>
      <c r="J881" s="8881" t="str">
        <f>I876&amp;".2"</f>
        <v>53.1.1.1.2</v>
      </c>
      <c r="K881" s="1284"/>
      <c r="L881" s="1290" t="s">
        <v>871</v>
      </c>
      <c r="M881" s="1696"/>
      <c r="N881" s="1696"/>
      <c r="O881" s="1696"/>
      <c r="P881" s="8882"/>
      <c r="Q881" s="8948" t="s">
        <v>100</v>
      </c>
      <c r="R881" s="278"/>
      <c r="S881" s="1810" t="str">
        <f>$J881</f>
        <v>53.1.1.1.2</v>
      </c>
      <c r="T881" s="201" t="s">
        <v>872</v>
      </c>
      <c r="U881" s="214"/>
      <c r="V881" s="8872"/>
      <c r="W881" s="8873"/>
      <c r="X881" s="8873"/>
      <c r="Y881" s="8873"/>
      <c r="Z881" s="8873"/>
      <c r="AA881" s="8873"/>
      <c r="AB881" s="8874"/>
      <c r="AC881" s="8872" t="s">
        <v>963</v>
      </c>
      <c r="AD881" s="8873"/>
      <c r="AE881" s="8873"/>
      <c r="AF881" s="8873"/>
      <c r="AG881" s="8873"/>
      <c r="AH881" s="8873"/>
      <c r="AI881" s="8873"/>
      <c r="AJ881" s="8874"/>
      <c r="AK881" s="1231" t="s">
        <v>947</v>
      </c>
      <c r="AL881" s="1562"/>
      <c r="AM881" s="1544"/>
      <c r="AN881" s="1544" t="str">
        <f t="shared" si="14"/>
        <v>Группа потребителей</v>
      </c>
      <c r="AO881" s="1544"/>
      <c r="AP881" s="1544"/>
    </row>
    <row r="882" spans="1:42" s="1818" customFormat="1" ht="23.25" customHeight="1">
      <c r="A882" s="1284"/>
      <c r="B882" s="1284"/>
      <c r="C882" s="1284"/>
      <c r="D882" s="1284"/>
      <c r="E882" s="8884"/>
      <c r="F882" s="8884"/>
      <c r="G882" s="8884"/>
      <c r="H882" s="8884"/>
      <c r="I882" s="8904"/>
      <c r="J882" s="8904" t="str">
        <f>I876&amp;".1"</f>
        <v>53.1.1.1.1</v>
      </c>
      <c r="K882" s="8881" t="str">
        <f>J881&amp;".1"</f>
        <v>53.1.1.1.2.1</v>
      </c>
      <c r="L882" s="1290"/>
      <c r="M882" s="1696"/>
      <c r="N882" s="1696"/>
      <c r="O882" s="1696"/>
      <c r="P882" s="8882"/>
      <c r="Q882" s="8882"/>
      <c r="R882" s="278">
        <v>1</v>
      </c>
      <c r="S882" s="1810" t="str">
        <f>$K882</f>
        <v>53.1.1.1.2.1</v>
      </c>
      <c r="T882" s="1357" t="s">
        <v>964</v>
      </c>
      <c r="U882" s="214"/>
      <c r="V882" s="666"/>
      <c r="W882" s="666"/>
      <c r="X882" s="1181"/>
      <c r="Y882" s="8886"/>
      <c r="Z882" s="8734" t="s">
        <v>63</v>
      </c>
      <c r="AA882" s="8886"/>
      <c r="AB882" s="8734" t="s">
        <v>63</v>
      </c>
      <c r="AC882" s="666">
        <v>305.99</v>
      </c>
      <c r="AD882" s="666"/>
      <c r="AE882" s="1181"/>
      <c r="AF882" s="8886">
        <v>45292</v>
      </c>
      <c r="AG882" s="8734" t="s">
        <v>63</v>
      </c>
      <c r="AH882" s="8905">
        <v>45657</v>
      </c>
      <c r="AI882" s="8734" t="s">
        <v>63</v>
      </c>
      <c r="AJ882" s="1358"/>
      <c r="AK88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82" s="1562" t="e">
        <f ca="1">STRCHECKDATE(V883:AJ883)</f>
        <v>#NAME?</v>
      </c>
      <c r="AM882" s="1544"/>
      <c r="AN882" s="1544" t="str">
        <f t="shared" si="14"/>
        <v>Тариф, руб. за 1 куб. метр без НДС</v>
      </c>
      <c r="AO882" s="1544"/>
      <c r="AP882" s="1544"/>
    </row>
    <row r="883" spans="1:42" s="1818" customFormat="1" ht="14.25" customHeight="1">
      <c r="A883" s="1284"/>
      <c r="B883" s="1284"/>
      <c r="C883" s="1284"/>
      <c r="D883" s="1284"/>
      <c r="E883" s="8884"/>
      <c r="F883" s="8884"/>
      <c r="G883" s="8884"/>
      <c r="H883" s="8884"/>
      <c r="I883" s="8904"/>
      <c r="J883" s="8904" t="str">
        <f>I876&amp;".1"</f>
        <v>53.1.1.1.1</v>
      </c>
      <c r="K883" s="8881"/>
      <c r="L883" s="1290"/>
      <c r="M883" s="1696"/>
      <c r="N883" s="1696"/>
      <c r="O883" s="1696"/>
      <c r="P883" s="8882"/>
      <c r="Q883" s="8882"/>
      <c r="R883" s="278"/>
      <c r="S883" s="1815"/>
      <c r="T883" s="214"/>
      <c r="U883" s="214"/>
      <c r="V883" s="246"/>
      <c r="W883" s="246"/>
      <c r="X883" s="250" t="str">
        <f>Y882&amp;"-"&amp;AA882</f>
        <v>-</v>
      </c>
      <c r="Y883" s="8887"/>
      <c r="Z883" s="8734"/>
      <c r="AA883" s="8887"/>
      <c r="AB883" s="8734"/>
      <c r="AC883" s="246"/>
      <c r="AD883" s="246"/>
      <c r="AE883" s="250" t="str">
        <f>AF882&amp;"-"&amp;AH882</f>
        <v>45292-45657</v>
      </c>
      <c r="AF883" s="8887"/>
      <c r="AG883" s="8734"/>
      <c r="AH883" s="8906"/>
      <c r="AI883" s="8734"/>
      <c r="AJ883" s="1359"/>
      <c r="AK883" s="8941"/>
      <c r="AL883" s="1562"/>
      <c r="AM883" s="1544"/>
      <c r="AN883" s="1544" t="str">
        <f t="shared" si="14"/>
        <v/>
      </c>
      <c r="AO883" s="1544"/>
      <c r="AP883" s="1544"/>
    </row>
    <row r="884" spans="1:42" s="1818" customFormat="1" ht="21" customHeight="1">
      <c r="A884" s="1284"/>
      <c r="B884" s="1284"/>
      <c r="C884" s="1284"/>
      <c r="D884" s="1284"/>
      <c r="E884" s="8884"/>
      <c r="F884" s="8884"/>
      <c r="G884" s="8884"/>
      <c r="H884" s="8884"/>
      <c r="I884" s="8904"/>
      <c r="J884" s="8881" t="str">
        <f>I876&amp;".1"</f>
        <v>53.1.1.1.1</v>
      </c>
      <c r="K884" s="1284"/>
      <c r="L884" s="1290"/>
      <c r="M884" s="1696"/>
      <c r="N884" s="1696"/>
      <c r="O884" s="1696"/>
      <c r="P884" s="8882"/>
      <c r="Q884" s="8882"/>
      <c r="R884" s="277"/>
      <c r="S884" s="5665"/>
      <c r="T884" s="5666" t="s">
        <v>948</v>
      </c>
      <c r="U884" s="5667"/>
      <c r="V884" s="5668"/>
      <c r="W884" s="5669"/>
      <c r="X884" s="5670"/>
      <c r="Y884" s="5671"/>
      <c r="Z884" s="5672"/>
      <c r="AA884" s="5673"/>
      <c r="AB884" s="5674"/>
      <c r="AC884" s="5675"/>
      <c r="AD884" s="5676"/>
      <c r="AE884" s="5677"/>
      <c r="AF884" s="5678"/>
      <c r="AG884" s="5679"/>
      <c r="AH884" s="5680"/>
      <c r="AI884" s="5681"/>
      <c r="AJ884" s="5682"/>
      <c r="AK884" s="1182" t="s">
        <v>949</v>
      </c>
      <c r="AL884" s="1562"/>
      <c r="AM884" s="1544"/>
      <c r="AN884" s="1544" t="str">
        <f t="shared" si="14"/>
        <v>Добавить значение признака дифференциации</v>
      </c>
      <c r="AO884" s="1544"/>
      <c r="AP884" s="1544"/>
    </row>
    <row r="885" spans="1:42" s="1818" customFormat="1" ht="21" customHeight="1">
      <c r="A885" s="1284"/>
      <c r="B885" s="1284"/>
      <c r="C885" s="1284"/>
      <c r="D885" s="1284"/>
      <c r="E885" s="8884" t="s">
        <v>593</v>
      </c>
      <c r="F885" s="8884"/>
      <c r="G885" s="8884"/>
      <c r="H885" s="8884"/>
      <c r="I885" s="8881"/>
      <c r="J885" s="1284"/>
      <c r="K885" s="1284"/>
      <c r="L885" s="1290"/>
      <c r="M885" s="1696"/>
      <c r="N885" s="1696"/>
      <c r="O885" s="1696"/>
      <c r="P885" s="8882"/>
      <c r="Q885" s="1811"/>
      <c r="R885" s="277"/>
      <c r="S885" s="5683"/>
      <c r="T885" s="5684" t="s">
        <v>877</v>
      </c>
      <c r="U885" s="5685"/>
      <c r="V885" s="5686"/>
      <c r="W885" s="5687"/>
      <c r="X885" s="5688"/>
      <c r="Y885" s="5689"/>
      <c r="Z885" s="5690"/>
      <c r="AA885" s="5691"/>
      <c r="AB885" s="5692"/>
      <c r="AC885" s="5693"/>
      <c r="AD885" s="5694"/>
      <c r="AE885" s="5695"/>
      <c r="AF885" s="5696"/>
      <c r="AG885" s="5697"/>
      <c r="AH885" s="5698"/>
      <c r="AI885" s="5699"/>
      <c r="AJ885" s="5700"/>
      <c r="AK885" s="5701"/>
      <c r="AL885" s="1562"/>
      <c r="AM885" s="1544"/>
      <c r="AN885" s="1544" t="str">
        <f t="shared" si="14"/>
        <v>Добавить группу потребителей</v>
      </c>
      <c r="AO885" s="1544"/>
      <c r="AP885" s="1544"/>
    </row>
    <row r="886" spans="1:42" s="1818" customFormat="1" ht="21" customHeight="1">
      <c r="A886" s="1284"/>
      <c r="B886" s="1284"/>
      <c r="C886" s="1284"/>
      <c r="D886" s="1284"/>
      <c r="E886" s="8884" t="s">
        <v>593</v>
      </c>
      <c r="F886" s="8884"/>
      <c r="G886" s="8884"/>
      <c r="H886" s="8883"/>
      <c r="I886" s="1284"/>
      <c r="J886" s="1284"/>
      <c r="K886" s="1284"/>
      <c r="L886" s="1290"/>
      <c r="M886" s="1286"/>
      <c r="N886" s="1286"/>
      <c r="O886" s="1287"/>
      <c r="P886" s="1742"/>
      <c r="Q886" s="299"/>
      <c r="R886" s="276"/>
      <c r="S886" s="5702"/>
      <c r="T886" s="5703" t="s">
        <v>950</v>
      </c>
      <c r="U886" s="5704"/>
      <c r="V886" s="5705"/>
      <c r="W886" s="5706"/>
      <c r="X886" s="5707"/>
      <c r="Y886" s="5708"/>
      <c r="Z886" s="5709"/>
      <c r="AA886" s="5710"/>
      <c r="AB886" s="5711"/>
      <c r="AC886" s="5712"/>
      <c r="AD886" s="5713"/>
      <c r="AE886" s="5714"/>
      <c r="AF886" s="5715"/>
      <c r="AG886" s="5716"/>
      <c r="AH886" s="5717"/>
      <c r="AI886" s="5718"/>
      <c r="AJ886" s="5719"/>
      <c r="AK886" s="5720"/>
      <c r="AL886" s="1562"/>
      <c r="AM886" s="1544"/>
      <c r="AN886" s="1544" t="str">
        <f t="shared" si="14"/>
        <v>Добавить наименование признака дифференциации</v>
      </c>
      <c r="AO886" s="1544"/>
      <c r="AP886" s="1544"/>
    </row>
    <row r="887" spans="1:42" s="541" customFormat="1" ht="14.25" customHeight="1">
      <c r="A887" s="1265"/>
      <c r="B887" s="1265"/>
      <c r="C887" s="1265"/>
      <c r="D887" s="1265"/>
      <c r="E887" s="8884" t="s">
        <v>593</v>
      </c>
      <c r="F887" s="8883"/>
      <c r="G887" s="1265"/>
      <c r="H887" s="1265"/>
      <c r="I887" s="1265"/>
      <c r="J887" s="1265"/>
      <c r="K887" s="1265"/>
      <c r="L887" s="1466"/>
      <c r="M887" s="1244"/>
      <c r="N887" s="1244"/>
      <c r="O887" s="1562"/>
      <c r="P887" s="1239"/>
      <c r="Q887" s="1266"/>
      <c r="R887" s="1239"/>
      <c r="S887" s="1245"/>
      <c r="T887" s="1248" t="s">
        <v>314</v>
      </c>
      <c r="U887" s="1247"/>
      <c r="V887" s="1247"/>
      <c r="W887" s="1247"/>
      <c r="X887" s="1247"/>
      <c r="Y887" s="1247"/>
      <c r="Z887" s="1247"/>
      <c r="AA887" s="1247"/>
      <c r="AB887" s="1247"/>
      <c r="AC887" s="1247"/>
      <c r="AD887" s="1247"/>
      <c r="AE887" s="1247"/>
      <c r="AF887" s="1247"/>
      <c r="AG887" s="1247"/>
      <c r="AH887" s="1247"/>
      <c r="AI887" s="1247"/>
      <c r="AJ887" s="1247"/>
      <c r="AK887" s="1247"/>
      <c r="AL887" s="1562"/>
      <c r="AM887" s="1544"/>
      <c r="AN887" s="1544" t="str">
        <f t="shared" si="14"/>
        <v>Добавить централизованную систему для дифференциации</v>
      </c>
      <c r="AO887" s="1544"/>
      <c r="AP887" s="1544"/>
    </row>
    <row r="888" spans="1:42" s="541" customFormat="1" ht="14.25" customHeight="1">
      <c r="A888" s="1265"/>
      <c r="B888" s="1265"/>
      <c r="C888" s="1265"/>
      <c r="D888" s="1265"/>
      <c r="E888" s="8883" t="s">
        <v>593</v>
      </c>
      <c r="F888" s="1265"/>
      <c r="G888" s="1265"/>
      <c r="H888" s="1265"/>
      <c r="I888" s="1265"/>
      <c r="J888" s="1265"/>
      <c r="K888" s="1265"/>
      <c r="L888" s="1466"/>
      <c r="M888" s="1244"/>
      <c r="N888" s="1244"/>
      <c r="O888" s="1562"/>
      <c r="P888" s="1239"/>
      <c r="Q888" s="1266"/>
      <c r="R888" s="1239"/>
      <c r="S888" s="1245"/>
      <c r="T888" s="1248" t="s">
        <v>315</v>
      </c>
      <c r="U888" s="1247"/>
      <c r="V888" s="1247"/>
      <c r="W888" s="1247"/>
      <c r="X888" s="1247"/>
      <c r="Y888" s="1247"/>
      <c r="Z888" s="1247"/>
      <c r="AA888" s="1247"/>
      <c r="AB888" s="1247"/>
      <c r="AC888" s="1247"/>
      <c r="AD888" s="1247"/>
      <c r="AE888" s="1247"/>
      <c r="AF888" s="1247"/>
      <c r="AG888" s="1247"/>
      <c r="AH888" s="1247"/>
      <c r="AI888" s="1247"/>
      <c r="AJ888" s="1247"/>
      <c r="AK888" s="1247"/>
      <c r="AL888" s="1562"/>
      <c r="AM888" s="1544"/>
      <c r="AN888" s="1544" t="str">
        <f t="shared" si="14"/>
        <v>Добавить территорию для дифференциации</v>
      </c>
      <c r="AO888" s="1544"/>
      <c r="AP888" s="1544"/>
    </row>
    <row r="889" spans="1:42" s="1818" customFormat="1" ht="23.25" customHeight="1">
      <c r="A889" s="1284" t="s">
        <v>607</v>
      </c>
      <c r="B889" s="1284"/>
      <c r="C889" s="1284"/>
      <c r="D889" s="1284"/>
      <c r="E889" s="8883" t="s">
        <v>605</v>
      </c>
      <c r="F889" s="1284"/>
      <c r="G889" s="1284"/>
      <c r="H889" s="1284"/>
      <c r="I889" s="1284"/>
      <c r="J889" s="1284"/>
      <c r="K889" s="1284"/>
      <c r="L889" s="1290"/>
      <c r="M889" s="1286"/>
      <c r="N889" s="1286"/>
      <c r="O889" s="1286"/>
      <c r="P889" s="1812"/>
      <c r="Q889" s="1742"/>
      <c r="R889" s="276"/>
      <c r="S889" s="1810" t="str">
        <f>INDEX(PT_DIFFERENTIATION_NUM_NTAR,MATCH(A889,PT_DIFFERENTIATION_NTAR_ID,0))</f>
        <v>54</v>
      </c>
      <c r="T889" s="1440" t="s">
        <v>211</v>
      </c>
      <c r="U889" s="214"/>
      <c r="V889" s="8869"/>
      <c r="W889" s="8870"/>
      <c r="X889" s="8870"/>
      <c r="Y889" s="8870"/>
      <c r="Z889" s="8870"/>
      <c r="AA889" s="8870"/>
      <c r="AB889" s="8871"/>
      <c r="AC889" s="8869" t="str">
        <f>INDEX(PT_DIFFERENTIATION_NTAR,MATCH(A889,PT_DIFFERENTIATION_NTAR_ID,0))</f>
        <v>Подвоз воды потребителям села Тищенского</v>
      </c>
      <c r="AD889" s="8870"/>
      <c r="AE889" s="8870"/>
      <c r="AF889" s="8870"/>
      <c r="AG889" s="8870"/>
      <c r="AH889" s="8870"/>
      <c r="AI889" s="8870"/>
      <c r="AJ889" s="8871"/>
      <c r="AK88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889" s="1562"/>
      <c r="AM889" s="1544"/>
      <c r="AN889" s="1544" t="str">
        <f t="shared" si="14"/>
        <v>Наименование тарифа</v>
      </c>
      <c r="AO889" s="1544"/>
      <c r="AP889" s="1544"/>
    </row>
    <row r="890" spans="1:42" s="1818" customFormat="1" ht="23.25" customHeight="1">
      <c r="A890" s="1284"/>
      <c r="B890" s="1284" t="s">
        <v>608</v>
      </c>
      <c r="C890" s="1284"/>
      <c r="D890" s="1284"/>
      <c r="E890" s="8884" t="s">
        <v>599</v>
      </c>
      <c r="F890" s="8883">
        <v>1</v>
      </c>
      <c r="G890" s="1284"/>
      <c r="H890" s="1284"/>
      <c r="I890" s="1284"/>
      <c r="J890" s="1284"/>
      <c r="K890" s="1284"/>
      <c r="L890" s="1290"/>
      <c r="M890" s="1286"/>
      <c r="N890" s="1286"/>
      <c r="O890" s="1286"/>
      <c r="P890" s="1807"/>
      <c r="Q890" s="273"/>
      <c r="R890" s="274"/>
      <c r="S890" s="1810" t="str">
        <f>INDEX(PT_DIFFERENTIATION_NUM_TER,MATCH(B890,PT_DIFFERENTIATION_TER_ID,0))</f>
        <v>54.1</v>
      </c>
      <c r="T890" s="1437" t="s">
        <v>862</v>
      </c>
      <c r="U890" s="214"/>
      <c r="V890" s="8869"/>
      <c r="W890" s="8870"/>
      <c r="X890" s="8870"/>
      <c r="Y890" s="8870"/>
      <c r="Z890" s="8870"/>
      <c r="AA890" s="8870"/>
      <c r="AB890" s="8871"/>
      <c r="AC890" s="8869" t="str">
        <f>INDEX(PT_DIFFERENTIATION_TER,MATCH(B890,PT_DIFFERENTIATION_TER_ID,0))</f>
        <v>Территория 14</v>
      </c>
      <c r="AD890" s="8870"/>
      <c r="AE890" s="8870"/>
      <c r="AF890" s="8870"/>
      <c r="AG890" s="8870"/>
      <c r="AH890" s="8870"/>
      <c r="AI890" s="8870"/>
      <c r="AJ890" s="8871"/>
      <c r="AK890" s="1182" t="s">
        <v>863</v>
      </c>
      <c r="AL890" s="1562"/>
      <c r="AM890" s="1544"/>
      <c r="AN890" s="1544" t="str">
        <f t="shared" si="14"/>
        <v>Территория действия тарифа</v>
      </c>
      <c r="AO890" s="1544"/>
      <c r="AP890" s="1544"/>
    </row>
    <row r="891" spans="1:42" s="1818" customFormat="1" ht="23.25" customHeight="1">
      <c r="A891" s="1284"/>
      <c r="B891" s="1284"/>
      <c r="C891" s="1284" t="s">
        <v>609</v>
      </c>
      <c r="D891" s="1284"/>
      <c r="E891" s="8884" t="s">
        <v>599</v>
      </c>
      <c r="F891" s="8884"/>
      <c r="G891" s="8883">
        <v>1</v>
      </c>
      <c r="H891" s="1284"/>
      <c r="I891" s="1284"/>
      <c r="J891" s="1284"/>
      <c r="K891" s="1284"/>
      <c r="L891" s="1290"/>
      <c r="M891" s="1286"/>
      <c r="N891" s="1286"/>
      <c r="O891" s="1286"/>
      <c r="P891" s="275"/>
      <c r="Q891" s="273"/>
      <c r="R891" s="274"/>
      <c r="S891" s="1810" t="str">
        <f>INDEX(PT_DIFFERENTIATION_NUM_CS,MATCH(C891,PT_DIFFERENTIATION_CS_ID,0))</f>
        <v>54.1.1</v>
      </c>
      <c r="T891" s="225" t="s">
        <v>943</v>
      </c>
      <c r="U891" s="214"/>
      <c r="V891" s="8869"/>
      <c r="W891" s="8870"/>
      <c r="X891" s="8870"/>
      <c r="Y891" s="8870"/>
      <c r="Z891" s="8870"/>
      <c r="AA891" s="8870"/>
      <c r="AB891" s="8871"/>
      <c r="AC891" s="8869" t="str">
        <f>INDEX(PT_DIFFERENTIATION_CS,MATCH(C891,PT_DIFFERENTIATION_CS_ID,0))</f>
        <v>без дифференциации</v>
      </c>
      <c r="AD891" s="8870"/>
      <c r="AE891" s="8870"/>
      <c r="AF891" s="8870"/>
      <c r="AG891" s="8870"/>
      <c r="AH891" s="8870"/>
      <c r="AI891" s="8870"/>
      <c r="AJ891" s="8871"/>
      <c r="AK891" s="1182" t="s">
        <v>944</v>
      </c>
      <c r="AL891" s="1562"/>
      <c r="AM891" s="1544"/>
      <c r="AN891" s="1544" t="str">
        <f t="shared" si="14"/>
        <v>Наименование централизованной системы холодного водоснабжения</v>
      </c>
      <c r="AO891" s="1544"/>
      <c r="AP891" s="1544"/>
    </row>
    <row r="892" spans="1:42" s="1818" customFormat="1" ht="23.25" customHeight="1">
      <c r="A892" s="1284"/>
      <c r="B892" s="1284"/>
      <c r="C892" s="1284"/>
      <c r="D892" s="1284"/>
      <c r="E892" s="8884" t="s">
        <v>599</v>
      </c>
      <c r="F892" s="8884"/>
      <c r="G892" s="8884"/>
      <c r="H892" s="8884"/>
      <c r="I892" s="8881" t="str">
        <f>S891&amp;".1"</f>
        <v>54.1.1.1</v>
      </c>
      <c r="J892" s="1284"/>
      <c r="K892" s="1284"/>
      <c r="L892" s="1290"/>
      <c r="M892" s="1696"/>
      <c r="N892" s="1696"/>
      <c r="O892" s="1696"/>
      <c r="P892" s="8882">
        <v>1</v>
      </c>
      <c r="Q892" s="1811"/>
      <c r="R892" s="277"/>
      <c r="S892" s="1810" t="str">
        <f>$I892</f>
        <v>54.1.1.1</v>
      </c>
      <c r="T892" s="200" t="s">
        <v>945</v>
      </c>
      <c r="U892" s="214"/>
      <c r="V892" s="8942"/>
      <c r="W892" s="8943"/>
      <c r="X892" s="8943"/>
      <c r="Y892" s="8943"/>
      <c r="Z892" s="8943"/>
      <c r="AA892" s="8943"/>
      <c r="AB892" s="8944"/>
      <c r="AC892" s="8945"/>
      <c r="AD892" s="8946"/>
      <c r="AE892" s="8946"/>
      <c r="AF892" s="8946"/>
      <c r="AG892" s="8946"/>
      <c r="AH892" s="8946"/>
      <c r="AI892" s="8946"/>
      <c r="AJ892" s="8947"/>
      <c r="AK892" s="1182" t="s">
        <v>946</v>
      </c>
      <c r="AL892" s="1562"/>
      <c r="AM892" s="1544"/>
      <c r="AN892" s="1544" t="str">
        <f t="shared" si="14"/>
        <v>Наименование признака дифференциации</v>
      </c>
      <c r="AO892" s="1544"/>
      <c r="AP892" s="1544"/>
    </row>
    <row r="893" spans="1:42" s="1818" customFormat="1" ht="23.25" customHeight="1">
      <c r="A893" s="1284"/>
      <c r="B893" s="1284"/>
      <c r="C893" s="1284"/>
      <c r="D893" s="1284"/>
      <c r="E893" s="8884" t="s">
        <v>599</v>
      </c>
      <c r="F893" s="8884"/>
      <c r="G893" s="8884"/>
      <c r="H893" s="8884"/>
      <c r="I893" s="8904"/>
      <c r="J893" s="8881" t="str">
        <f>I892&amp;".1"</f>
        <v>54.1.1.1.1</v>
      </c>
      <c r="K893" s="1284"/>
      <c r="L893" s="1290" t="s">
        <v>871</v>
      </c>
      <c r="M893" s="1696"/>
      <c r="N893" s="1696"/>
      <c r="O893" s="1696"/>
      <c r="P893" s="8882"/>
      <c r="Q893" s="8882">
        <v>1</v>
      </c>
      <c r="R893" s="278"/>
      <c r="S893" s="1810" t="str">
        <f>$J893</f>
        <v>54.1.1.1.1</v>
      </c>
      <c r="T893" s="201" t="s">
        <v>872</v>
      </c>
      <c r="U893" s="214"/>
      <c r="V893" s="8872"/>
      <c r="W893" s="8873"/>
      <c r="X893" s="8873"/>
      <c r="Y893" s="8873"/>
      <c r="Z893" s="8873"/>
      <c r="AA893" s="8873"/>
      <c r="AB893" s="8874"/>
      <c r="AC893" s="8872" t="s">
        <v>961</v>
      </c>
      <c r="AD893" s="8873"/>
      <c r="AE893" s="8873"/>
      <c r="AF893" s="8873"/>
      <c r="AG893" s="8873"/>
      <c r="AH893" s="8873"/>
      <c r="AI893" s="8873"/>
      <c r="AJ893" s="8874"/>
      <c r="AK893" s="1231" t="s">
        <v>947</v>
      </c>
      <c r="AL893" s="1562"/>
      <c r="AM893" s="1544"/>
      <c r="AN893" s="1544" t="str">
        <f t="shared" si="14"/>
        <v>Группа потребителей</v>
      </c>
      <c r="AO893" s="1544"/>
      <c r="AP893" s="1544"/>
    </row>
    <row r="894" spans="1:42" s="1818" customFormat="1" ht="23.25" customHeight="1">
      <c r="A894" s="1284"/>
      <c r="B894" s="1284"/>
      <c r="C894" s="1284"/>
      <c r="D894" s="1284"/>
      <c r="E894" s="8884" t="s">
        <v>599</v>
      </c>
      <c r="F894" s="8884"/>
      <c r="G894" s="8884"/>
      <c r="H894" s="8884"/>
      <c r="I894" s="8904"/>
      <c r="J894" s="8904"/>
      <c r="K894" s="8881" t="str">
        <f>J893&amp;".1"</f>
        <v>54.1.1.1.1.1</v>
      </c>
      <c r="L894" s="1290"/>
      <c r="M894" s="1696"/>
      <c r="N894" s="1696"/>
      <c r="O894" s="1696"/>
      <c r="P894" s="8882"/>
      <c r="Q894" s="8882"/>
      <c r="R894" s="278">
        <v>1</v>
      </c>
      <c r="S894" s="1810" t="str">
        <f>$K894</f>
        <v>54.1.1.1.1.1</v>
      </c>
      <c r="T894" s="1357" t="s">
        <v>962</v>
      </c>
      <c r="U894" s="214"/>
      <c r="V894" s="666"/>
      <c r="W894" s="666"/>
      <c r="X894" s="1181"/>
      <c r="Y894" s="8886"/>
      <c r="Z894" s="8734" t="s">
        <v>63</v>
      </c>
      <c r="AA894" s="8886"/>
      <c r="AB894" s="8734" t="s">
        <v>63</v>
      </c>
      <c r="AC894" s="666">
        <v>344.29</v>
      </c>
      <c r="AD894" s="666"/>
      <c r="AE894" s="1181"/>
      <c r="AF894" s="8886">
        <v>45292</v>
      </c>
      <c r="AG894" s="8734" t="s">
        <v>63</v>
      </c>
      <c r="AH894" s="8905">
        <v>45657</v>
      </c>
      <c r="AI894" s="8734" t="s">
        <v>63</v>
      </c>
      <c r="AJ894" s="1358"/>
      <c r="AK89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94" s="1562" t="e">
        <f ca="1">STRCHECKDATE(V895:AJ895)</f>
        <v>#NAME?</v>
      </c>
      <c r="AM894" s="1544"/>
      <c r="AN894" s="1544" t="str">
        <f t="shared" si="14"/>
        <v>Тариф для населения, руб. за 1 куб. метр с НДС</v>
      </c>
      <c r="AO894" s="1544"/>
      <c r="AP894" s="1544"/>
    </row>
    <row r="895" spans="1:42" s="1818" customFormat="1" ht="14.25" customHeight="1">
      <c r="A895" s="1284"/>
      <c r="B895" s="1284"/>
      <c r="C895" s="1284"/>
      <c r="D895" s="1284"/>
      <c r="E895" s="8884" t="s">
        <v>599</v>
      </c>
      <c r="F895" s="8884"/>
      <c r="G895" s="8884"/>
      <c r="H895" s="8884"/>
      <c r="I895" s="8904"/>
      <c r="J895" s="8904"/>
      <c r="K895" s="8881"/>
      <c r="L895" s="1290"/>
      <c r="M895" s="1696"/>
      <c r="N895" s="1696"/>
      <c r="O895" s="1696"/>
      <c r="P895" s="8882"/>
      <c r="Q895" s="8882"/>
      <c r="R895" s="278"/>
      <c r="S895" s="1815"/>
      <c r="T895" s="214"/>
      <c r="U895" s="214"/>
      <c r="V895" s="246"/>
      <c r="W895" s="246"/>
      <c r="X895" s="250" t="str">
        <f>Y894&amp;"-"&amp;AA894</f>
        <v>-</v>
      </c>
      <c r="Y895" s="8887"/>
      <c r="Z895" s="8734"/>
      <c r="AA895" s="8887"/>
      <c r="AB895" s="8734"/>
      <c r="AC895" s="246"/>
      <c r="AD895" s="246"/>
      <c r="AE895" s="250" t="str">
        <f>AF894&amp;"-"&amp;AH894</f>
        <v>45292-45657</v>
      </c>
      <c r="AF895" s="8887"/>
      <c r="AG895" s="8734"/>
      <c r="AH895" s="8906"/>
      <c r="AI895" s="8734"/>
      <c r="AJ895" s="1359"/>
      <c r="AK895" s="8941"/>
      <c r="AL895" s="1562"/>
      <c r="AM895" s="1544"/>
      <c r="AN895" s="1544" t="str">
        <f t="shared" si="14"/>
        <v/>
      </c>
      <c r="AO895" s="1544"/>
      <c r="AP895" s="1544"/>
    </row>
    <row r="896" spans="1:42" s="1818" customFormat="1" ht="21" customHeight="1">
      <c r="A896" s="1284"/>
      <c r="B896" s="1284"/>
      <c r="C896" s="1284"/>
      <c r="D896" s="1284"/>
      <c r="E896" s="8884" t="s">
        <v>599</v>
      </c>
      <c r="F896" s="8884"/>
      <c r="G896" s="8884"/>
      <c r="H896" s="8884"/>
      <c r="I896" s="8904"/>
      <c r="J896" s="8881"/>
      <c r="K896" s="1284"/>
      <c r="L896" s="1290"/>
      <c r="M896" s="1696"/>
      <c r="N896" s="1696"/>
      <c r="O896" s="1696"/>
      <c r="P896" s="8882"/>
      <c r="Q896" s="8882"/>
      <c r="R896" s="277"/>
      <c r="S896" s="5721"/>
      <c r="T896" s="5722" t="s">
        <v>948</v>
      </c>
      <c r="U896" s="5723"/>
      <c r="V896" s="5724"/>
      <c r="W896" s="5725"/>
      <c r="X896" s="5726"/>
      <c r="Y896" s="5727"/>
      <c r="Z896" s="5728"/>
      <c r="AA896" s="5729"/>
      <c r="AB896" s="5730"/>
      <c r="AC896" s="5731"/>
      <c r="AD896" s="5732"/>
      <c r="AE896" s="5733"/>
      <c r="AF896" s="5734"/>
      <c r="AG896" s="5735"/>
      <c r="AH896" s="5736"/>
      <c r="AI896" s="5737"/>
      <c r="AJ896" s="5738"/>
      <c r="AK896" s="1182" t="s">
        <v>949</v>
      </c>
      <c r="AL896" s="1562"/>
      <c r="AM896" s="1544"/>
      <c r="AN896" s="1544" t="str">
        <f t="shared" si="14"/>
        <v>Добавить значение признака дифференциации</v>
      </c>
      <c r="AO896" s="1544"/>
      <c r="AP896" s="1544"/>
    </row>
    <row r="897" spans="1:42" s="1818" customFormat="1" ht="23.25" customHeight="1">
      <c r="A897" s="1284"/>
      <c r="B897" s="1284"/>
      <c r="C897" s="1284"/>
      <c r="D897" s="1284"/>
      <c r="E897" s="8884"/>
      <c r="F897" s="8884"/>
      <c r="G897" s="8884"/>
      <c r="H897" s="8884"/>
      <c r="I897" s="8904"/>
      <c r="J897" s="8881" t="str">
        <f>I892&amp;".2"</f>
        <v>54.1.1.1.2</v>
      </c>
      <c r="K897" s="1284"/>
      <c r="L897" s="1290" t="s">
        <v>871</v>
      </c>
      <c r="M897" s="1696"/>
      <c r="N897" s="1696"/>
      <c r="O897" s="1696"/>
      <c r="P897" s="8882"/>
      <c r="Q897" s="8948" t="s">
        <v>100</v>
      </c>
      <c r="R897" s="278"/>
      <c r="S897" s="1810" t="str">
        <f>$J897</f>
        <v>54.1.1.1.2</v>
      </c>
      <c r="T897" s="201" t="s">
        <v>872</v>
      </c>
      <c r="U897" s="214"/>
      <c r="V897" s="8872"/>
      <c r="W897" s="8873"/>
      <c r="X897" s="8873"/>
      <c r="Y897" s="8873"/>
      <c r="Z897" s="8873"/>
      <c r="AA897" s="8873"/>
      <c r="AB897" s="8874"/>
      <c r="AC897" s="8872" t="s">
        <v>963</v>
      </c>
      <c r="AD897" s="8873"/>
      <c r="AE897" s="8873"/>
      <c r="AF897" s="8873"/>
      <c r="AG897" s="8873"/>
      <c r="AH897" s="8873"/>
      <c r="AI897" s="8873"/>
      <c r="AJ897" s="8874"/>
      <c r="AK897" s="1231" t="s">
        <v>947</v>
      </c>
      <c r="AL897" s="1562"/>
      <c r="AM897" s="1544"/>
      <c r="AN897" s="1544" t="str">
        <f t="shared" si="14"/>
        <v>Группа потребителей</v>
      </c>
      <c r="AO897" s="1544"/>
      <c r="AP897" s="1544"/>
    </row>
    <row r="898" spans="1:42" s="1818" customFormat="1" ht="23.25" customHeight="1">
      <c r="A898" s="1284"/>
      <c r="B898" s="1284"/>
      <c r="C898" s="1284"/>
      <c r="D898" s="1284"/>
      <c r="E898" s="8884"/>
      <c r="F898" s="8884"/>
      <c r="G898" s="8884"/>
      <c r="H898" s="8884"/>
      <c r="I898" s="8904"/>
      <c r="J898" s="8904" t="str">
        <f>I892&amp;".1"</f>
        <v>54.1.1.1.1</v>
      </c>
      <c r="K898" s="8881" t="str">
        <f>J897&amp;".1"</f>
        <v>54.1.1.1.2.1</v>
      </c>
      <c r="L898" s="1290"/>
      <c r="M898" s="1696"/>
      <c r="N898" s="1696"/>
      <c r="O898" s="1696"/>
      <c r="P898" s="8882"/>
      <c r="Q898" s="8882"/>
      <c r="R898" s="278">
        <v>1</v>
      </c>
      <c r="S898" s="1810" t="str">
        <f>$K898</f>
        <v>54.1.1.1.2.1</v>
      </c>
      <c r="T898" s="1357" t="s">
        <v>964</v>
      </c>
      <c r="U898" s="214"/>
      <c r="V898" s="666"/>
      <c r="W898" s="666"/>
      <c r="X898" s="1181"/>
      <c r="Y898" s="8886"/>
      <c r="Z898" s="8734" t="s">
        <v>63</v>
      </c>
      <c r="AA898" s="8886"/>
      <c r="AB898" s="8734" t="s">
        <v>63</v>
      </c>
      <c r="AC898" s="666">
        <v>286.91000000000003</v>
      </c>
      <c r="AD898" s="666"/>
      <c r="AE898" s="1181"/>
      <c r="AF898" s="8886">
        <v>45292</v>
      </c>
      <c r="AG898" s="8734" t="s">
        <v>63</v>
      </c>
      <c r="AH898" s="8905">
        <v>45657</v>
      </c>
      <c r="AI898" s="8734" t="s">
        <v>63</v>
      </c>
      <c r="AJ898" s="1358"/>
      <c r="AK89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98" s="1562" t="e">
        <f ca="1">STRCHECKDATE(V899:AJ899)</f>
        <v>#NAME?</v>
      </c>
      <c r="AM898" s="1544"/>
      <c r="AN898" s="1544" t="str">
        <f t="shared" si="14"/>
        <v>Тариф, руб. за 1 куб. метр без НДС</v>
      </c>
      <c r="AO898" s="1544"/>
      <c r="AP898" s="1544"/>
    </row>
    <row r="899" spans="1:42" s="1818" customFormat="1" ht="14.25" customHeight="1">
      <c r="A899" s="1284"/>
      <c r="B899" s="1284"/>
      <c r="C899" s="1284"/>
      <c r="D899" s="1284"/>
      <c r="E899" s="8884"/>
      <c r="F899" s="8884"/>
      <c r="G899" s="8884"/>
      <c r="H899" s="8884"/>
      <c r="I899" s="8904"/>
      <c r="J899" s="8904" t="str">
        <f>I892&amp;".1"</f>
        <v>54.1.1.1.1</v>
      </c>
      <c r="K899" s="8881"/>
      <c r="L899" s="1290"/>
      <c r="M899" s="1696"/>
      <c r="N899" s="1696"/>
      <c r="O899" s="1696"/>
      <c r="P899" s="8882"/>
      <c r="Q899" s="8882"/>
      <c r="R899" s="278"/>
      <c r="S899" s="1815"/>
      <c r="T899" s="214"/>
      <c r="U899" s="214"/>
      <c r="V899" s="246"/>
      <c r="W899" s="246"/>
      <c r="X899" s="250" t="str">
        <f>Y898&amp;"-"&amp;AA898</f>
        <v>-</v>
      </c>
      <c r="Y899" s="8887"/>
      <c r="Z899" s="8734"/>
      <c r="AA899" s="8887"/>
      <c r="AB899" s="8734"/>
      <c r="AC899" s="246"/>
      <c r="AD899" s="246"/>
      <c r="AE899" s="250" t="str">
        <f>AF898&amp;"-"&amp;AH898</f>
        <v>45292-45657</v>
      </c>
      <c r="AF899" s="8887"/>
      <c r="AG899" s="8734"/>
      <c r="AH899" s="8906"/>
      <c r="AI899" s="8734"/>
      <c r="AJ899" s="1359"/>
      <c r="AK899" s="8941"/>
      <c r="AL899" s="1562"/>
      <c r="AM899" s="1544"/>
      <c r="AN899" s="1544" t="str">
        <f t="shared" si="14"/>
        <v/>
      </c>
      <c r="AO899" s="1544"/>
      <c r="AP899" s="1544"/>
    </row>
    <row r="900" spans="1:42" s="1818" customFormat="1" ht="21" customHeight="1">
      <c r="A900" s="1284"/>
      <c r="B900" s="1284"/>
      <c r="C900" s="1284"/>
      <c r="D900" s="1284"/>
      <c r="E900" s="8884"/>
      <c r="F900" s="8884"/>
      <c r="G900" s="8884"/>
      <c r="H900" s="8884"/>
      <c r="I900" s="8904"/>
      <c r="J900" s="8881" t="str">
        <f>I892&amp;".1"</f>
        <v>54.1.1.1.1</v>
      </c>
      <c r="K900" s="1284"/>
      <c r="L900" s="1290"/>
      <c r="M900" s="1696"/>
      <c r="N900" s="1696"/>
      <c r="O900" s="1696"/>
      <c r="P900" s="8882"/>
      <c r="Q900" s="8882"/>
      <c r="R900" s="277"/>
      <c r="S900" s="5739"/>
      <c r="T900" s="5740" t="s">
        <v>948</v>
      </c>
      <c r="U900" s="5741"/>
      <c r="V900" s="5742"/>
      <c r="W900" s="5743"/>
      <c r="X900" s="5744"/>
      <c r="Y900" s="5745"/>
      <c r="Z900" s="5746"/>
      <c r="AA900" s="5747"/>
      <c r="AB900" s="5748"/>
      <c r="AC900" s="5749"/>
      <c r="AD900" s="5750"/>
      <c r="AE900" s="5751"/>
      <c r="AF900" s="5752"/>
      <c r="AG900" s="5753"/>
      <c r="AH900" s="5754"/>
      <c r="AI900" s="5755"/>
      <c r="AJ900" s="5756"/>
      <c r="AK900" s="1182" t="s">
        <v>949</v>
      </c>
      <c r="AL900" s="1562"/>
      <c r="AM900" s="1544"/>
      <c r="AN900" s="1544" t="str">
        <f t="shared" si="14"/>
        <v>Добавить значение признака дифференциации</v>
      </c>
      <c r="AO900" s="1544"/>
      <c r="AP900" s="1544"/>
    </row>
    <row r="901" spans="1:42" s="1818" customFormat="1" ht="21" customHeight="1">
      <c r="A901" s="1284"/>
      <c r="B901" s="1284"/>
      <c r="C901" s="1284"/>
      <c r="D901" s="1284"/>
      <c r="E901" s="8884" t="s">
        <v>599</v>
      </c>
      <c r="F901" s="8884"/>
      <c r="G901" s="8884"/>
      <c r="H901" s="8884"/>
      <c r="I901" s="8881"/>
      <c r="J901" s="1284"/>
      <c r="K901" s="1284"/>
      <c r="L901" s="1290"/>
      <c r="M901" s="1696"/>
      <c r="N901" s="1696"/>
      <c r="O901" s="1696"/>
      <c r="P901" s="8882"/>
      <c r="Q901" s="1811"/>
      <c r="R901" s="277"/>
      <c r="S901" s="5757"/>
      <c r="T901" s="5758" t="s">
        <v>877</v>
      </c>
      <c r="U901" s="5759"/>
      <c r="V901" s="5760"/>
      <c r="W901" s="5761"/>
      <c r="X901" s="5762"/>
      <c r="Y901" s="5763"/>
      <c r="Z901" s="5764"/>
      <c r="AA901" s="5765"/>
      <c r="AB901" s="5766"/>
      <c r="AC901" s="5767"/>
      <c r="AD901" s="5768"/>
      <c r="AE901" s="5769"/>
      <c r="AF901" s="5770"/>
      <c r="AG901" s="5771"/>
      <c r="AH901" s="5772"/>
      <c r="AI901" s="5773"/>
      <c r="AJ901" s="5774"/>
      <c r="AK901" s="5775"/>
      <c r="AL901" s="1562"/>
      <c r="AM901" s="1544"/>
      <c r="AN901" s="1544" t="str">
        <f t="shared" si="14"/>
        <v>Добавить группу потребителей</v>
      </c>
      <c r="AO901" s="1544"/>
      <c r="AP901" s="1544"/>
    </row>
    <row r="902" spans="1:42" s="1818" customFormat="1" ht="21" customHeight="1">
      <c r="A902" s="1284"/>
      <c r="B902" s="1284"/>
      <c r="C902" s="1284"/>
      <c r="D902" s="1284"/>
      <c r="E902" s="8884" t="s">
        <v>599</v>
      </c>
      <c r="F902" s="8884"/>
      <c r="G902" s="8884"/>
      <c r="H902" s="8883"/>
      <c r="I902" s="1284"/>
      <c r="J902" s="1284"/>
      <c r="K902" s="1284"/>
      <c r="L902" s="1290"/>
      <c r="M902" s="1286"/>
      <c r="N902" s="1286"/>
      <c r="O902" s="1287"/>
      <c r="P902" s="1742"/>
      <c r="Q902" s="299"/>
      <c r="R902" s="276"/>
      <c r="S902" s="5776"/>
      <c r="T902" s="5777" t="s">
        <v>950</v>
      </c>
      <c r="U902" s="5778"/>
      <c r="V902" s="5779"/>
      <c r="W902" s="5780"/>
      <c r="X902" s="5781"/>
      <c r="Y902" s="5782"/>
      <c r="Z902" s="5783"/>
      <c r="AA902" s="5784"/>
      <c r="AB902" s="5785"/>
      <c r="AC902" s="5786"/>
      <c r="AD902" s="5787"/>
      <c r="AE902" s="5788"/>
      <c r="AF902" s="5789"/>
      <c r="AG902" s="5790"/>
      <c r="AH902" s="5791"/>
      <c r="AI902" s="5792"/>
      <c r="AJ902" s="5793"/>
      <c r="AK902" s="5794"/>
      <c r="AL902" s="1562"/>
      <c r="AM902" s="1544"/>
      <c r="AN902" s="1544" t="str">
        <f t="shared" si="14"/>
        <v>Добавить наименование признака дифференциации</v>
      </c>
      <c r="AO902" s="1544"/>
      <c r="AP902" s="1544"/>
    </row>
    <row r="903" spans="1:42" s="541" customFormat="1" ht="14.25" customHeight="1">
      <c r="A903" s="1265"/>
      <c r="B903" s="1265"/>
      <c r="C903" s="1265"/>
      <c r="D903" s="1265"/>
      <c r="E903" s="8884" t="s">
        <v>599</v>
      </c>
      <c r="F903" s="8883"/>
      <c r="G903" s="1265"/>
      <c r="H903" s="1265"/>
      <c r="I903" s="1265"/>
      <c r="J903" s="1265"/>
      <c r="K903" s="1265"/>
      <c r="L903" s="1466"/>
      <c r="M903" s="1244"/>
      <c r="N903" s="1244"/>
      <c r="O903" s="1562"/>
      <c r="P903" s="1239"/>
      <c r="Q903" s="1266"/>
      <c r="R903" s="1239"/>
      <c r="S903" s="1245"/>
      <c r="T903" s="1248" t="s">
        <v>314</v>
      </c>
      <c r="U903" s="1247"/>
      <c r="V903" s="1247"/>
      <c r="W903" s="1247"/>
      <c r="X903" s="1247"/>
      <c r="Y903" s="1247"/>
      <c r="Z903" s="1247"/>
      <c r="AA903" s="1247"/>
      <c r="AB903" s="1247"/>
      <c r="AC903" s="1247"/>
      <c r="AD903" s="1247"/>
      <c r="AE903" s="1247"/>
      <c r="AF903" s="1247"/>
      <c r="AG903" s="1247"/>
      <c r="AH903" s="1247"/>
      <c r="AI903" s="1247"/>
      <c r="AJ903" s="1247"/>
      <c r="AK903" s="1247"/>
      <c r="AL903" s="1562"/>
      <c r="AM903" s="1544"/>
      <c r="AN903" s="1544" t="str">
        <f t="shared" si="14"/>
        <v>Добавить централизованную систему для дифференциации</v>
      </c>
      <c r="AO903" s="1544"/>
      <c r="AP903" s="1544"/>
    </row>
    <row r="904" spans="1:42" s="541" customFormat="1" ht="14.25" customHeight="1">
      <c r="A904" s="1265"/>
      <c r="B904" s="1265"/>
      <c r="C904" s="1265"/>
      <c r="D904" s="1265"/>
      <c r="E904" s="8883" t="s">
        <v>599</v>
      </c>
      <c r="F904" s="1265"/>
      <c r="G904" s="1265"/>
      <c r="H904" s="1265"/>
      <c r="I904" s="1265"/>
      <c r="J904" s="1265"/>
      <c r="K904" s="1265"/>
      <c r="L904" s="1466"/>
      <c r="M904" s="1244"/>
      <c r="N904" s="1244"/>
      <c r="O904" s="1562"/>
      <c r="P904" s="1239"/>
      <c r="Q904" s="1266"/>
      <c r="R904" s="1239"/>
      <c r="S904" s="1245"/>
      <c r="T904" s="1248" t="s">
        <v>315</v>
      </c>
      <c r="U904" s="1247"/>
      <c r="V904" s="1247"/>
      <c r="W904" s="1247"/>
      <c r="X904" s="1247"/>
      <c r="Y904" s="1247"/>
      <c r="Z904" s="1247"/>
      <c r="AA904" s="1247"/>
      <c r="AB904" s="1247"/>
      <c r="AC904" s="1247"/>
      <c r="AD904" s="1247"/>
      <c r="AE904" s="1247"/>
      <c r="AF904" s="1247"/>
      <c r="AG904" s="1247"/>
      <c r="AH904" s="1247"/>
      <c r="AI904" s="1247"/>
      <c r="AJ904" s="1247"/>
      <c r="AK904" s="1247"/>
      <c r="AL904" s="1562"/>
      <c r="AM904" s="1544"/>
      <c r="AN904" s="1544" t="str">
        <f t="shared" si="14"/>
        <v>Добавить территорию для дифференциации</v>
      </c>
      <c r="AO904" s="1544"/>
      <c r="AP904" s="1544"/>
    </row>
    <row r="905" spans="1:42" s="1818" customFormat="1" ht="23.25" customHeight="1">
      <c r="A905" s="1284" t="s">
        <v>613</v>
      </c>
      <c r="B905" s="1284"/>
      <c r="C905" s="1284"/>
      <c r="D905" s="1284"/>
      <c r="E905" s="8883" t="s">
        <v>611</v>
      </c>
      <c r="F905" s="1284"/>
      <c r="G905" s="1284"/>
      <c r="H905" s="1284"/>
      <c r="I905" s="1284"/>
      <c r="J905" s="1284"/>
      <c r="K905" s="1284"/>
      <c r="L905" s="1290"/>
      <c r="M905" s="1286"/>
      <c r="N905" s="1286"/>
      <c r="O905" s="1286"/>
      <c r="P905" s="1812"/>
      <c r="Q905" s="1742"/>
      <c r="R905" s="276"/>
      <c r="S905" s="1810" t="str">
        <f>INDEX(PT_DIFFERENTIATION_NUM_NTAR,MATCH(A905,PT_DIFFERENTIATION_NTAR_ID,0))</f>
        <v>55</v>
      </c>
      <c r="T905" s="1440" t="s">
        <v>211</v>
      </c>
      <c r="U905" s="214"/>
      <c r="V905" s="8869"/>
      <c r="W905" s="8870"/>
      <c r="X905" s="8870"/>
      <c r="Y905" s="8870"/>
      <c r="Z905" s="8870"/>
      <c r="AA905" s="8870"/>
      <c r="AB905" s="8871"/>
      <c r="AC905" s="8869" t="str">
        <f>INDEX(PT_DIFFERENTIATION_NTAR,MATCH(A905,PT_DIFFERENTIATION_NTAR_ID,0))</f>
        <v>Подвоз воды потребителям хутора Вавилон</v>
      </c>
      <c r="AD905" s="8870"/>
      <c r="AE905" s="8870"/>
      <c r="AF905" s="8870"/>
      <c r="AG905" s="8870"/>
      <c r="AH905" s="8870"/>
      <c r="AI905" s="8870"/>
      <c r="AJ905" s="8871"/>
      <c r="AK90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905" s="1562"/>
      <c r="AM905" s="1544"/>
      <c r="AN905" s="1544" t="str">
        <f t="shared" si="14"/>
        <v>Наименование тарифа</v>
      </c>
      <c r="AO905" s="1544"/>
      <c r="AP905" s="1544"/>
    </row>
    <row r="906" spans="1:42" s="1818" customFormat="1" ht="23.25" customHeight="1">
      <c r="A906" s="1284"/>
      <c r="B906" s="1284" t="s">
        <v>614</v>
      </c>
      <c r="C906" s="1284"/>
      <c r="D906" s="1284"/>
      <c r="E906" s="8884" t="s">
        <v>605</v>
      </c>
      <c r="F906" s="8883">
        <v>1</v>
      </c>
      <c r="G906" s="1284"/>
      <c r="H906" s="1284"/>
      <c r="I906" s="1284"/>
      <c r="J906" s="1284"/>
      <c r="K906" s="1284"/>
      <c r="L906" s="1290"/>
      <c r="M906" s="1286"/>
      <c r="N906" s="1286"/>
      <c r="O906" s="1286"/>
      <c r="P906" s="1807"/>
      <c r="Q906" s="273"/>
      <c r="R906" s="274"/>
      <c r="S906" s="1810" t="str">
        <f>INDEX(PT_DIFFERENTIATION_NUM_TER,MATCH(B906,PT_DIFFERENTIATION_TER_ID,0))</f>
        <v>55.1</v>
      </c>
      <c r="T906" s="1437" t="s">
        <v>862</v>
      </c>
      <c r="U906" s="214"/>
      <c r="V906" s="8869"/>
      <c r="W906" s="8870"/>
      <c r="X906" s="8870"/>
      <c r="Y906" s="8870"/>
      <c r="Z906" s="8870"/>
      <c r="AA906" s="8870"/>
      <c r="AB906" s="8871"/>
      <c r="AC906" s="8869" t="str">
        <f>INDEX(PT_DIFFERENTIATION_TER,MATCH(B906,PT_DIFFERENTIATION_TER_ID,0))</f>
        <v>Территория 15</v>
      </c>
      <c r="AD906" s="8870"/>
      <c r="AE906" s="8870"/>
      <c r="AF906" s="8870"/>
      <c r="AG906" s="8870"/>
      <c r="AH906" s="8870"/>
      <c r="AI906" s="8870"/>
      <c r="AJ906" s="8871"/>
      <c r="AK906" s="1182" t="s">
        <v>863</v>
      </c>
      <c r="AL906" s="1562"/>
      <c r="AM906" s="1544"/>
      <c r="AN906" s="1544" t="str">
        <f t="shared" si="14"/>
        <v>Территория действия тарифа</v>
      </c>
      <c r="AO906" s="1544"/>
      <c r="AP906" s="1544"/>
    </row>
    <row r="907" spans="1:42" s="1818" customFormat="1" ht="23.25" customHeight="1">
      <c r="A907" s="1284"/>
      <c r="B907" s="1284"/>
      <c r="C907" s="1284" t="s">
        <v>615</v>
      </c>
      <c r="D907" s="1284"/>
      <c r="E907" s="8884" t="s">
        <v>605</v>
      </c>
      <c r="F907" s="8884"/>
      <c r="G907" s="8883">
        <v>1</v>
      </c>
      <c r="H907" s="1284"/>
      <c r="I907" s="1284"/>
      <c r="J907" s="1284"/>
      <c r="K907" s="1284"/>
      <c r="L907" s="1290"/>
      <c r="M907" s="1286"/>
      <c r="N907" s="1286"/>
      <c r="O907" s="1286"/>
      <c r="P907" s="275"/>
      <c r="Q907" s="273"/>
      <c r="R907" s="274"/>
      <c r="S907" s="1810" t="str">
        <f>INDEX(PT_DIFFERENTIATION_NUM_CS,MATCH(C907,PT_DIFFERENTIATION_CS_ID,0))</f>
        <v>55.1.1</v>
      </c>
      <c r="T907" s="225" t="s">
        <v>943</v>
      </c>
      <c r="U907" s="214"/>
      <c r="V907" s="8869"/>
      <c r="W907" s="8870"/>
      <c r="X907" s="8870"/>
      <c r="Y907" s="8870"/>
      <c r="Z907" s="8870"/>
      <c r="AA907" s="8870"/>
      <c r="AB907" s="8871"/>
      <c r="AC907" s="8869" t="str">
        <f>INDEX(PT_DIFFERENTIATION_CS,MATCH(C907,PT_DIFFERENTIATION_CS_ID,0))</f>
        <v>без дифференциации</v>
      </c>
      <c r="AD907" s="8870"/>
      <c r="AE907" s="8870"/>
      <c r="AF907" s="8870"/>
      <c r="AG907" s="8870"/>
      <c r="AH907" s="8870"/>
      <c r="AI907" s="8870"/>
      <c r="AJ907" s="8871"/>
      <c r="AK907" s="1182" t="s">
        <v>944</v>
      </c>
      <c r="AL907" s="1562"/>
      <c r="AM907" s="1544"/>
      <c r="AN907" s="1544" t="str">
        <f t="shared" si="14"/>
        <v>Наименование централизованной системы холодного водоснабжения</v>
      </c>
      <c r="AO907" s="1544"/>
      <c r="AP907" s="1544"/>
    </row>
    <row r="908" spans="1:42" s="1818" customFormat="1" ht="23.25" customHeight="1">
      <c r="A908" s="1284"/>
      <c r="B908" s="1284"/>
      <c r="C908" s="1284"/>
      <c r="D908" s="1284"/>
      <c r="E908" s="8884" t="s">
        <v>605</v>
      </c>
      <c r="F908" s="8884"/>
      <c r="G908" s="8884"/>
      <c r="H908" s="8884"/>
      <c r="I908" s="8881" t="str">
        <f>S907&amp;".1"</f>
        <v>55.1.1.1</v>
      </c>
      <c r="J908" s="1284"/>
      <c r="K908" s="1284"/>
      <c r="L908" s="1290"/>
      <c r="M908" s="1696"/>
      <c r="N908" s="1696"/>
      <c r="O908" s="1696"/>
      <c r="P908" s="8882">
        <v>1</v>
      </c>
      <c r="Q908" s="1811"/>
      <c r="R908" s="277"/>
      <c r="S908" s="1810" t="str">
        <f>$I908</f>
        <v>55.1.1.1</v>
      </c>
      <c r="T908" s="200" t="s">
        <v>945</v>
      </c>
      <c r="U908" s="214"/>
      <c r="V908" s="8942"/>
      <c r="W908" s="8943"/>
      <c r="X908" s="8943"/>
      <c r="Y908" s="8943"/>
      <c r="Z908" s="8943"/>
      <c r="AA908" s="8943"/>
      <c r="AB908" s="8944"/>
      <c r="AC908" s="8945"/>
      <c r="AD908" s="8946"/>
      <c r="AE908" s="8946"/>
      <c r="AF908" s="8946"/>
      <c r="AG908" s="8946"/>
      <c r="AH908" s="8946"/>
      <c r="AI908" s="8946"/>
      <c r="AJ908" s="8947"/>
      <c r="AK908" s="1182" t="s">
        <v>946</v>
      </c>
      <c r="AL908" s="1562"/>
      <c r="AM908" s="1544"/>
      <c r="AN908" s="1544" t="str">
        <f t="shared" si="14"/>
        <v>Наименование признака дифференциации</v>
      </c>
      <c r="AO908" s="1544"/>
      <c r="AP908" s="1544"/>
    </row>
    <row r="909" spans="1:42" s="1818" customFormat="1" ht="23.25" customHeight="1">
      <c r="A909" s="1284"/>
      <c r="B909" s="1284"/>
      <c r="C909" s="1284"/>
      <c r="D909" s="1284"/>
      <c r="E909" s="8884" t="s">
        <v>605</v>
      </c>
      <c r="F909" s="8884"/>
      <c r="G909" s="8884"/>
      <c r="H909" s="8884"/>
      <c r="I909" s="8904"/>
      <c r="J909" s="8881" t="str">
        <f>I908&amp;".1"</f>
        <v>55.1.1.1.1</v>
      </c>
      <c r="K909" s="1284"/>
      <c r="L909" s="1290" t="s">
        <v>871</v>
      </c>
      <c r="M909" s="1696"/>
      <c r="N909" s="1696"/>
      <c r="O909" s="1696"/>
      <c r="P909" s="8882"/>
      <c r="Q909" s="8882">
        <v>1</v>
      </c>
      <c r="R909" s="278"/>
      <c r="S909" s="1810" t="str">
        <f>$J909</f>
        <v>55.1.1.1.1</v>
      </c>
      <c r="T909" s="201" t="s">
        <v>872</v>
      </c>
      <c r="U909" s="214"/>
      <c r="V909" s="8872"/>
      <c r="W909" s="8873"/>
      <c r="X909" s="8873"/>
      <c r="Y909" s="8873"/>
      <c r="Z909" s="8873"/>
      <c r="AA909" s="8873"/>
      <c r="AB909" s="8874"/>
      <c r="AC909" s="8872" t="s">
        <v>961</v>
      </c>
      <c r="AD909" s="8873"/>
      <c r="AE909" s="8873"/>
      <c r="AF909" s="8873"/>
      <c r="AG909" s="8873"/>
      <c r="AH909" s="8873"/>
      <c r="AI909" s="8873"/>
      <c r="AJ909" s="8874"/>
      <c r="AK909" s="1231" t="s">
        <v>947</v>
      </c>
      <c r="AL909" s="1562"/>
      <c r="AM909" s="1544"/>
      <c r="AN909" s="1544" t="str">
        <f t="shared" si="14"/>
        <v>Группа потребителей</v>
      </c>
      <c r="AO909" s="1544"/>
      <c r="AP909" s="1544"/>
    </row>
    <row r="910" spans="1:42" s="1818" customFormat="1" ht="23.25" customHeight="1">
      <c r="A910" s="1284"/>
      <c r="B910" s="1284"/>
      <c r="C910" s="1284"/>
      <c r="D910" s="1284"/>
      <c r="E910" s="8884" t="s">
        <v>605</v>
      </c>
      <c r="F910" s="8884"/>
      <c r="G910" s="8884"/>
      <c r="H910" s="8884"/>
      <c r="I910" s="8904"/>
      <c r="J910" s="8904"/>
      <c r="K910" s="8881" t="str">
        <f>J909&amp;".1"</f>
        <v>55.1.1.1.1.1</v>
      </c>
      <c r="L910" s="1290"/>
      <c r="M910" s="1696"/>
      <c r="N910" s="1696"/>
      <c r="O910" s="1696"/>
      <c r="P910" s="8882"/>
      <c r="Q910" s="8882"/>
      <c r="R910" s="278">
        <v>1</v>
      </c>
      <c r="S910" s="1810" t="str">
        <f>$K910</f>
        <v>55.1.1.1.1.1</v>
      </c>
      <c r="T910" s="1357" t="s">
        <v>962</v>
      </c>
      <c r="U910" s="214"/>
      <c r="V910" s="666"/>
      <c r="W910" s="666"/>
      <c r="X910" s="1181"/>
      <c r="Y910" s="8886"/>
      <c r="Z910" s="8734" t="s">
        <v>63</v>
      </c>
      <c r="AA910" s="8886"/>
      <c r="AB910" s="8734" t="s">
        <v>63</v>
      </c>
      <c r="AC910" s="666">
        <v>500.88</v>
      </c>
      <c r="AD910" s="666"/>
      <c r="AE910" s="1181"/>
      <c r="AF910" s="8886">
        <v>45292</v>
      </c>
      <c r="AG910" s="8734" t="s">
        <v>63</v>
      </c>
      <c r="AH910" s="8905">
        <v>45657</v>
      </c>
      <c r="AI910" s="8734" t="s">
        <v>63</v>
      </c>
      <c r="AJ910" s="1358"/>
      <c r="AK91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10" s="1562" t="e">
        <f ca="1">STRCHECKDATE(V911:AJ911)</f>
        <v>#NAME?</v>
      </c>
      <c r="AM910" s="1544"/>
      <c r="AN910" s="1544" t="str">
        <f t="shared" si="14"/>
        <v>Тариф для населения, руб. за 1 куб. метр с НДС</v>
      </c>
      <c r="AO910" s="1544"/>
      <c r="AP910" s="1544"/>
    </row>
    <row r="911" spans="1:42" s="1818" customFormat="1" ht="14.25" customHeight="1">
      <c r="A911" s="1284"/>
      <c r="B911" s="1284"/>
      <c r="C911" s="1284"/>
      <c r="D911" s="1284"/>
      <c r="E911" s="8884" t="s">
        <v>605</v>
      </c>
      <c r="F911" s="8884"/>
      <c r="G911" s="8884"/>
      <c r="H911" s="8884"/>
      <c r="I911" s="8904"/>
      <c r="J911" s="8904"/>
      <c r="K911" s="8881"/>
      <c r="L911" s="1290"/>
      <c r="M911" s="1696"/>
      <c r="N911" s="1696"/>
      <c r="O911" s="1696"/>
      <c r="P911" s="8882"/>
      <c r="Q911" s="8882"/>
      <c r="R911" s="278"/>
      <c r="S911" s="1815"/>
      <c r="T911" s="214"/>
      <c r="U911" s="214"/>
      <c r="V911" s="246"/>
      <c r="W911" s="246"/>
      <c r="X911" s="250" t="str">
        <f>Y910&amp;"-"&amp;AA910</f>
        <v>-</v>
      </c>
      <c r="Y911" s="8887"/>
      <c r="Z911" s="8734"/>
      <c r="AA911" s="8887"/>
      <c r="AB911" s="8734"/>
      <c r="AC911" s="246"/>
      <c r="AD911" s="246"/>
      <c r="AE911" s="250" t="str">
        <f>AF910&amp;"-"&amp;AH910</f>
        <v>45292-45657</v>
      </c>
      <c r="AF911" s="8887"/>
      <c r="AG911" s="8734"/>
      <c r="AH911" s="8906"/>
      <c r="AI911" s="8734"/>
      <c r="AJ911" s="1359"/>
      <c r="AK911" s="8941"/>
      <c r="AL911" s="1562"/>
      <c r="AM911" s="1544"/>
      <c r="AN911" s="1544" t="str">
        <f t="shared" si="14"/>
        <v/>
      </c>
      <c r="AO911" s="1544"/>
      <c r="AP911" s="1544"/>
    </row>
    <row r="912" spans="1:42" s="1818" customFormat="1" ht="21" customHeight="1">
      <c r="A912" s="1284"/>
      <c r="B912" s="1284"/>
      <c r="C912" s="1284"/>
      <c r="D912" s="1284"/>
      <c r="E912" s="8884" t="s">
        <v>605</v>
      </c>
      <c r="F912" s="8884"/>
      <c r="G912" s="8884"/>
      <c r="H912" s="8884"/>
      <c r="I912" s="8904"/>
      <c r="J912" s="8881"/>
      <c r="K912" s="1284"/>
      <c r="L912" s="1290"/>
      <c r="M912" s="1696"/>
      <c r="N912" s="1696"/>
      <c r="O912" s="1696"/>
      <c r="P912" s="8882"/>
      <c r="Q912" s="8882"/>
      <c r="R912" s="277"/>
      <c r="S912" s="5795"/>
      <c r="T912" s="5796" t="s">
        <v>948</v>
      </c>
      <c r="U912" s="5797"/>
      <c r="V912" s="5798"/>
      <c r="W912" s="5799"/>
      <c r="X912" s="5800"/>
      <c r="Y912" s="5801"/>
      <c r="Z912" s="5802"/>
      <c r="AA912" s="5803"/>
      <c r="AB912" s="5804"/>
      <c r="AC912" s="5805"/>
      <c r="AD912" s="5806"/>
      <c r="AE912" s="5807"/>
      <c r="AF912" s="5808"/>
      <c r="AG912" s="5809"/>
      <c r="AH912" s="5810"/>
      <c r="AI912" s="5811"/>
      <c r="AJ912" s="5812"/>
      <c r="AK912" s="1182" t="s">
        <v>949</v>
      </c>
      <c r="AL912" s="1562"/>
      <c r="AM912" s="1544"/>
      <c r="AN912" s="1544" t="str">
        <f t="shared" si="14"/>
        <v>Добавить значение признака дифференциации</v>
      </c>
      <c r="AO912" s="1544"/>
      <c r="AP912" s="1544"/>
    </row>
    <row r="913" spans="1:42" s="1818" customFormat="1" ht="23.25" customHeight="1">
      <c r="A913" s="1284"/>
      <c r="B913" s="1284"/>
      <c r="C913" s="1284"/>
      <c r="D913" s="1284"/>
      <c r="E913" s="8884"/>
      <c r="F913" s="8884"/>
      <c r="G913" s="8884"/>
      <c r="H913" s="8884"/>
      <c r="I913" s="8904"/>
      <c r="J913" s="8881" t="str">
        <f>I908&amp;".2"</f>
        <v>55.1.1.1.2</v>
      </c>
      <c r="K913" s="1284"/>
      <c r="L913" s="1290" t="s">
        <v>871</v>
      </c>
      <c r="M913" s="1696"/>
      <c r="N913" s="1696"/>
      <c r="O913" s="1696"/>
      <c r="P913" s="8882"/>
      <c r="Q913" s="8948" t="s">
        <v>100</v>
      </c>
      <c r="R913" s="278"/>
      <c r="S913" s="1810" t="str">
        <f>$J913</f>
        <v>55.1.1.1.2</v>
      </c>
      <c r="T913" s="201" t="s">
        <v>872</v>
      </c>
      <c r="U913" s="214"/>
      <c r="V913" s="8872"/>
      <c r="W913" s="8873"/>
      <c r="X913" s="8873"/>
      <c r="Y913" s="8873"/>
      <c r="Z913" s="8873"/>
      <c r="AA913" s="8873"/>
      <c r="AB913" s="8874"/>
      <c r="AC913" s="8872" t="s">
        <v>963</v>
      </c>
      <c r="AD913" s="8873"/>
      <c r="AE913" s="8873"/>
      <c r="AF913" s="8873"/>
      <c r="AG913" s="8873"/>
      <c r="AH913" s="8873"/>
      <c r="AI913" s="8873"/>
      <c r="AJ913" s="8874"/>
      <c r="AK913" s="1231" t="s">
        <v>947</v>
      </c>
      <c r="AL913" s="1562"/>
      <c r="AM913" s="1544"/>
      <c r="AN913" s="1544" t="str">
        <f t="shared" si="14"/>
        <v>Группа потребителей</v>
      </c>
      <c r="AO913" s="1544"/>
      <c r="AP913" s="1544"/>
    </row>
    <row r="914" spans="1:42" s="1818" customFormat="1" ht="23.25" customHeight="1">
      <c r="A914" s="1284"/>
      <c r="B914" s="1284"/>
      <c r="C914" s="1284"/>
      <c r="D914" s="1284"/>
      <c r="E914" s="8884"/>
      <c r="F914" s="8884"/>
      <c r="G914" s="8884"/>
      <c r="H914" s="8884"/>
      <c r="I914" s="8904"/>
      <c r="J914" s="8904" t="str">
        <f>I908&amp;".1"</f>
        <v>55.1.1.1.1</v>
      </c>
      <c r="K914" s="8881" t="str">
        <f>J913&amp;".1"</f>
        <v>55.1.1.1.2.1</v>
      </c>
      <c r="L914" s="1290"/>
      <c r="M914" s="1696"/>
      <c r="N914" s="1696"/>
      <c r="O914" s="1696"/>
      <c r="P914" s="8882"/>
      <c r="Q914" s="8882"/>
      <c r="R914" s="278">
        <v>1</v>
      </c>
      <c r="S914" s="1810" t="str">
        <f>$K914</f>
        <v>55.1.1.1.2.1</v>
      </c>
      <c r="T914" s="1357" t="s">
        <v>964</v>
      </c>
      <c r="U914" s="214"/>
      <c r="V914" s="666"/>
      <c r="W914" s="666"/>
      <c r="X914" s="1181"/>
      <c r="Y914" s="8886"/>
      <c r="Z914" s="8734" t="s">
        <v>63</v>
      </c>
      <c r="AA914" s="8886"/>
      <c r="AB914" s="8734" t="s">
        <v>63</v>
      </c>
      <c r="AC914" s="666">
        <v>417.4</v>
      </c>
      <c r="AD914" s="666"/>
      <c r="AE914" s="1181"/>
      <c r="AF914" s="8886">
        <v>45292</v>
      </c>
      <c r="AG914" s="8734" t="s">
        <v>63</v>
      </c>
      <c r="AH914" s="8905">
        <v>45657</v>
      </c>
      <c r="AI914" s="8734" t="s">
        <v>63</v>
      </c>
      <c r="AJ914" s="1358"/>
      <c r="AK91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14" s="1562" t="e">
        <f ca="1">STRCHECKDATE(V915:AJ915)</f>
        <v>#NAME?</v>
      </c>
      <c r="AM914" s="1544"/>
      <c r="AN914" s="1544" t="str">
        <f t="shared" si="14"/>
        <v>Тариф, руб. за 1 куб. метр без НДС</v>
      </c>
      <c r="AO914" s="1544"/>
      <c r="AP914" s="1544"/>
    </row>
    <row r="915" spans="1:42" s="1818" customFormat="1" ht="14.25" customHeight="1">
      <c r="A915" s="1284"/>
      <c r="B915" s="1284"/>
      <c r="C915" s="1284"/>
      <c r="D915" s="1284"/>
      <c r="E915" s="8884"/>
      <c r="F915" s="8884"/>
      <c r="G915" s="8884"/>
      <c r="H915" s="8884"/>
      <c r="I915" s="8904"/>
      <c r="J915" s="8904" t="str">
        <f>I908&amp;".1"</f>
        <v>55.1.1.1.1</v>
      </c>
      <c r="K915" s="8881"/>
      <c r="L915" s="1290"/>
      <c r="M915" s="1696"/>
      <c r="N915" s="1696"/>
      <c r="O915" s="1696"/>
      <c r="P915" s="8882"/>
      <c r="Q915" s="8882"/>
      <c r="R915" s="278"/>
      <c r="S915" s="1815"/>
      <c r="T915" s="214"/>
      <c r="U915" s="214"/>
      <c r="V915" s="246"/>
      <c r="W915" s="246"/>
      <c r="X915" s="250" t="str">
        <f>Y914&amp;"-"&amp;AA914</f>
        <v>-</v>
      </c>
      <c r="Y915" s="8887"/>
      <c r="Z915" s="8734"/>
      <c r="AA915" s="8887"/>
      <c r="AB915" s="8734"/>
      <c r="AC915" s="246"/>
      <c r="AD915" s="246"/>
      <c r="AE915" s="250" t="str">
        <f>AF914&amp;"-"&amp;AH914</f>
        <v>45292-45657</v>
      </c>
      <c r="AF915" s="8887"/>
      <c r="AG915" s="8734"/>
      <c r="AH915" s="8906"/>
      <c r="AI915" s="8734"/>
      <c r="AJ915" s="1359"/>
      <c r="AK915" s="8941"/>
      <c r="AL915" s="1562"/>
      <c r="AM915" s="1544"/>
      <c r="AN915" s="1544" t="str">
        <f t="shared" si="14"/>
        <v/>
      </c>
      <c r="AO915" s="1544"/>
      <c r="AP915" s="1544"/>
    </row>
    <row r="916" spans="1:42" s="1818" customFormat="1" ht="21" customHeight="1">
      <c r="A916" s="1284"/>
      <c r="B916" s="1284"/>
      <c r="C916" s="1284"/>
      <c r="D916" s="1284"/>
      <c r="E916" s="8884"/>
      <c r="F916" s="8884"/>
      <c r="G916" s="8884"/>
      <c r="H916" s="8884"/>
      <c r="I916" s="8904"/>
      <c r="J916" s="8881" t="str">
        <f>I908&amp;".1"</f>
        <v>55.1.1.1.1</v>
      </c>
      <c r="K916" s="1284"/>
      <c r="L916" s="1290"/>
      <c r="M916" s="1696"/>
      <c r="N916" s="1696"/>
      <c r="O916" s="1696"/>
      <c r="P916" s="8882"/>
      <c r="Q916" s="8882"/>
      <c r="R916" s="277"/>
      <c r="S916" s="5813"/>
      <c r="T916" s="5814" t="s">
        <v>948</v>
      </c>
      <c r="U916" s="5815"/>
      <c r="V916" s="5816"/>
      <c r="W916" s="5817"/>
      <c r="X916" s="5818"/>
      <c r="Y916" s="5819"/>
      <c r="Z916" s="5820"/>
      <c r="AA916" s="5821"/>
      <c r="AB916" s="5822"/>
      <c r="AC916" s="5823"/>
      <c r="AD916" s="5824"/>
      <c r="AE916" s="5825"/>
      <c r="AF916" s="5826"/>
      <c r="AG916" s="5827"/>
      <c r="AH916" s="5828"/>
      <c r="AI916" s="5829"/>
      <c r="AJ916" s="5830"/>
      <c r="AK916" s="1182" t="s">
        <v>949</v>
      </c>
      <c r="AL916" s="1562"/>
      <c r="AM916" s="1544"/>
      <c r="AN916" s="1544" t="str">
        <f t="shared" si="14"/>
        <v>Добавить значение признака дифференциации</v>
      </c>
      <c r="AO916" s="1544"/>
      <c r="AP916" s="1544"/>
    </row>
    <row r="917" spans="1:42" s="1818" customFormat="1" ht="21" customHeight="1">
      <c r="A917" s="1284"/>
      <c r="B917" s="1284"/>
      <c r="C917" s="1284"/>
      <c r="D917" s="1284"/>
      <c r="E917" s="8884" t="s">
        <v>605</v>
      </c>
      <c r="F917" s="8884"/>
      <c r="G917" s="8884"/>
      <c r="H917" s="8884"/>
      <c r="I917" s="8881"/>
      <c r="J917" s="1284"/>
      <c r="K917" s="1284"/>
      <c r="L917" s="1290"/>
      <c r="M917" s="1696"/>
      <c r="N917" s="1696"/>
      <c r="O917" s="1696"/>
      <c r="P917" s="8882"/>
      <c r="Q917" s="1811"/>
      <c r="R917" s="277"/>
      <c r="S917" s="5831"/>
      <c r="T917" s="5832" t="s">
        <v>877</v>
      </c>
      <c r="U917" s="5833"/>
      <c r="V917" s="5834"/>
      <c r="W917" s="5835"/>
      <c r="X917" s="5836"/>
      <c r="Y917" s="5837"/>
      <c r="Z917" s="5838"/>
      <c r="AA917" s="5839"/>
      <c r="AB917" s="5840"/>
      <c r="AC917" s="5841"/>
      <c r="AD917" s="5842"/>
      <c r="AE917" s="5843"/>
      <c r="AF917" s="5844"/>
      <c r="AG917" s="5845"/>
      <c r="AH917" s="5846"/>
      <c r="AI917" s="5847"/>
      <c r="AJ917" s="5848"/>
      <c r="AK917" s="5849"/>
      <c r="AL917" s="1562"/>
      <c r="AM917" s="1544"/>
      <c r="AN917" s="1544" t="str">
        <f t="shared" si="14"/>
        <v>Добавить группу потребителей</v>
      </c>
      <c r="AO917" s="1544"/>
      <c r="AP917" s="1544"/>
    </row>
    <row r="918" spans="1:42" s="1818" customFormat="1" ht="21" customHeight="1">
      <c r="A918" s="1284"/>
      <c r="B918" s="1284"/>
      <c r="C918" s="1284"/>
      <c r="D918" s="1284"/>
      <c r="E918" s="8884" t="s">
        <v>605</v>
      </c>
      <c r="F918" s="8884"/>
      <c r="G918" s="8884"/>
      <c r="H918" s="8883"/>
      <c r="I918" s="1284"/>
      <c r="J918" s="1284"/>
      <c r="K918" s="1284"/>
      <c r="L918" s="1290"/>
      <c r="M918" s="1286"/>
      <c r="N918" s="1286"/>
      <c r="O918" s="1287"/>
      <c r="P918" s="1742"/>
      <c r="Q918" s="299"/>
      <c r="R918" s="276"/>
      <c r="S918" s="5850"/>
      <c r="T918" s="5851" t="s">
        <v>950</v>
      </c>
      <c r="U918" s="5852"/>
      <c r="V918" s="5853"/>
      <c r="W918" s="5854"/>
      <c r="X918" s="5855"/>
      <c r="Y918" s="5856"/>
      <c r="Z918" s="5857"/>
      <c r="AA918" s="5858"/>
      <c r="AB918" s="5859"/>
      <c r="AC918" s="5860"/>
      <c r="AD918" s="5861"/>
      <c r="AE918" s="5862"/>
      <c r="AF918" s="5863"/>
      <c r="AG918" s="5864"/>
      <c r="AH918" s="5865"/>
      <c r="AI918" s="5866"/>
      <c r="AJ918" s="5867"/>
      <c r="AK918" s="5868"/>
      <c r="AL918" s="1562"/>
      <c r="AM918" s="1544"/>
      <c r="AN918" s="1544" t="str">
        <f t="shared" si="14"/>
        <v>Добавить наименование признака дифференциации</v>
      </c>
      <c r="AO918" s="1544"/>
      <c r="AP918" s="1544"/>
    </row>
    <row r="919" spans="1:42" s="541" customFormat="1" ht="14.25" customHeight="1">
      <c r="A919" s="1265"/>
      <c r="B919" s="1265"/>
      <c r="C919" s="1265"/>
      <c r="D919" s="1265"/>
      <c r="E919" s="8884" t="s">
        <v>605</v>
      </c>
      <c r="F919" s="8883"/>
      <c r="G919" s="1265"/>
      <c r="H919" s="1265"/>
      <c r="I919" s="1265"/>
      <c r="J919" s="1265"/>
      <c r="K919" s="1265"/>
      <c r="L919" s="1466"/>
      <c r="M919" s="1244"/>
      <c r="N919" s="1244"/>
      <c r="O919" s="1562"/>
      <c r="P919" s="1239"/>
      <c r="Q919" s="1266"/>
      <c r="R919" s="1239"/>
      <c r="S919" s="1245"/>
      <c r="T919" s="1248" t="s">
        <v>314</v>
      </c>
      <c r="U919" s="1247"/>
      <c r="V919" s="1247"/>
      <c r="W919" s="1247"/>
      <c r="X919" s="1247"/>
      <c r="Y919" s="1247"/>
      <c r="Z919" s="1247"/>
      <c r="AA919" s="1247"/>
      <c r="AB919" s="1247"/>
      <c r="AC919" s="1247"/>
      <c r="AD919" s="1247"/>
      <c r="AE919" s="1247"/>
      <c r="AF919" s="1247"/>
      <c r="AG919" s="1247"/>
      <c r="AH919" s="1247"/>
      <c r="AI919" s="1247"/>
      <c r="AJ919" s="1247"/>
      <c r="AK919" s="1247"/>
      <c r="AL919" s="1562"/>
      <c r="AM919" s="1544"/>
      <c r="AN919" s="1544" t="str">
        <f t="shared" si="14"/>
        <v>Добавить централизованную систему для дифференциации</v>
      </c>
      <c r="AO919" s="1544"/>
      <c r="AP919" s="1544"/>
    </row>
    <row r="920" spans="1:42" s="541" customFormat="1" ht="14.25" customHeight="1">
      <c r="A920" s="1265"/>
      <c r="B920" s="1265"/>
      <c r="C920" s="1265"/>
      <c r="D920" s="1265"/>
      <c r="E920" s="8883" t="s">
        <v>605</v>
      </c>
      <c r="F920" s="1265"/>
      <c r="G920" s="1265"/>
      <c r="H920" s="1265"/>
      <c r="I920" s="1265"/>
      <c r="J920" s="1265"/>
      <c r="K920" s="1265"/>
      <c r="L920" s="1466"/>
      <c r="M920" s="1244"/>
      <c r="N920" s="1244"/>
      <c r="O920" s="1562"/>
      <c r="P920" s="1239"/>
      <c r="Q920" s="1266"/>
      <c r="R920" s="1239"/>
      <c r="S920" s="1245"/>
      <c r="T920" s="1248" t="s">
        <v>315</v>
      </c>
      <c r="U920" s="1247"/>
      <c r="V920" s="1247"/>
      <c r="W920" s="1247"/>
      <c r="X920" s="1247"/>
      <c r="Y920" s="1247"/>
      <c r="Z920" s="1247"/>
      <c r="AA920" s="1247"/>
      <c r="AB920" s="1247"/>
      <c r="AC920" s="1247"/>
      <c r="AD920" s="1247"/>
      <c r="AE920" s="1247"/>
      <c r="AF920" s="1247"/>
      <c r="AG920" s="1247"/>
      <c r="AH920" s="1247"/>
      <c r="AI920" s="1247"/>
      <c r="AJ920" s="1247"/>
      <c r="AK920" s="1247"/>
      <c r="AL920" s="1562"/>
      <c r="AM920" s="1544"/>
      <c r="AN920" s="1544" t="str">
        <f t="shared" si="14"/>
        <v>Добавить территорию для дифференциации</v>
      </c>
      <c r="AO920" s="1544"/>
      <c r="AP920" s="1544"/>
    </row>
    <row r="921" spans="1:42" s="1818" customFormat="1" ht="23.25" customHeight="1">
      <c r="A921" s="1284" t="s">
        <v>619</v>
      </c>
      <c r="B921" s="1284"/>
      <c r="C921" s="1284"/>
      <c r="D921" s="1284"/>
      <c r="E921" s="8883" t="s">
        <v>617</v>
      </c>
      <c r="F921" s="1284"/>
      <c r="G921" s="1284"/>
      <c r="H921" s="1284"/>
      <c r="I921" s="1284"/>
      <c r="J921" s="1284"/>
      <c r="K921" s="1284"/>
      <c r="L921" s="1290"/>
      <c r="M921" s="1286"/>
      <c r="N921" s="1286"/>
      <c r="O921" s="1286"/>
      <c r="P921" s="1812"/>
      <c r="Q921" s="1742"/>
      <c r="R921" s="276"/>
      <c r="S921" s="1810" t="str">
        <f>INDEX(PT_DIFFERENTIATION_NUM_NTAR,MATCH(A921,PT_DIFFERENTIATION_NTAR_ID,0))</f>
        <v>56</v>
      </c>
      <c r="T921" s="1440" t="s">
        <v>211</v>
      </c>
      <c r="U921" s="214"/>
      <c r="V921" s="8869"/>
      <c r="W921" s="8870"/>
      <c r="X921" s="8870"/>
      <c r="Y921" s="8870"/>
      <c r="Z921" s="8870"/>
      <c r="AA921" s="8870"/>
      <c r="AB921" s="8871"/>
      <c r="AC921" s="8869" t="str">
        <f>INDEX(PT_DIFFERENTIATION_NTAR,MATCH(A921,PT_DIFFERENTIATION_NTAR_ID,0))</f>
        <v>Подвоз воды потребителям хутора Липчанского</v>
      </c>
      <c r="AD921" s="8870"/>
      <c r="AE921" s="8870"/>
      <c r="AF921" s="8870"/>
      <c r="AG921" s="8870"/>
      <c r="AH921" s="8870"/>
      <c r="AI921" s="8870"/>
      <c r="AJ921" s="8871"/>
      <c r="AK92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921" s="1562"/>
      <c r="AM921" s="1544"/>
      <c r="AN921" s="1544" t="str">
        <f t="shared" si="14"/>
        <v>Наименование тарифа</v>
      </c>
      <c r="AO921" s="1544"/>
      <c r="AP921" s="1544"/>
    </row>
    <row r="922" spans="1:42" s="1818" customFormat="1" ht="23.25" customHeight="1">
      <c r="A922" s="1284"/>
      <c r="B922" s="1284" t="s">
        <v>620</v>
      </c>
      <c r="C922" s="1284"/>
      <c r="D922" s="1284"/>
      <c r="E922" s="8884" t="s">
        <v>611</v>
      </c>
      <c r="F922" s="8883">
        <v>1</v>
      </c>
      <c r="G922" s="1284"/>
      <c r="H922" s="1284"/>
      <c r="I922" s="1284"/>
      <c r="J922" s="1284"/>
      <c r="K922" s="1284"/>
      <c r="L922" s="1290"/>
      <c r="M922" s="1286"/>
      <c r="N922" s="1286"/>
      <c r="O922" s="1286"/>
      <c r="P922" s="1807"/>
      <c r="Q922" s="273"/>
      <c r="R922" s="274"/>
      <c r="S922" s="1810" t="str">
        <f>INDEX(PT_DIFFERENTIATION_NUM_TER,MATCH(B922,PT_DIFFERENTIATION_TER_ID,0))</f>
        <v>56.1</v>
      </c>
      <c r="T922" s="1437" t="s">
        <v>862</v>
      </c>
      <c r="U922" s="214"/>
      <c r="V922" s="8869"/>
      <c r="W922" s="8870"/>
      <c r="X922" s="8870"/>
      <c r="Y922" s="8870"/>
      <c r="Z922" s="8870"/>
      <c r="AA922" s="8870"/>
      <c r="AB922" s="8871"/>
      <c r="AC922" s="8869" t="str">
        <f>INDEX(PT_DIFFERENTIATION_TER,MATCH(B922,PT_DIFFERENTIATION_TER_ID,0))</f>
        <v>Территория 16</v>
      </c>
      <c r="AD922" s="8870"/>
      <c r="AE922" s="8870"/>
      <c r="AF922" s="8870"/>
      <c r="AG922" s="8870"/>
      <c r="AH922" s="8870"/>
      <c r="AI922" s="8870"/>
      <c r="AJ922" s="8871"/>
      <c r="AK922" s="1182" t="s">
        <v>863</v>
      </c>
      <c r="AL922" s="1562"/>
      <c r="AM922" s="1544"/>
      <c r="AN922" s="1544" t="str">
        <f t="shared" si="14"/>
        <v>Территория действия тарифа</v>
      </c>
      <c r="AO922" s="1544"/>
      <c r="AP922" s="1544"/>
    </row>
    <row r="923" spans="1:42" s="1818" customFormat="1" ht="23.25" customHeight="1">
      <c r="A923" s="1284"/>
      <c r="B923" s="1284"/>
      <c r="C923" s="1284" t="s">
        <v>621</v>
      </c>
      <c r="D923" s="1284"/>
      <c r="E923" s="8884" t="s">
        <v>611</v>
      </c>
      <c r="F923" s="8884"/>
      <c r="G923" s="8883">
        <v>1</v>
      </c>
      <c r="H923" s="1284"/>
      <c r="I923" s="1284"/>
      <c r="J923" s="1284"/>
      <c r="K923" s="1284"/>
      <c r="L923" s="1290"/>
      <c r="M923" s="1286"/>
      <c r="N923" s="1286"/>
      <c r="O923" s="1286"/>
      <c r="P923" s="275"/>
      <c r="Q923" s="273"/>
      <c r="R923" s="274"/>
      <c r="S923" s="1810" t="str">
        <f>INDEX(PT_DIFFERENTIATION_NUM_CS,MATCH(C923,PT_DIFFERENTIATION_CS_ID,0))</f>
        <v>56.1.1</v>
      </c>
      <c r="T923" s="225" t="s">
        <v>943</v>
      </c>
      <c r="U923" s="214"/>
      <c r="V923" s="8869"/>
      <c r="W923" s="8870"/>
      <c r="X923" s="8870"/>
      <c r="Y923" s="8870"/>
      <c r="Z923" s="8870"/>
      <c r="AA923" s="8870"/>
      <c r="AB923" s="8871"/>
      <c r="AC923" s="8869" t="str">
        <f>INDEX(PT_DIFFERENTIATION_CS,MATCH(C923,PT_DIFFERENTIATION_CS_ID,0))</f>
        <v>без дифференциации</v>
      </c>
      <c r="AD923" s="8870"/>
      <c r="AE923" s="8870"/>
      <c r="AF923" s="8870"/>
      <c r="AG923" s="8870"/>
      <c r="AH923" s="8870"/>
      <c r="AI923" s="8870"/>
      <c r="AJ923" s="8871"/>
      <c r="AK923" s="1182" t="s">
        <v>944</v>
      </c>
      <c r="AL923" s="1562"/>
      <c r="AM923" s="1544"/>
      <c r="AN923" s="1544" t="str">
        <f t="shared" si="14"/>
        <v>Наименование централизованной системы холодного водоснабжения</v>
      </c>
      <c r="AO923" s="1544"/>
      <c r="AP923" s="1544"/>
    </row>
    <row r="924" spans="1:42" s="1818" customFormat="1" ht="23.25" customHeight="1">
      <c r="A924" s="1284"/>
      <c r="B924" s="1284"/>
      <c r="C924" s="1284"/>
      <c r="D924" s="1284"/>
      <c r="E924" s="8884" t="s">
        <v>611</v>
      </c>
      <c r="F924" s="8884"/>
      <c r="G924" s="8884"/>
      <c r="H924" s="8884"/>
      <c r="I924" s="8881" t="str">
        <f>S923&amp;".1"</f>
        <v>56.1.1.1</v>
      </c>
      <c r="J924" s="1284"/>
      <c r="K924" s="1284"/>
      <c r="L924" s="1290"/>
      <c r="M924" s="1696"/>
      <c r="N924" s="1696"/>
      <c r="O924" s="1696"/>
      <c r="P924" s="8882">
        <v>1</v>
      </c>
      <c r="Q924" s="1811"/>
      <c r="R924" s="277"/>
      <c r="S924" s="1810" t="str">
        <f>$I924</f>
        <v>56.1.1.1</v>
      </c>
      <c r="T924" s="200" t="s">
        <v>945</v>
      </c>
      <c r="U924" s="214"/>
      <c r="V924" s="8942"/>
      <c r="W924" s="8943"/>
      <c r="X924" s="8943"/>
      <c r="Y924" s="8943"/>
      <c r="Z924" s="8943"/>
      <c r="AA924" s="8943"/>
      <c r="AB924" s="8944"/>
      <c r="AC924" s="8945"/>
      <c r="AD924" s="8946"/>
      <c r="AE924" s="8946"/>
      <c r="AF924" s="8946"/>
      <c r="AG924" s="8946"/>
      <c r="AH924" s="8946"/>
      <c r="AI924" s="8946"/>
      <c r="AJ924" s="8947"/>
      <c r="AK924" s="1182" t="s">
        <v>946</v>
      </c>
      <c r="AL924" s="1562"/>
      <c r="AM924" s="1544"/>
      <c r="AN924" s="1544" t="str">
        <f t="shared" si="14"/>
        <v>Наименование признака дифференциации</v>
      </c>
      <c r="AO924" s="1544"/>
      <c r="AP924" s="1544"/>
    </row>
    <row r="925" spans="1:42" s="1818" customFormat="1" ht="23.25" customHeight="1">
      <c r="A925" s="1284"/>
      <c r="B925" s="1284"/>
      <c r="C925" s="1284"/>
      <c r="D925" s="1284"/>
      <c r="E925" s="8884" t="s">
        <v>611</v>
      </c>
      <c r="F925" s="8884"/>
      <c r="G925" s="8884"/>
      <c r="H925" s="8884"/>
      <c r="I925" s="8904"/>
      <c r="J925" s="8881" t="str">
        <f>I924&amp;".1"</f>
        <v>56.1.1.1.1</v>
      </c>
      <c r="K925" s="1284"/>
      <c r="L925" s="1290" t="s">
        <v>871</v>
      </c>
      <c r="M925" s="1696"/>
      <c r="N925" s="1696"/>
      <c r="O925" s="1696"/>
      <c r="P925" s="8882"/>
      <c r="Q925" s="8882">
        <v>1</v>
      </c>
      <c r="R925" s="278"/>
      <c r="S925" s="1810" t="str">
        <f>$J925</f>
        <v>56.1.1.1.1</v>
      </c>
      <c r="T925" s="201" t="s">
        <v>872</v>
      </c>
      <c r="U925" s="214"/>
      <c r="V925" s="8872"/>
      <c r="W925" s="8873"/>
      <c r="X925" s="8873"/>
      <c r="Y925" s="8873"/>
      <c r="Z925" s="8873"/>
      <c r="AA925" s="8873"/>
      <c r="AB925" s="8874"/>
      <c r="AC925" s="8872" t="s">
        <v>961</v>
      </c>
      <c r="AD925" s="8873"/>
      <c r="AE925" s="8873"/>
      <c r="AF925" s="8873"/>
      <c r="AG925" s="8873"/>
      <c r="AH925" s="8873"/>
      <c r="AI925" s="8873"/>
      <c r="AJ925" s="8874"/>
      <c r="AK925" s="1231" t="s">
        <v>947</v>
      </c>
      <c r="AL925" s="1562"/>
      <c r="AM925" s="1544"/>
      <c r="AN925" s="1544" t="str">
        <f t="shared" si="14"/>
        <v>Группа потребителей</v>
      </c>
      <c r="AO925" s="1544"/>
      <c r="AP925" s="1544"/>
    </row>
    <row r="926" spans="1:42" s="1818" customFormat="1" ht="23.25" customHeight="1">
      <c r="A926" s="1284"/>
      <c r="B926" s="1284"/>
      <c r="C926" s="1284"/>
      <c r="D926" s="1284"/>
      <c r="E926" s="8884" t="s">
        <v>611</v>
      </c>
      <c r="F926" s="8884"/>
      <c r="G926" s="8884"/>
      <c r="H926" s="8884"/>
      <c r="I926" s="8904"/>
      <c r="J926" s="8904"/>
      <c r="K926" s="8881" t="str">
        <f>J925&amp;".1"</f>
        <v>56.1.1.1.1.1</v>
      </c>
      <c r="L926" s="1290"/>
      <c r="M926" s="1696"/>
      <c r="N926" s="1696"/>
      <c r="O926" s="1696"/>
      <c r="P926" s="8882"/>
      <c r="Q926" s="8882"/>
      <c r="R926" s="278">
        <v>1</v>
      </c>
      <c r="S926" s="1810" t="str">
        <f>$K926</f>
        <v>56.1.1.1.1.1</v>
      </c>
      <c r="T926" s="1357" t="s">
        <v>962</v>
      </c>
      <c r="U926" s="214"/>
      <c r="V926" s="666"/>
      <c r="W926" s="666"/>
      <c r="X926" s="1181"/>
      <c r="Y926" s="8886"/>
      <c r="Z926" s="8734" t="s">
        <v>63</v>
      </c>
      <c r="AA926" s="8886"/>
      <c r="AB926" s="8734" t="s">
        <v>63</v>
      </c>
      <c r="AC926" s="666">
        <v>742.72</v>
      </c>
      <c r="AD926" s="666"/>
      <c r="AE926" s="1181"/>
      <c r="AF926" s="8886">
        <v>45292</v>
      </c>
      <c r="AG926" s="8734" t="s">
        <v>63</v>
      </c>
      <c r="AH926" s="8905">
        <v>45657</v>
      </c>
      <c r="AI926" s="8734" t="s">
        <v>63</v>
      </c>
      <c r="AJ926" s="1358"/>
      <c r="AK92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26" s="1562" t="e">
        <f ca="1">STRCHECKDATE(V927:AJ927)</f>
        <v>#NAME?</v>
      </c>
      <c r="AM926" s="1544"/>
      <c r="AN926" s="1544" t="str">
        <f t="shared" si="14"/>
        <v>Тариф для населения, руб. за 1 куб. метр с НДС</v>
      </c>
      <c r="AO926" s="1544"/>
      <c r="AP926" s="1544"/>
    </row>
    <row r="927" spans="1:42" s="1818" customFormat="1" ht="14.25" customHeight="1">
      <c r="A927" s="1284"/>
      <c r="B927" s="1284"/>
      <c r="C927" s="1284"/>
      <c r="D927" s="1284"/>
      <c r="E927" s="8884" t="s">
        <v>611</v>
      </c>
      <c r="F927" s="8884"/>
      <c r="G927" s="8884"/>
      <c r="H927" s="8884"/>
      <c r="I927" s="8904"/>
      <c r="J927" s="8904"/>
      <c r="K927" s="8881"/>
      <c r="L927" s="1290"/>
      <c r="M927" s="1696"/>
      <c r="N927" s="1696"/>
      <c r="O927" s="1696"/>
      <c r="P927" s="8882"/>
      <c r="Q927" s="8882"/>
      <c r="R927" s="278"/>
      <c r="S927" s="1815"/>
      <c r="T927" s="214"/>
      <c r="U927" s="214"/>
      <c r="V927" s="246"/>
      <c r="W927" s="246"/>
      <c r="X927" s="250" t="str">
        <f>Y926&amp;"-"&amp;AA926</f>
        <v>-</v>
      </c>
      <c r="Y927" s="8887"/>
      <c r="Z927" s="8734"/>
      <c r="AA927" s="8887"/>
      <c r="AB927" s="8734"/>
      <c r="AC927" s="246"/>
      <c r="AD927" s="246"/>
      <c r="AE927" s="250" t="str">
        <f>AF926&amp;"-"&amp;AH926</f>
        <v>45292-45657</v>
      </c>
      <c r="AF927" s="8887"/>
      <c r="AG927" s="8734"/>
      <c r="AH927" s="8906"/>
      <c r="AI927" s="8734"/>
      <c r="AJ927" s="1359"/>
      <c r="AK927" s="8941"/>
      <c r="AL927" s="1562"/>
      <c r="AM927" s="1544"/>
      <c r="AN927" s="1544" t="str">
        <f t="shared" si="14"/>
        <v/>
      </c>
      <c r="AO927" s="1544"/>
      <c r="AP927" s="1544"/>
    </row>
    <row r="928" spans="1:42" s="1818" customFormat="1" ht="21" customHeight="1">
      <c r="A928" s="1284"/>
      <c r="B928" s="1284"/>
      <c r="C928" s="1284"/>
      <c r="D928" s="1284"/>
      <c r="E928" s="8884" t="s">
        <v>611</v>
      </c>
      <c r="F928" s="8884"/>
      <c r="G928" s="8884"/>
      <c r="H928" s="8884"/>
      <c r="I928" s="8904"/>
      <c r="J928" s="8881"/>
      <c r="K928" s="1284"/>
      <c r="L928" s="1290"/>
      <c r="M928" s="1696"/>
      <c r="N928" s="1696"/>
      <c r="O928" s="1696"/>
      <c r="P928" s="8882"/>
      <c r="Q928" s="8882"/>
      <c r="R928" s="277"/>
      <c r="S928" s="5869"/>
      <c r="T928" s="5870" t="s">
        <v>948</v>
      </c>
      <c r="U928" s="5871"/>
      <c r="V928" s="5872"/>
      <c r="W928" s="5873"/>
      <c r="X928" s="5874"/>
      <c r="Y928" s="5875"/>
      <c r="Z928" s="5876"/>
      <c r="AA928" s="5877"/>
      <c r="AB928" s="5878"/>
      <c r="AC928" s="5879"/>
      <c r="AD928" s="5880"/>
      <c r="AE928" s="5881"/>
      <c r="AF928" s="5882"/>
      <c r="AG928" s="5883"/>
      <c r="AH928" s="5884"/>
      <c r="AI928" s="5885"/>
      <c r="AJ928" s="5886"/>
      <c r="AK928" s="1182" t="s">
        <v>949</v>
      </c>
      <c r="AL928" s="1562"/>
      <c r="AM928" s="1544"/>
      <c r="AN928" s="1544" t="str">
        <f t="shared" si="14"/>
        <v>Добавить значение признака дифференциации</v>
      </c>
      <c r="AO928" s="1544"/>
      <c r="AP928" s="1544"/>
    </row>
    <row r="929" spans="1:42" s="1818" customFormat="1" ht="23.25" customHeight="1">
      <c r="A929" s="1284"/>
      <c r="B929" s="1284"/>
      <c r="C929" s="1284"/>
      <c r="D929" s="1284"/>
      <c r="E929" s="8884"/>
      <c r="F929" s="8884"/>
      <c r="G929" s="8884"/>
      <c r="H929" s="8884"/>
      <c r="I929" s="8904"/>
      <c r="J929" s="8881" t="str">
        <f>I924&amp;".2"</f>
        <v>56.1.1.1.2</v>
      </c>
      <c r="K929" s="1284"/>
      <c r="L929" s="1290" t="s">
        <v>871</v>
      </c>
      <c r="M929" s="1696"/>
      <c r="N929" s="1696"/>
      <c r="O929" s="1696"/>
      <c r="P929" s="8882"/>
      <c r="Q929" s="8948" t="s">
        <v>100</v>
      </c>
      <c r="R929" s="278"/>
      <c r="S929" s="1810" t="str">
        <f>$J929</f>
        <v>56.1.1.1.2</v>
      </c>
      <c r="T929" s="201" t="s">
        <v>872</v>
      </c>
      <c r="U929" s="214"/>
      <c r="V929" s="8872"/>
      <c r="W929" s="8873"/>
      <c r="X929" s="8873"/>
      <c r="Y929" s="8873"/>
      <c r="Z929" s="8873"/>
      <c r="AA929" s="8873"/>
      <c r="AB929" s="8874"/>
      <c r="AC929" s="8872" t="s">
        <v>963</v>
      </c>
      <c r="AD929" s="8873"/>
      <c r="AE929" s="8873"/>
      <c r="AF929" s="8873"/>
      <c r="AG929" s="8873"/>
      <c r="AH929" s="8873"/>
      <c r="AI929" s="8873"/>
      <c r="AJ929" s="8874"/>
      <c r="AK929" s="1231" t="s">
        <v>947</v>
      </c>
      <c r="AL929" s="1562"/>
      <c r="AM929" s="1544"/>
      <c r="AN929" s="1544" t="str">
        <f t="shared" si="14"/>
        <v>Группа потребителей</v>
      </c>
      <c r="AO929" s="1544"/>
      <c r="AP929" s="1544"/>
    </row>
    <row r="930" spans="1:42" s="1818" customFormat="1" ht="23.25" customHeight="1">
      <c r="A930" s="1284"/>
      <c r="B930" s="1284"/>
      <c r="C930" s="1284"/>
      <c r="D930" s="1284"/>
      <c r="E930" s="8884"/>
      <c r="F930" s="8884"/>
      <c r="G930" s="8884"/>
      <c r="H930" s="8884"/>
      <c r="I930" s="8904"/>
      <c r="J930" s="8904" t="str">
        <f>I924&amp;".1"</f>
        <v>56.1.1.1.1</v>
      </c>
      <c r="K930" s="8881" t="str">
        <f>J929&amp;".1"</f>
        <v>56.1.1.1.2.1</v>
      </c>
      <c r="L930" s="1290"/>
      <c r="M930" s="1696"/>
      <c r="N930" s="1696"/>
      <c r="O930" s="1696"/>
      <c r="P930" s="8882"/>
      <c r="Q930" s="8882"/>
      <c r="R930" s="278">
        <v>1</v>
      </c>
      <c r="S930" s="1810" t="str">
        <f>$K930</f>
        <v>56.1.1.1.2.1</v>
      </c>
      <c r="T930" s="1357" t="s">
        <v>964</v>
      </c>
      <c r="U930" s="214"/>
      <c r="V930" s="666"/>
      <c r="W930" s="666"/>
      <c r="X930" s="1181"/>
      <c r="Y930" s="8886"/>
      <c r="Z930" s="8734" t="s">
        <v>63</v>
      </c>
      <c r="AA930" s="8886"/>
      <c r="AB930" s="8734" t="s">
        <v>63</v>
      </c>
      <c r="AC930" s="666">
        <v>618.92999999999995</v>
      </c>
      <c r="AD930" s="666"/>
      <c r="AE930" s="1181"/>
      <c r="AF930" s="8886">
        <v>45292</v>
      </c>
      <c r="AG930" s="8734" t="s">
        <v>63</v>
      </c>
      <c r="AH930" s="8905">
        <v>45657</v>
      </c>
      <c r="AI930" s="8734" t="s">
        <v>63</v>
      </c>
      <c r="AJ930" s="1358"/>
      <c r="AK93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30" s="1562" t="e">
        <f ca="1">STRCHECKDATE(V931:AJ931)</f>
        <v>#NAME?</v>
      </c>
      <c r="AM930" s="1544"/>
      <c r="AN930" s="1544" t="str">
        <f t="shared" si="14"/>
        <v>Тариф, руб. за 1 куб. метр без НДС</v>
      </c>
      <c r="AO930" s="1544"/>
      <c r="AP930" s="1544"/>
    </row>
    <row r="931" spans="1:42" s="1818" customFormat="1" ht="14.25" customHeight="1">
      <c r="A931" s="1284"/>
      <c r="B931" s="1284"/>
      <c r="C931" s="1284"/>
      <c r="D931" s="1284"/>
      <c r="E931" s="8884"/>
      <c r="F931" s="8884"/>
      <c r="G931" s="8884"/>
      <c r="H931" s="8884"/>
      <c r="I931" s="8904"/>
      <c r="J931" s="8904" t="str">
        <f>I924&amp;".1"</f>
        <v>56.1.1.1.1</v>
      </c>
      <c r="K931" s="8881"/>
      <c r="L931" s="1290"/>
      <c r="M931" s="1696"/>
      <c r="N931" s="1696"/>
      <c r="O931" s="1696"/>
      <c r="P931" s="8882"/>
      <c r="Q931" s="8882"/>
      <c r="R931" s="278"/>
      <c r="S931" s="1815"/>
      <c r="T931" s="214"/>
      <c r="U931" s="214"/>
      <c r="V931" s="246"/>
      <c r="W931" s="246"/>
      <c r="X931" s="250" t="str">
        <f>Y930&amp;"-"&amp;AA930</f>
        <v>-</v>
      </c>
      <c r="Y931" s="8887"/>
      <c r="Z931" s="8734"/>
      <c r="AA931" s="8887"/>
      <c r="AB931" s="8734"/>
      <c r="AC931" s="246"/>
      <c r="AD931" s="246"/>
      <c r="AE931" s="250" t="str">
        <f>AF930&amp;"-"&amp;AH930</f>
        <v>45292-45657</v>
      </c>
      <c r="AF931" s="8887"/>
      <c r="AG931" s="8734"/>
      <c r="AH931" s="8906"/>
      <c r="AI931" s="8734"/>
      <c r="AJ931" s="1359"/>
      <c r="AK931" s="8941"/>
      <c r="AL931" s="1562"/>
      <c r="AM931" s="1544"/>
      <c r="AN931" s="1544" t="str">
        <f t="shared" si="14"/>
        <v/>
      </c>
      <c r="AO931" s="1544"/>
      <c r="AP931" s="1544"/>
    </row>
    <row r="932" spans="1:42" s="1818" customFormat="1" ht="21" customHeight="1">
      <c r="A932" s="1284"/>
      <c r="B932" s="1284"/>
      <c r="C932" s="1284"/>
      <c r="D932" s="1284"/>
      <c r="E932" s="8884"/>
      <c r="F932" s="8884"/>
      <c r="G932" s="8884"/>
      <c r="H932" s="8884"/>
      <c r="I932" s="8904"/>
      <c r="J932" s="8881" t="str">
        <f>I924&amp;".1"</f>
        <v>56.1.1.1.1</v>
      </c>
      <c r="K932" s="1284"/>
      <c r="L932" s="1290"/>
      <c r="M932" s="1696"/>
      <c r="N932" s="1696"/>
      <c r="O932" s="1696"/>
      <c r="P932" s="8882"/>
      <c r="Q932" s="8882"/>
      <c r="R932" s="277"/>
      <c r="S932" s="5887"/>
      <c r="T932" s="5888" t="s">
        <v>948</v>
      </c>
      <c r="U932" s="5889"/>
      <c r="V932" s="5890"/>
      <c r="W932" s="5891"/>
      <c r="X932" s="5892"/>
      <c r="Y932" s="5893"/>
      <c r="Z932" s="5894"/>
      <c r="AA932" s="5895"/>
      <c r="AB932" s="5896"/>
      <c r="AC932" s="5897"/>
      <c r="AD932" s="5898"/>
      <c r="AE932" s="5899"/>
      <c r="AF932" s="5900"/>
      <c r="AG932" s="5901"/>
      <c r="AH932" s="5902"/>
      <c r="AI932" s="5903"/>
      <c r="AJ932" s="5904"/>
      <c r="AK932" s="1182" t="s">
        <v>949</v>
      </c>
      <c r="AL932" s="1562"/>
      <c r="AM932" s="1544"/>
      <c r="AN932" s="1544" t="str">
        <f t="shared" si="14"/>
        <v>Добавить значение признака дифференциации</v>
      </c>
      <c r="AO932" s="1544"/>
      <c r="AP932" s="1544"/>
    </row>
    <row r="933" spans="1:42" s="1818" customFormat="1" ht="21" customHeight="1">
      <c r="A933" s="1284"/>
      <c r="B933" s="1284"/>
      <c r="C933" s="1284"/>
      <c r="D933" s="1284"/>
      <c r="E933" s="8884" t="s">
        <v>611</v>
      </c>
      <c r="F933" s="8884"/>
      <c r="G933" s="8884"/>
      <c r="H933" s="8884"/>
      <c r="I933" s="8881"/>
      <c r="J933" s="1284"/>
      <c r="K933" s="1284"/>
      <c r="L933" s="1290"/>
      <c r="M933" s="1696"/>
      <c r="N933" s="1696"/>
      <c r="O933" s="1696"/>
      <c r="P933" s="8882"/>
      <c r="Q933" s="1811"/>
      <c r="R933" s="277"/>
      <c r="S933" s="5905"/>
      <c r="T933" s="5906" t="s">
        <v>877</v>
      </c>
      <c r="U933" s="5907"/>
      <c r="V933" s="5908"/>
      <c r="W933" s="5909"/>
      <c r="X933" s="5910"/>
      <c r="Y933" s="5911"/>
      <c r="Z933" s="5912"/>
      <c r="AA933" s="5913"/>
      <c r="AB933" s="5914"/>
      <c r="AC933" s="5915"/>
      <c r="AD933" s="5916"/>
      <c r="AE933" s="5917"/>
      <c r="AF933" s="5918"/>
      <c r="AG933" s="5919"/>
      <c r="AH933" s="5920"/>
      <c r="AI933" s="5921"/>
      <c r="AJ933" s="5922"/>
      <c r="AK933" s="5923"/>
      <c r="AL933" s="1562"/>
      <c r="AM933" s="1544"/>
      <c r="AN933" s="1544" t="str">
        <f t="shared" si="14"/>
        <v>Добавить группу потребителей</v>
      </c>
      <c r="AO933" s="1544"/>
      <c r="AP933" s="1544"/>
    </row>
    <row r="934" spans="1:42" s="1818" customFormat="1" ht="21" customHeight="1">
      <c r="A934" s="1284"/>
      <c r="B934" s="1284"/>
      <c r="C934" s="1284"/>
      <c r="D934" s="1284"/>
      <c r="E934" s="8884" t="s">
        <v>611</v>
      </c>
      <c r="F934" s="8884"/>
      <c r="G934" s="8884"/>
      <c r="H934" s="8883"/>
      <c r="I934" s="1284"/>
      <c r="J934" s="1284"/>
      <c r="K934" s="1284"/>
      <c r="L934" s="1290"/>
      <c r="M934" s="1286"/>
      <c r="N934" s="1286"/>
      <c r="O934" s="1287"/>
      <c r="P934" s="1742"/>
      <c r="Q934" s="299"/>
      <c r="R934" s="276"/>
      <c r="S934" s="5924"/>
      <c r="T934" s="5925" t="s">
        <v>950</v>
      </c>
      <c r="U934" s="5926"/>
      <c r="V934" s="5927"/>
      <c r="W934" s="5928"/>
      <c r="X934" s="5929"/>
      <c r="Y934" s="5930"/>
      <c r="Z934" s="5931"/>
      <c r="AA934" s="5932"/>
      <c r="AB934" s="5933"/>
      <c r="AC934" s="5934"/>
      <c r="AD934" s="5935"/>
      <c r="AE934" s="5936"/>
      <c r="AF934" s="5937"/>
      <c r="AG934" s="5938"/>
      <c r="AH934" s="5939"/>
      <c r="AI934" s="5940"/>
      <c r="AJ934" s="5941"/>
      <c r="AK934" s="5942"/>
      <c r="AL934" s="1562"/>
      <c r="AM934" s="1544"/>
      <c r="AN934" s="1544" t="str">
        <f t="shared" si="14"/>
        <v>Добавить наименование признака дифференциации</v>
      </c>
      <c r="AO934" s="1544"/>
      <c r="AP934" s="1544"/>
    </row>
    <row r="935" spans="1:42" s="541" customFormat="1" ht="14.25" customHeight="1">
      <c r="A935" s="1265"/>
      <c r="B935" s="1265"/>
      <c r="C935" s="1265"/>
      <c r="D935" s="1265"/>
      <c r="E935" s="8884" t="s">
        <v>611</v>
      </c>
      <c r="F935" s="8883"/>
      <c r="G935" s="1265"/>
      <c r="H935" s="1265"/>
      <c r="I935" s="1265"/>
      <c r="J935" s="1265"/>
      <c r="K935" s="1265"/>
      <c r="L935" s="1466"/>
      <c r="M935" s="1244"/>
      <c r="N935" s="1244"/>
      <c r="O935" s="1562"/>
      <c r="P935" s="1239"/>
      <c r="Q935" s="1266"/>
      <c r="R935" s="1239"/>
      <c r="S935" s="1245"/>
      <c r="T935" s="1248" t="s">
        <v>314</v>
      </c>
      <c r="U935" s="1247"/>
      <c r="V935" s="1247"/>
      <c r="W935" s="1247"/>
      <c r="X935" s="1247"/>
      <c r="Y935" s="1247"/>
      <c r="Z935" s="1247"/>
      <c r="AA935" s="1247"/>
      <c r="AB935" s="1247"/>
      <c r="AC935" s="1247"/>
      <c r="AD935" s="1247"/>
      <c r="AE935" s="1247"/>
      <c r="AF935" s="1247"/>
      <c r="AG935" s="1247"/>
      <c r="AH935" s="1247"/>
      <c r="AI935" s="1247"/>
      <c r="AJ935" s="1247"/>
      <c r="AK935" s="1247"/>
      <c r="AL935" s="1562"/>
      <c r="AM935" s="1544"/>
      <c r="AN935" s="1544" t="str">
        <f t="shared" si="14"/>
        <v>Добавить централизованную систему для дифференциации</v>
      </c>
      <c r="AO935" s="1544"/>
      <c r="AP935" s="1544"/>
    </row>
    <row r="936" spans="1:42" s="541" customFormat="1" ht="14.25" customHeight="1">
      <c r="A936" s="1265"/>
      <c r="B936" s="1265"/>
      <c r="C936" s="1265"/>
      <c r="D936" s="1265"/>
      <c r="E936" s="8883" t="s">
        <v>611</v>
      </c>
      <c r="F936" s="1265"/>
      <c r="G936" s="1265"/>
      <c r="H936" s="1265"/>
      <c r="I936" s="1265"/>
      <c r="J936" s="1265"/>
      <c r="K936" s="1265"/>
      <c r="L936" s="1466"/>
      <c r="M936" s="1244"/>
      <c r="N936" s="1244"/>
      <c r="O936" s="1562"/>
      <c r="P936" s="1239"/>
      <c r="Q936" s="1266"/>
      <c r="R936" s="1239"/>
      <c r="S936" s="1245"/>
      <c r="T936" s="1248" t="s">
        <v>315</v>
      </c>
      <c r="U936" s="1247"/>
      <c r="V936" s="1247"/>
      <c r="W936" s="1247"/>
      <c r="X936" s="1247"/>
      <c r="Y936" s="1247"/>
      <c r="Z936" s="1247"/>
      <c r="AA936" s="1247"/>
      <c r="AB936" s="1247"/>
      <c r="AC936" s="1247"/>
      <c r="AD936" s="1247"/>
      <c r="AE936" s="1247"/>
      <c r="AF936" s="1247"/>
      <c r="AG936" s="1247"/>
      <c r="AH936" s="1247"/>
      <c r="AI936" s="1247"/>
      <c r="AJ936" s="1247"/>
      <c r="AK936" s="1247"/>
      <c r="AL936" s="1562"/>
      <c r="AM936" s="1544"/>
      <c r="AN936" s="1544" t="str">
        <f t="shared" si="14"/>
        <v>Добавить территорию для дифференциации</v>
      </c>
      <c r="AO936" s="1544"/>
      <c r="AP936" s="1544"/>
    </row>
    <row r="937" spans="1:42" s="1818" customFormat="1" ht="23.25" customHeight="1">
      <c r="A937" s="1284" t="s">
        <v>625</v>
      </c>
      <c r="B937" s="1284"/>
      <c r="C937" s="1284"/>
      <c r="D937" s="1284"/>
      <c r="E937" s="8883" t="s">
        <v>623</v>
      </c>
      <c r="F937" s="1284"/>
      <c r="G937" s="1284"/>
      <c r="H937" s="1284"/>
      <c r="I937" s="1284"/>
      <c r="J937" s="1284"/>
      <c r="K937" s="1284"/>
      <c r="L937" s="1290"/>
      <c r="M937" s="1286"/>
      <c r="N937" s="1286"/>
      <c r="O937" s="1286"/>
      <c r="P937" s="1812"/>
      <c r="Q937" s="1742"/>
      <c r="R937" s="276"/>
      <c r="S937" s="1810" t="str">
        <f>INDEX(PT_DIFFERENTIATION_NUM_NTAR,MATCH(A937,PT_DIFFERENTIATION_NTAR_ID,0))</f>
        <v>57</v>
      </c>
      <c r="T937" s="1440" t="s">
        <v>211</v>
      </c>
      <c r="U937" s="214"/>
      <c r="V937" s="8869"/>
      <c r="W937" s="8870"/>
      <c r="X937" s="8870"/>
      <c r="Y937" s="8870"/>
      <c r="Z937" s="8870"/>
      <c r="AA937" s="8870"/>
      <c r="AB937" s="8871"/>
      <c r="AC937" s="8869" t="str">
        <f>INDEX(PT_DIFFERENTIATION_NTAR,MATCH(A937,PT_DIFFERENTIATION_NTAR_ID,0))</f>
        <v>Подвоз воды потребителям поселка Высокогорного</v>
      </c>
      <c r="AD937" s="8870"/>
      <c r="AE937" s="8870"/>
      <c r="AF937" s="8870"/>
      <c r="AG937" s="8870"/>
      <c r="AH937" s="8870"/>
      <c r="AI937" s="8870"/>
      <c r="AJ937" s="8871"/>
      <c r="AK93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937" s="1562"/>
      <c r="AM937" s="1544"/>
      <c r="AN937" s="1544" t="str">
        <f t="shared" ref="AN937:AN1000" si="15">IF(T937="","",T937)</f>
        <v>Наименование тарифа</v>
      </c>
      <c r="AO937" s="1544"/>
      <c r="AP937" s="1544"/>
    </row>
    <row r="938" spans="1:42" s="1818" customFormat="1" ht="23.25" customHeight="1">
      <c r="A938" s="1284"/>
      <c r="B938" s="1284" t="s">
        <v>626</v>
      </c>
      <c r="C938" s="1284"/>
      <c r="D938" s="1284"/>
      <c r="E938" s="8884" t="s">
        <v>617</v>
      </c>
      <c r="F938" s="8883">
        <v>1</v>
      </c>
      <c r="G938" s="1284"/>
      <c r="H938" s="1284"/>
      <c r="I938" s="1284"/>
      <c r="J938" s="1284"/>
      <c r="K938" s="1284"/>
      <c r="L938" s="1290"/>
      <c r="M938" s="1286"/>
      <c r="N938" s="1286"/>
      <c r="O938" s="1286"/>
      <c r="P938" s="1807"/>
      <c r="Q938" s="273"/>
      <c r="R938" s="274"/>
      <c r="S938" s="1810" t="str">
        <f>INDEX(PT_DIFFERENTIATION_NUM_TER,MATCH(B938,PT_DIFFERENTIATION_TER_ID,0))</f>
        <v>57.1</v>
      </c>
      <c r="T938" s="1437" t="s">
        <v>862</v>
      </c>
      <c r="U938" s="214"/>
      <c r="V938" s="8869"/>
      <c r="W938" s="8870"/>
      <c r="X938" s="8870"/>
      <c r="Y938" s="8870"/>
      <c r="Z938" s="8870"/>
      <c r="AA938" s="8870"/>
      <c r="AB938" s="8871"/>
      <c r="AC938" s="8869" t="str">
        <f>INDEX(PT_DIFFERENTIATION_TER,MATCH(B938,PT_DIFFERENTIATION_TER_ID,0))</f>
        <v>Территория 17</v>
      </c>
      <c r="AD938" s="8870"/>
      <c r="AE938" s="8870"/>
      <c r="AF938" s="8870"/>
      <c r="AG938" s="8870"/>
      <c r="AH938" s="8870"/>
      <c r="AI938" s="8870"/>
      <c r="AJ938" s="8871"/>
      <c r="AK938" s="1182" t="s">
        <v>863</v>
      </c>
      <c r="AL938" s="1562"/>
      <c r="AM938" s="1544"/>
      <c r="AN938" s="1544" t="str">
        <f t="shared" si="15"/>
        <v>Территория действия тарифа</v>
      </c>
      <c r="AO938" s="1544"/>
      <c r="AP938" s="1544"/>
    </row>
    <row r="939" spans="1:42" s="1818" customFormat="1" ht="23.25" customHeight="1">
      <c r="A939" s="1284"/>
      <c r="B939" s="1284"/>
      <c r="C939" s="1284" t="s">
        <v>627</v>
      </c>
      <c r="D939" s="1284"/>
      <c r="E939" s="8884" t="s">
        <v>617</v>
      </c>
      <c r="F939" s="8884"/>
      <c r="G939" s="8883">
        <v>1</v>
      </c>
      <c r="H939" s="1284"/>
      <c r="I939" s="1284"/>
      <c r="J939" s="1284"/>
      <c r="K939" s="1284"/>
      <c r="L939" s="1290"/>
      <c r="M939" s="1286"/>
      <c r="N939" s="1286"/>
      <c r="O939" s="1286"/>
      <c r="P939" s="275"/>
      <c r="Q939" s="273"/>
      <c r="R939" s="274"/>
      <c r="S939" s="1810" t="str">
        <f>INDEX(PT_DIFFERENTIATION_NUM_CS,MATCH(C939,PT_DIFFERENTIATION_CS_ID,0))</f>
        <v>57.1.1</v>
      </c>
      <c r="T939" s="225" t="s">
        <v>943</v>
      </c>
      <c r="U939" s="214"/>
      <c r="V939" s="8869"/>
      <c r="W939" s="8870"/>
      <c r="X939" s="8870"/>
      <c r="Y939" s="8870"/>
      <c r="Z939" s="8870"/>
      <c r="AA939" s="8870"/>
      <c r="AB939" s="8871"/>
      <c r="AC939" s="8869" t="str">
        <f>INDEX(PT_DIFFERENTIATION_CS,MATCH(C939,PT_DIFFERENTIATION_CS_ID,0))</f>
        <v>без дифференциации</v>
      </c>
      <c r="AD939" s="8870"/>
      <c r="AE939" s="8870"/>
      <c r="AF939" s="8870"/>
      <c r="AG939" s="8870"/>
      <c r="AH939" s="8870"/>
      <c r="AI939" s="8870"/>
      <c r="AJ939" s="8871"/>
      <c r="AK939" s="1182" t="s">
        <v>944</v>
      </c>
      <c r="AL939" s="1562"/>
      <c r="AM939" s="1544"/>
      <c r="AN939" s="1544" t="str">
        <f t="shared" si="15"/>
        <v>Наименование централизованной системы холодного водоснабжения</v>
      </c>
      <c r="AO939" s="1544"/>
      <c r="AP939" s="1544"/>
    </row>
    <row r="940" spans="1:42" s="1818" customFormat="1" ht="23.25" customHeight="1">
      <c r="A940" s="1284"/>
      <c r="B940" s="1284"/>
      <c r="C940" s="1284"/>
      <c r="D940" s="1284"/>
      <c r="E940" s="8884" t="s">
        <v>617</v>
      </c>
      <c r="F940" s="8884"/>
      <c r="G940" s="8884"/>
      <c r="H940" s="8884"/>
      <c r="I940" s="8881" t="str">
        <f>S939&amp;".1"</f>
        <v>57.1.1.1</v>
      </c>
      <c r="J940" s="1284"/>
      <c r="K940" s="1284"/>
      <c r="L940" s="1290"/>
      <c r="M940" s="1696"/>
      <c r="N940" s="1696"/>
      <c r="O940" s="1696"/>
      <c r="P940" s="8882">
        <v>1</v>
      </c>
      <c r="Q940" s="1811"/>
      <c r="R940" s="277"/>
      <c r="S940" s="1810" t="str">
        <f>$I940</f>
        <v>57.1.1.1</v>
      </c>
      <c r="T940" s="200" t="s">
        <v>945</v>
      </c>
      <c r="U940" s="214"/>
      <c r="V940" s="8942"/>
      <c r="W940" s="8943"/>
      <c r="X940" s="8943"/>
      <c r="Y940" s="8943"/>
      <c r="Z940" s="8943"/>
      <c r="AA940" s="8943"/>
      <c r="AB940" s="8944"/>
      <c r="AC940" s="8945"/>
      <c r="AD940" s="8946"/>
      <c r="AE940" s="8946"/>
      <c r="AF940" s="8946"/>
      <c r="AG940" s="8946"/>
      <c r="AH940" s="8946"/>
      <c r="AI940" s="8946"/>
      <c r="AJ940" s="8947"/>
      <c r="AK940" s="1182" t="s">
        <v>946</v>
      </c>
      <c r="AL940" s="1562"/>
      <c r="AM940" s="1544"/>
      <c r="AN940" s="1544" t="str">
        <f t="shared" si="15"/>
        <v>Наименование признака дифференциации</v>
      </c>
      <c r="AO940" s="1544"/>
      <c r="AP940" s="1544"/>
    </row>
    <row r="941" spans="1:42" s="1818" customFormat="1" ht="23.25" customHeight="1">
      <c r="A941" s="1284"/>
      <c r="B941" s="1284"/>
      <c r="C941" s="1284"/>
      <c r="D941" s="1284"/>
      <c r="E941" s="8884" t="s">
        <v>617</v>
      </c>
      <c r="F941" s="8884"/>
      <c r="G941" s="8884"/>
      <c r="H941" s="8884"/>
      <c r="I941" s="8904"/>
      <c r="J941" s="8881" t="str">
        <f>I940&amp;".1"</f>
        <v>57.1.1.1.1</v>
      </c>
      <c r="K941" s="1284"/>
      <c r="L941" s="1290" t="s">
        <v>871</v>
      </c>
      <c r="M941" s="1696"/>
      <c r="N941" s="1696"/>
      <c r="O941" s="1696"/>
      <c r="P941" s="8882"/>
      <c r="Q941" s="8882">
        <v>1</v>
      </c>
      <c r="R941" s="278"/>
      <c r="S941" s="1810" t="str">
        <f>$J941</f>
        <v>57.1.1.1.1</v>
      </c>
      <c r="T941" s="201" t="s">
        <v>872</v>
      </c>
      <c r="U941" s="214"/>
      <c r="V941" s="8872"/>
      <c r="W941" s="8873"/>
      <c r="X941" s="8873"/>
      <c r="Y941" s="8873"/>
      <c r="Z941" s="8873"/>
      <c r="AA941" s="8873"/>
      <c r="AB941" s="8874"/>
      <c r="AC941" s="8872" t="s">
        <v>961</v>
      </c>
      <c r="AD941" s="8873"/>
      <c r="AE941" s="8873"/>
      <c r="AF941" s="8873"/>
      <c r="AG941" s="8873"/>
      <c r="AH941" s="8873"/>
      <c r="AI941" s="8873"/>
      <c r="AJ941" s="8874"/>
      <c r="AK941" s="1231" t="s">
        <v>947</v>
      </c>
      <c r="AL941" s="1562"/>
      <c r="AM941" s="1544"/>
      <c r="AN941" s="1544" t="str">
        <f t="shared" si="15"/>
        <v>Группа потребителей</v>
      </c>
      <c r="AO941" s="1544"/>
      <c r="AP941" s="1544"/>
    </row>
    <row r="942" spans="1:42" s="1818" customFormat="1" ht="23.25" customHeight="1">
      <c r="A942" s="1284"/>
      <c r="B942" s="1284"/>
      <c r="C942" s="1284"/>
      <c r="D942" s="1284"/>
      <c r="E942" s="8884" t="s">
        <v>617</v>
      </c>
      <c r="F942" s="8884"/>
      <c r="G942" s="8884"/>
      <c r="H942" s="8884"/>
      <c r="I942" s="8904"/>
      <c r="J942" s="8904"/>
      <c r="K942" s="8881" t="str">
        <f>J941&amp;".1"</f>
        <v>57.1.1.1.1.1</v>
      </c>
      <c r="L942" s="1290"/>
      <c r="M942" s="1696"/>
      <c r="N942" s="1696"/>
      <c r="O942" s="1696"/>
      <c r="P942" s="8882"/>
      <c r="Q942" s="8882"/>
      <c r="R942" s="278">
        <v>1</v>
      </c>
      <c r="S942" s="1810" t="str">
        <f>$K942</f>
        <v>57.1.1.1.1.1</v>
      </c>
      <c r="T942" s="1357" t="s">
        <v>962</v>
      </c>
      <c r="U942" s="214"/>
      <c r="V942" s="666"/>
      <c r="W942" s="666"/>
      <c r="X942" s="1181"/>
      <c r="Y942" s="8886"/>
      <c r="Z942" s="8734" t="s">
        <v>63</v>
      </c>
      <c r="AA942" s="8886"/>
      <c r="AB942" s="8734" t="s">
        <v>63</v>
      </c>
      <c r="AC942" s="666">
        <v>372.83</v>
      </c>
      <c r="AD942" s="666"/>
      <c r="AE942" s="1181"/>
      <c r="AF942" s="8886">
        <v>45292</v>
      </c>
      <c r="AG942" s="8734" t="s">
        <v>63</v>
      </c>
      <c r="AH942" s="8905">
        <v>45657</v>
      </c>
      <c r="AI942" s="8734" t="s">
        <v>63</v>
      </c>
      <c r="AJ942" s="1358"/>
      <c r="AK94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42" s="1562" t="e">
        <f ca="1">STRCHECKDATE(V943:AJ943)</f>
        <v>#NAME?</v>
      </c>
      <c r="AM942" s="1544"/>
      <c r="AN942" s="1544" t="str">
        <f t="shared" si="15"/>
        <v>Тариф для населения, руб. за 1 куб. метр с НДС</v>
      </c>
      <c r="AO942" s="1544"/>
      <c r="AP942" s="1544"/>
    </row>
    <row r="943" spans="1:42" s="1818" customFormat="1" ht="14.25" customHeight="1">
      <c r="A943" s="1284"/>
      <c r="B943" s="1284"/>
      <c r="C943" s="1284"/>
      <c r="D943" s="1284"/>
      <c r="E943" s="8884" t="s">
        <v>617</v>
      </c>
      <c r="F943" s="8884"/>
      <c r="G943" s="8884"/>
      <c r="H943" s="8884"/>
      <c r="I943" s="8904"/>
      <c r="J943" s="8904"/>
      <c r="K943" s="8881"/>
      <c r="L943" s="1290"/>
      <c r="M943" s="1696"/>
      <c r="N943" s="1696"/>
      <c r="O943" s="1696"/>
      <c r="P943" s="8882"/>
      <c r="Q943" s="8882"/>
      <c r="R943" s="278"/>
      <c r="S943" s="1815"/>
      <c r="T943" s="214"/>
      <c r="U943" s="214"/>
      <c r="V943" s="246"/>
      <c r="W943" s="246"/>
      <c r="X943" s="250" t="str">
        <f>Y942&amp;"-"&amp;AA942</f>
        <v>-</v>
      </c>
      <c r="Y943" s="8887"/>
      <c r="Z943" s="8734"/>
      <c r="AA943" s="8887"/>
      <c r="AB943" s="8734"/>
      <c r="AC943" s="246"/>
      <c r="AD943" s="246"/>
      <c r="AE943" s="250" t="str">
        <f>AF942&amp;"-"&amp;AH942</f>
        <v>45292-45657</v>
      </c>
      <c r="AF943" s="8887"/>
      <c r="AG943" s="8734"/>
      <c r="AH943" s="8906"/>
      <c r="AI943" s="8734"/>
      <c r="AJ943" s="1359"/>
      <c r="AK943" s="8941"/>
      <c r="AL943" s="1562"/>
      <c r="AM943" s="1544"/>
      <c r="AN943" s="1544" t="str">
        <f t="shared" si="15"/>
        <v/>
      </c>
      <c r="AO943" s="1544"/>
      <c r="AP943" s="1544"/>
    </row>
    <row r="944" spans="1:42" s="1818" customFormat="1" ht="21" customHeight="1">
      <c r="A944" s="1284"/>
      <c r="B944" s="1284"/>
      <c r="C944" s="1284"/>
      <c r="D944" s="1284"/>
      <c r="E944" s="8884" t="s">
        <v>617</v>
      </c>
      <c r="F944" s="8884"/>
      <c r="G944" s="8884"/>
      <c r="H944" s="8884"/>
      <c r="I944" s="8904"/>
      <c r="J944" s="8881"/>
      <c r="K944" s="1284"/>
      <c r="L944" s="1290"/>
      <c r="M944" s="1696"/>
      <c r="N944" s="1696"/>
      <c r="O944" s="1696"/>
      <c r="P944" s="8882"/>
      <c r="Q944" s="8882"/>
      <c r="R944" s="277"/>
      <c r="S944" s="5943"/>
      <c r="T944" s="5944" t="s">
        <v>948</v>
      </c>
      <c r="U944" s="5945"/>
      <c r="V944" s="5946"/>
      <c r="W944" s="5947"/>
      <c r="X944" s="5948"/>
      <c r="Y944" s="5949"/>
      <c r="Z944" s="5950"/>
      <c r="AA944" s="5951"/>
      <c r="AB944" s="5952"/>
      <c r="AC944" s="5953"/>
      <c r="AD944" s="5954"/>
      <c r="AE944" s="5955"/>
      <c r="AF944" s="5956"/>
      <c r="AG944" s="5957"/>
      <c r="AH944" s="5958"/>
      <c r="AI944" s="5959"/>
      <c r="AJ944" s="5960"/>
      <c r="AK944" s="1182" t="s">
        <v>949</v>
      </c>
      <c r="AL944" s="1562"/>
      <c r="AM944" s="1544"/>
      <c r="AN944" s="1544" t="str">
        <f t="shared" si="15"/>
        <v>Добавить значение признака дифференциации</v>
      </c>
      <c r="AO944" s="1544"/>
      <c r="AP944" s="1544"/>
    </row>
    <row r="945" spans="1:42" s="1818" customFormat="1" ht="23.25" customHeight="1">
      <c r="A945" s="1284"/>
      <c r="B945" s="1284"/>
      <c r="C945" s="1284"/>
      <c r="D945" s="1284"/>
      <c r="E945" s="8884"/>
      <c r="F945" s="8884"/>
      <c r="G945" s="8884"/>
      <c r="H945" s="8884"/>
      <c r="I945" s="8904"/>
      <c r="J945" s="8881" t="str">
        <f>I940&amp;".2"</f>
        <v>57.1.1.1.2</v>
      </c>
      <c r="K945" s="1284"/>
      <c r="L945" s="1290" t="s">
        <v>871</v>
      </c>
      <c r="M945" s="1696"/>
      <c r="N945" s="1696"/>
      <c r="O945" s="1696"/>
      <c r="P945" s="8882"/>
      <c r="Q945" s="8948" t="s">
        <v>100</v>
      </c>
      <c r="R945" s="278"/>
      <c r="S945" s="1810" t="str">
        <f>$J945</f>
        <v>57.1.1.1.2</v>
      </c>
      <c r="T945" s="201" t="s">
        <v>872</v>
      </c>
      <c r="U945" s="214"/>
      <c r="V945" s="8872"/>
      <c r="W945" s="8873"/>
      <c r="X945" s="8873"/>
      <c r="Y945" s="8873"/>
      <c r="Z945" s="8873"/>
      <c r="AA945" s="8873"/>
      <c r="AB945" s="8874"/>
      <c r="AC945" s="8872" t="s">
        <v>963</v>
      </c>
      <c r="AD945" s="8873"/>
      <c r="AE945" s="8873"/>
      <c r="AF945" s="8873"/>
      <c r="AG945" s="8873"/>
      <c r="AH945" s="8873"/>
      <c r="AI945" s="8873"/>
      <c r="AJ945" s="8874"/>
      <c r="AK945" s="1231" t="s">
        <v>947</v>
      </c>
      <c r="AL945" s="1562"/>
      <c r="AM945" s="1544"/>
      <c r="AN945" s="1544" t="str">
        <f t="shared" si="15"/>
        <v>Группа потребителей</v>
      </c>
      <c r="AO945" s="1544"/>
      <c r="AP945" s="1544"/>
    </row>
    <row r="946" spans="1:42" s="1818" customFormat="1" ht="23.25" customHeight="1">
      <c r="A946" s="1284"/>
      <c r="B946" s="1284"/>
      <c r="C946" s="1284"/>
      <c r="D946" s="1284"/>
      <c r="E946" s="8884"/>
      <c r="F946" s="8884"/>
      <c r="G946" s="8884"/>
      <c r="H946" s="8884"/>
      <c r="I946" s="8904"/>
      <c r="J946" s="8904" t="str">
        <f>I940&amp;".1"</f>
        <v>57.1.1.1.1</v>
      </c>
      <c r="K946" s="8881" t="str">
        <f>J945&amp;".1"</f>
        <v>57.1.1.1.2.1</v>
      </c>
      <c r="L946" s="1290"/>
      <c r="M946" s="1696"/>
      <c r="N946" s="1696"/>
      <c r="O946" s="1696"/>
      <c r="P946" s="8882"/>
      <c r="Q946" s="8882"/>
      <c r="R946" s="278">
        <v>1</v>
      </c>
      <c r="S946" s="1810" t="str">
        <f>$K946</f>
        <v>57.1.1.1.2.1</v>
      </c>
      <c r="T946" s="1357" t="s">
        <v>964</v>
      </c>
      <c r="U946" s="214"/>
      <c r="V946" s="666"/>
      <c r="W946" s="666"/>
      <c r="X946" s="1181"/>
      <c r="Y946" s="8886"/>
      <c r="Z946" s="8734" t="s">
        <v>63</v>
      </c>
      <c r="AA946" s="8886"/>
      <c r="AB946" s="8734" t="s">
        <v>63</v>
      </c>
      <c r="AC946" s="666">
        <v>310.69</v>
      </c>
      <c r="AD946" s="666"/>
      <c r="AE946" s="1181"/>
      <c r="AF946" s="8886">
        <v>45292</v>
      </c>
      <c r="AG946" s="8734" t="s">
        <v>63</v>
      </c>
      <c r="AH946" s="8905">
        <v>45657</v>
      </c>
      <c r="AI946" s="8734" t="s">
        <v>63</v>
      </c>
      <c r="AJ946" s="1358"/>
      <c r="AK9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46" s="1562" t="e">
        <f ca="1">STRCHECKDATE(V947:AJ947)</f>
        <v>#NAME?</v>
      </c>
      <c r="AM946" s="1544"/>
      <c r="AN946" s="1544" t="str">
        <f t="shared" si="15"/>
        <v>Тариф, руб. за 1 куб. метр без НДС</v>
      </c>
      <c r="AO946" s="1544"/>
      <c r="AP946" s="1544"/>
    </row>
    <row r="947" spans="1:42" s="1818" customFormat="1" ht="14.25" customHeight="1">
      <c r="A947" s="1284"/>
      <c r="B947" s="1284"/>
      <c r="C947" s="1284"/>
      <c r="D947" s="1284"/>
      <c r="E947" s="8884"/>
      <c r="F947" s="8884"/>
      <c r="G947" s="8884"/>
      <c r="H947" s="8884"/>
      <c r="I947" s="8904"/>
      <c r="J947" s="8904" t="str">
        <f>I940&amp;".1"</f>
        <v>57.1.1.1.1</v>
      </c>
      <c r="K947" s="8881"/>
      <c r="L947" s="1290"/>
      <c r="M947" s="1696"/>
      <c r="N947" s="1696"/>
      <c r="O947" s="1696"/>
      <c r="P947" s="8882"/>
      <c r="Q947" s="8882"/>
      <c r="R947" s="278"/>
      <c r="S947" s="1815"/>
      <c r="T947" s="214"/>
      <c r="U947" s="214"/>
      <c r="V947" s="246"/>
      <c r="W947" s="246"/>
      <c r="X947" s="250" t="str">
        <f>Y946&amp;"-"&amp;AA946</f>
        <v>-</v>
      </c>
      <c r="Y947" s="8887"/>
      <c r="Z947" s="8734"/>
      <c r="AA947" s="8887"/>
      <c r="AB947" s="8734"/>
      <c r="AC947" s="246"/>
      <c r="AD947" s="246"/>
      <c r="AE947" s="250" t="str">
        <f>AF946&amp;"-"&amp;AH946</f>
        <v>45292-45657</v>
      </c>
      <c r="AF947" s="8887"/>
      <c r="AG947" s="8734"/>
      <c r="AH947" s="8906"/>
      <c r="AI947" s="8734"/>
      <c r="AJ947" s="1359"/>
      <c r="AK947" s="8941"/>
      <c r="AL947" s="1562"/>
      <c r="AM947" s="1544"/>
      <c r="AN947" s="1544" t="str">
        <f t="shared" si="15"/>
        <v/>
      </c>
      <c r="AO947" s="1544"/>
      <c r="AP947" s="1544"/>
    </row>
    <row r="948" spans="1:42" s="1818" customFormat="1" ht="21" customHeight="1">
      <c r="A948" s="1284"/>
      <c r="B948" s="1284"/>
      <c r="C948" s="1284"/>
      <c r="D948" s="1284"/>
      <c r="E948" s="8884"/>
      <c r="F948" s="8884"/>
      <c r="G948" s="8884"/>
      <c r="H948" s="8884"/>
      <c r="I948" s="8904"/>
      <c r="J948" s="8881" t="str">
        <f>I940&amp;".1"</f>
        <v>57.1.1.1.1</v>
      </c>
      <c r="K948" s="1284"/>
      <c r="L948" s="1290"/>
      <c r="M948" s="1696"/>
      <c r="N948" s="1696"/>
      <c r="O948" s="1696"/>
      <c r="P948" s="8882"/>
      <c r="Q948" s="8882"/>
      <c r="R948" s="277"/>
      <c r="S948" s="5961"/>
      <c r="T948" s="5962" t="s">
        <v>948</v>
      </c>
      <c r="U948" s="5963"/>
      <c r="V948" s="5964"/>
      <c r="W948" s="5965"/>
      <c r="X948" s="5966"/>
      <c r="Y948" s="5967"/>
      <c r="Z948" s="5968"/>
      <c r="AA948" s="5969"/>
      <c r="AB948" s="5970"/>
      <c r="AC948" s="5971"/>
      <c r="AD948" s="5972"/>
      <c r="AE948" s="5973"/>
      <c r="AF948" s="5974"/>
      <c r="AG948" s="5975"/>
      <c r="AH948" s="5976"/>
      <c r="AI948" s="5977"/>
      <c r="AJ948" s="5978"/>
      <c r="AK948" s="1182" t="s">
        <v>949</v>
      </c>
      <c r="AL948" s="1562"/>
      <c r="AM948" s="1544"/>
      <c r="AN948" s="1544" t="str">
        <f t="shared" si="15"/>
        <v>Добавить значение признака дифференциации</v>
      </c>
      <c r="AO948" s="1544"/>
      <c r="AP948" s="1544"/>
    </row>
    <row r="949" spans="1:42" s="1818" customFormat="1" ht="21" customHeight="1">
      <c r="A949" s="1284"/>
      <c r="B949" s="1284"/>
      <c r="C949" s="1284"/>
      <c r="D949" s="1284"/>
      <c r="E949" s="8884" t="s">
        <v>617</v>
      </c>
      <c r="F949" s="8884"/>
      <c r="G949" s="8884"/>
      <c r="H949" s="8884"/>
      <c r="I949" s="8881"/>
      <c r="J949" s="1284"/>
      <c r="K949" s="1284"/>
      <c r="L949" s="1290"/>
      <c r="M949" s="1696"/>
      <c r="N949" s="1696"/>
      <c r="O949" s="1696"/>
      <c r="P949" s="8882"/>
      <c r="Q949" s="1811"/>
      <c r="R949" s="277"/>
      <c r="S949" s="5979"/>
      <c r="T949" s="5980" t="s">
        <v>877</v>
      </c>
      <c r="U949" s="5981"/>
      <c r="V949" s="5982"/>
      <c r="W949" s="5983"/>
      <c r="X949" s="5984"/>
      <c r="Y949" s="5985"/>
      <c r="Z949" s="5986"/>
      <c r="AA949" s="5987"/>
      <c r="AB949" s="5988"/>
      <c r="AC949" s="5989"/>
      <c r="AD949" s="5990"/>
      <c r="AE949" s="5991"/>
      <c r="AF949" s="5992"/>
      <c r="AG949" s="5993"/>
      <c r="AH949" s="5994"/>
      <c r="AI949" s="5995"/>
      <c r="AJ949" s="5996"/>
      <c r="AK949" s="5997"/>
      <c r="AL949" s="1562"/>
      <c r="AM949" s="1544"/>
      <c r="AN949" s="1544" t="str">
        <f t="shared" si="15"/>
        <v>Добавить группу потребителей</v>
      </c>
      <c r="AO949" s="1544"/>
      <c r="AP949" s="1544"/>
    </row>
    <row r="950" spans="1:42" s="1818" customFormat="1" ht="21" customHeight="1">
      <c r="A950" s="1284"/>
      <c r="B950" s="1284"/>
      <c r="C950" s="1284"/>
      <c r="D950" s="1284"/>
      <c r="E950" s="8884" t="s">
        <v>617</v>
      </c>
      <c r="F950" s="8884"/>
      <c r="G950" s="8884"/>
      <c r="H950" s="8883"/>
      <c r="I950" s="1284"/>
      <c r="J950" s="1284"/>
      <c r="K950" s="1284"/>
      <c r="L950" s="1290"/>
      <c r="M950" s="1286"/>
      <c r="N950" s="1286"/>
      <c r="O950" s="1287"/>
      <c r="P950" s="1742"/>
      <c r="Q950" s="299"/>
      <c r="R950" s="276"/>
      <c r="S950" s="5998"/>
      <c r="T950" s="5999" t="s">
        <v>950</v>
      </c>
      <c r="U950" s="6000"/>
      <c r="V950" s="6001"/>
      <c r="W950" s="6002"/>
      <c r="X950" s="6003"/>
      <c r="Y950" s="6004"/>
      <c r="Z950" s="6005"/>
      <c r="AA950" s="6006"/>
      <c r="AB950" s="6007"/>
      <c r="AC950" s="6008"/>
      <c r="AD950" s="6009"/>
      <c r="AE950" s="6010"/>
      <c r="AF950" s="6011"/>
      <c r="AG950" s="6012"/>
      <c r="AH950" s="6013"/>
      <c r="AI950" s="6014"/>
      <c r="AJ950" s="6015"/>
      <c r="AK950" s="6016"/>
      <c r="AL950" s="1562"/>
      <c r="AM950" s="1544"/>
      <c r="AN950" s="1544" t="str">
        <f t="shared" si="15"/>
        <v>Добавить наименование признака дифференциации</v>
      </c>
      <c r="AO950" s="1544"/>
      <c r="AP950" s="1544"/>
    </row>
    <row r="951" spans="1:42" s="541" customFormat="1" ht="14.25" customHeight="1">
      <c r="A951" s="1265"/>
      <c r="B951" s="1265"/>
      <c r="C951" s="1265"/>
      <c r="D951" s="1265"/>
      <c r="E951" s="8884" t="s">
        <v>617</v>
      </c>
      <c r="F951" s="8883"/>
      <c r="G951" s="1265"/>
      <c r="H951" s="1265"/>
      <c r="I951" s="1265"/>
      <c r="J951" s="1265"/>
      <c r="K951" s="1265"/>
      <c r="L951" s="1466"/>
      <c r="M951" s="1244"/>
      <c r="N951" s="1244"/>
      <c r="O951" s="1562"/>
      <c r="P951" s="1239"/>
      <c r="Q951" s="1266"/>
      <c r="R951" s="1239"/>
      <c r="S951" s="1245"/>
      <c r="T951" s="1248" t="s">
        <v>314</v>
      </c>
      <c r="U951" s="1247"/>
      <c r="V951" s="1247"/>
      <c r="W951" s="1247"/>
      <c r="X951" s="1247"/>
      <c r="Y951" s="1247"/>
      <c r="Z951" s="1247"/>
      <c r="AA951" s="1247"/>
      <c r="AB951" s="1247"/>
      <c r="AC951" s="1247"/>
      <c r="AD951" s="1247"/>
      <c r="AE951" s="1247"/>
      <c r="AF951" s="1247"/>
      <c r="AG951" s="1247"/>
      <c r="AH951" s="1247"/>
      <c r="AI951" s="1247"/>
      <c r="AJ951" s="1247"/>
      <c r="AK951" s="1247"/>
      <c r="AL951" s="1562"/>
      <c r="AM951" s="1544"/>
      <c r="AN951" s="1544" t="str">
        <f t="shared" si="15"/>
        <v>Добавить централизованную систему для дифференциации</v>
      </c>
      <c r="AO951" s="1544"/>
      <c r="AP951" s="1544"/>
    </row>
    <row r="952" spans="1:42" s="541" customFormat="1" ht="14.25" customHeight="1">
      <c r="A952" s="1265"/>
      <c r="B952" s="1265"/>
      <c r="C952" s="1265"/>
      <c r="D952" s="1265"/>
      <c r="E952" s="8883" t="s">
        <v>617</v>
      </c>
      <c r="F952" s="1265"/>
      <c r="G952" s="1265"/>
      <c r="H952" s="1265"/>
      <c r="I952" s="1265"/>
      <c r="J952" s="1265"/>
      <c r="K952" s="1265"/>
      <c r="L952" s="1466"/>
      <c r="M952" s="1244"/>
      <c r="N952" s="1244"/>
      <c r="O952" s="1562"/>
      <c r="P952" s="1239"/>
      <c r="Q952" s="1266"/>
      <c r="R952" s="1239"/>
      <c r="S952" s="1245"/>
      <c r="T952" s="1248" t="s">
        <v>315</v>
      </c>
      <c r="U952" s="1247"/>
      <c r="V952" s="1247"/>
      <c r="W952" s="1247"/>
      <c r="X952" s="1247"/>
      <c r="Y952" s="1247"/>
      <c r="Z952" s="1247"/>
      <c r="AA952" s="1247"/>
      <c r="AB952" s="1247"/>
      <c r="AC952" s="1247"/>
      <c r="AD952" s="1247"/>
      <c r="AE952" s="1247"/>
      <c r="AF952" s="1247"/>
      <c r="AG952" s="1247"/>
      <c r="AH952" s="1247"/>
      <c r="AI952" s="1247"/>
      <c r="AJ952" s="1247"/>
      <c r="AK952" s="1247"/>
      <c r="AL952" s="1562"/>
      <c r="AM952" s="1544"/>
      <c r="AN952" s="1544" t="str">
        <f t="shared" si="15"/>
        <v>Добавить территорию для дифференциации</v>
      </c>
      <c r="AO952" s="1544"/>
      <c r="AP952" s="1544"/>
    </row>
    <row r="953" spans="1:42" s="1818" customFormat="1" ht="23.25" customHeight="1">
      <c r="A953" s="1284" t="s">
        <v>631</v>
      </c>
      <c r="B953" s="1284"/>
      <c r="C953" s="1284"/>
      <c r="D953" s="1284"/>
      <c r="E953" s="8883" t="s">
        <v>629</v>
      </c>
      <c r="F953" s="1284"/>
      <c r="G953" s="1284"/>
      <c r="H953" s="1284"/>
      <c r="I953" s="1284"/>
      <c r="J953" s="1284"/>
      <c r="K953" s="1284"/>
      <c r="L953" s="1290"/>
      <c r="M953" s="1286"/>
      <c r="N953" s="1286"/>
      <c r="O953" s="1286"/>
      <c r="P953" s="1812"/>
      <c r="Q953" s="1742"/>
      <c r="R953" s="276"/>
      <c r="S953" s="1810" t="str">
        <f>INDEX(PT_DIFFERENTIATION_NUM_NTAR,MATCH(A953,PT_DIFFERENTIATION_NTAR_ID,0))</f>
        <v>58</v>
      </c>
      <c r="T953" s="1440" t="s">
        <v>211</v>
      </c>
      <c r="U953" s="214"/>
      <c r="V953" s="8869"/>
      <c r="W953" s="8870"/>
      <c r="X953" s="8870"/>
      <c r="Y953" s="8870"/>
      <c r="Z953" s="8870"/>
      <c r="AA953" s="8870"/>
      <c r="AB953" s="8871"/>
      <c r="AC953" s="8869" t="str">
        <f>INDEX(PT_DIFFERENTIATION_NTAR,MATCH(A953,PT_DIFFERENTIATION_NTAR_ID,0))</f>
        <v>Подвоз воды потребителям поселка Левоберезовского</v>
      </c>
      <c r="AD953" s="8870"/>
      <c r="AE953" s="8870"/>
      <c r="AF953" s="8870"/>
      <c r="AG953" s="8870"/>
      <c r="AH953" s="8870"/>
      <c r="AI953" s="8870"/>
      <c r="AJ953" s="8871"/>
      <c r="AK95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953" s="1562"/>
      <c r="AM953" s="1544"/>
      <c r="AN953" s="1544" t="str">
        <f t="shared" si="15"/>
        <v>Наименование тарифа</v>
      </c>
      <c r="AO953" s="1544"/>
      <c r="AP953" s="1544"/>
    </row>
    <row r="954" spans="1:42" s="1818" customFormat="1" ht="23.25" customHeight="1">
      <c r="A954" s="1284"/>
      <c r="B954" s="1284" t="s">
        <v>632</v>
      </c>
      <c r="C954" s="1284"/>
      <c r="D954" s="1284"/>
      <c r="E954" s="8884" t="s">
        <v>623</v>
      </c>
      <c r="F954" s="8883">
        <v>1</v>
      </c>
      <c r="G954" s="1284"/>
      <c r="H954" s="1284"/>
      <c r="I954" s="1284"/>
      <c r="J954" s="1284"/>
      <c r="K954" s="1284"/>
      <c r="L954" s="1290"/>
      <c r="M954" s="1286"/>
      <c r="N954" s="1286"/>
      <c r="O954" s="1286"/>
      <c r="P954" s="1807"/>
      <c r="Q954" s="273"/>
      <c r="R954" s="274"/>
      <c r="S954" s="1810" t="str">
        <f>INDEX(PT_DIFFERENTIATION_NUM_TER,MATCH(B954,PT_DIFFERENTIATION_TER_ID,0))</f>
        <v>58.1</v>
      </c>
      <c r="T954" s="1437" t="s">
        <v>862</v>
      </c>
      <c r="U954" s="214"/>
      <c r="V954" s="8869"/>
      <c r="W954" s="8870"/>
      <c r="X954" s="8870"/>
      <c r="Y954" s="8870"/>
      <c r="Z954" s="8870"/>
      <c r="AA954" s="8870"/>
      <c r="AB954" s="8871"/>
      <c r="AC954" s="8869" t="str">
        <f>INDEX(PT_DIFFERENTIATION_TER,MATCH(B954,PT_DIFFERENTIATION_TER_ID,0))</f>
        <v>Территория 17</v>
      </c>
      <c r="AD954" s="8870"/>
      <c r="AE954" s="8870"/>
      <c r="AF954" s="8870"/>
      <c r="AG954" s="8870"/>
      <c r="AH954" s="8870"/>
      <c r="AI954" s="8870"/>
      <c r="AJ954" s="8871"/>
      <c r="AK954" s="1182" t="s">
        <v>863</v>
      </c>
      <c r="AL954" s="1562"/>
      <c r="AM954" s="1544"/>
      <c r="AN954" s="1544" t="str">
        <f t="shared" si="15"/>
        <v>Территория действия тарифа</v>
      </c>
      <c r="AO954" s="1544"/>
      <c r="AP954" s="1544"/>
    </row>
    <row r="955" spans="1:42" s="1818" customFormat="1" ht="23.25" customHeight="1">
      <c r="A955" s="1284"/>
      <c r="B955" s="1284"/>
      <c r="C955" s="1284" t="s">
        <v>633</v>
      </c>
      <c r="D955" s="1284"/>
      <c r="E955" s="8884" t="s">
        <v>623</v>
      </c>
      <c r="F955" s="8884"/>
      <c r="G955" s="8883">
        <v>1</v>
      </c>
      <c r="H955" s="1284"/>
      <c r="I955" s="1284"/>
      <c r="J955" s="1284"/>
      <c r="K955" s="1284"/>
      <c r="L955" s="1290"/>
      <c r="M955" s="1286"/>
      <c r="N955" s="1286"/>
      <c r="O955" s="1286"/>
      <c r="P955" s="275"/>
      <c r="Q955" s="273"/>
      <c r="R955" s="274"/>
      <c r="S955" s="1810" t="str">
        <f>INDEX(PT_DIFFERENTIATION_NUM_CS,MATCH(C955,PT_DIFFERENTIATION_CS_ID,0))</f>
        <v>58.1.1</v>
      </c>
      <c r="T955" s="225" t="s">
        <v>943</v>
      </c>
      <c r="U955" s="214"/>
      <c r="V955" s="8869"/>
      <c r="W955" s="8870"/>
      <c r="X955" s="8870"/>
      <c r="Y955" s="8870"/>
      <c r="Z955" s="8870"/>
      <c r="AA955" s="8870"/>
      <c r="AB955" s="8871"/>
      <c r="AC955" s="8869" t="str">
        <f>INDEX(PT_DIFFERENTIATION_CS,MATCH(C955,PT_DIFFERENTIATION_CS_ID,0))</f>
        <v>без дифференциации</v>
      </c>
      <c r="AD955" s="8870"/>
      <c r="AE955" s="8870"/>
      <c r="AF955" s="8870"/>
      <c r="AG955" s="8870"/>
      <c r="AH955" s="8870"/>
      <c r="AI955" s="8870"/>
      <c r="AJ955" s="8871"/>
      <c r="AK955" s="1182" t="s">
        <v>944</v>
      </c>
      <c r="AL955" s="1562"/>
      <c r="AM955" s="1544"/>
      <c r="AN955" s="1544" t="str">
        <f t="shared" si="15"/>
        <v>Наименование централизованной системы холодного водоснабжения</v>
      </c>
      <c r="AO955" s="1544"/>
      <c r="AP955" s="1544"/>
    </row>
    <row r="956" spans="1:42" s="1818" customFormat="1" ht="23.25" customHeight="1">
      <c r="A956" s="1284"/>
      <c r="B956" s="1284"/>
      <c r="C956" s="1284"/>
      <c r="D956" s="1284"/>
      <c r="E956" s="8884" t="s">
        <v>623</v>
      </c>
      <c r="F956" s="8884"/>
      <c r="G956" s="8884"/>
      <c r="H956" s="8884"/>
      <c r="I956" s="8881" t="str">
        <f>S955&amp;".1"</f>
        <v>58.1.1.1</v>
      </c>
      <c r="J956" s="1284"/>
      <c r="K956" s="1284"/>
      <c r="L956" s="1290"/>
      <c r="M956" s="1696"/>
      <c r="N956" s="1696"/>
      <c r="O956" s="1696"/>
      <c r="P956" s="8882">
        <v>1</v>
      </c>
      <c r="Q956" s="1811"/>
      <c r="R956" s="277"/>
      <c r="S956" s="1810" t="str">
        <f>$I956</f>
        <v>58.1.1.1</v>
      </c>
      <c r="T956" s="200" t="s">
        <v>945</v>
      </c>
      <c r="U956" s="214"/>
      <c r="V956" s="8942"/>
      <c r="W956" s="8943"/>
      <c r="X956" s="8943"/>
      <c r="Y956" s="8943"/>
      <c r="Z956" s="8943"/>
      <c r="AA956" s="8943"/>
      <c r="AB956" s="8944"/>
      <c r="AC956" s="8945"/>
      <c r="AD956" s="8946"/>
      <c r="AE956" s="8946"/>
      <c r="AF956" s="8946"/>
      <c r="AG956" s="8946"/>
      <c r="AH956" s="8946"/>
      <c r="AI956" s="8946"/>
      <c r="AJ956" s="8947"/>
      <c r="AK956" s="1182" t="s">
        <v>946</v>
      </c>
      <c r="AL956" s="1562"/>
      <c r="AM956" s="1544"/>
      <c r="AN956" s="1544" t="str">
        <f t="shared" si="15"/>
        <v>Наименование признака дифференциации</v>
      </c>
      <c r="AO956" s="1544"/>
      <c r="AP956" s="1544"/>
    </row>
    <row r="957" spans="1:42" s="1818" customFormat="1" ht="23.25" customHeight="1">
      <c r="A957" s="1284"/>
      <c r="B957" s="1284"/>
      <c r="C957" s="1284"/>
      <c r="D957" s="1284"/>
      <c r="E957" s="8884" t="s">
        <v>623</v>
      </c>
      <c r="F957" s="8884"/>
      <c r="G957" s="8884"/>
      <c r="H957" s="8884"/>
      <c r="I957" s="8904"/>
      <c r="J957" s="8881" t="str">
        <f>I956&amp;".1"</f>
        <v>58.1.1.1.1</v>
      </c>
      <c r="K957" s="1284"/>
      <c r="L957" s="1290" t="s">
        <v>871</v>
      </c>
      <c r="M957" s="1696"/>
      <c r="N957" s="1696"/>
      <c r="O957" s="1696"/>
      <c r="P957" s="8882"/>
      <c r="Q957" s="8882">
        <v>1</v>
      </c>
      <c r="R957" s="278"/>
      <c r="S957" s="1810" t="str">
        <f>$J957</f>
        <v>58.1.1.1.1</v>
      </c>
      <c r="T957" s="201" t="s">
        <v>872</v>
      </c>
      <c r="U957" s="214"/>
      <c r="V957" s="8872"/>
      <c r="W957" s="8873"/>
      <c r="X957" s="8873"/>
      <c r="Y957" s="8873"/>
      <c r="Z957" s="8873"/>
      <c r="AA957" s="8873"/>
      <c r="AB957" s="8874"/>
      <c r="AC957" s="8872" t="s">
        <v>961</v>
      </c>
      <c r="AD957" s="8873"/>
      <c r="AE957" s="8873"/>
      <c r="AF957" s="8873"/>
      <c r="AG957" s="8873"/>
      <c r="AH957" s="8873"/>
      <c r="AI957" s="8873"/>
      <c r="AJ957" s="8874"/>
      <c r="AK957" s="1231" t="s">
        <v>947</v>
      </c>
      <c r="AL957" s="1562"/>
      <c r="AM957" s="1544"/>
      <c r="AN957" s="1544" t="str">
        <f t="shared" si="15"/>
        <v>Группа потребителей</v>
      </c>
      <c r="AO957" s="1544"/>
      <c r="AP957" s="1544"/>
    </row>
    <row r="958" spans="1:42" s="1818" customFormat="1" ht="23.25" customHeight="1">
      <c r="A958" s="1284"/>
      <c r="B958" s="1284"/>
      <c r="C958" s="1284"/>
      <c r="D958" s="1284"/>
      <c r="E958" s="8884" t="s">
        <v>623</v>
      </c>
      <c r="F958" s="8884"/>
      <c r="G958" s="8884"/>
      <c r="H958" s="8884"/>
      <c r="I958" s="8904"/>
      <c r="J958" s="8904"/>
      <c r="K958" s="8881" t="str">
        <f>J957&amp;".1"</f>
        <v>58.1.1.1.1.1</v>
      </c>
      <c r="L958" s="1290"/>
      <c r="M958" s="1696"/>
      <c r="N958" s="1696"/>
      <c r="O958" s="1696"/>
      <c r="P958" s="8882"/>
      <c r="Q958" s="8882"/>
      <c r="R958" s="278">
        <v>1</v>
      </c>
      <c r="S958" s="1810" t="str">
        <f>$K958</f>
        <v>58.1.1.1.1.1</v>
      </c>
      <c r="T958" s="1357" t="s">
        <v>962</v>
      </c>
      <c r="U958" s="214"/>
      <c r="V958" s="666"/>
      <c r="W958" s="666"/>
      <c r="X958" s="1181"/>
      <c r="Y958" s="8886"/>
      <c r="Z958" s="8734" t="s">
        <v>63</v>
      </c>
      <c r="AA958" s="8886"/>
      <c r="AB958" s="8734" t="s">
        <v>63</v>
      </c>
      <c r="AC958" s="666">
        <v>366.92</v>
      </c>
      <c r="AD958" s="666"/>
      <c r="AE958" s="1181"/>
      <c r="AF958" s="8886">
        <v>45292</v>
      </c>
      <c r="AG958" s="8734" t="s">
        <v>63</v>
      </c>
      <c r="AH958" s="8905">
        <v>45657</v>
      </c>
      <c r="AI958" s="8734" t="s">
        <v>63</v>
      </c>
      <c r="AJ958" s="1358"/>
      <c r="AK95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58" s="1562" t="e">
        <f ca="1">STRCHECKDATE(V959:AJ959)</f>
        <v>#NAME?</v>
      </c>
      <c r="AM958" s="1544"/>
      <c r="AN958" s="1544" t="str">
        <f t="shared" si="15"/>
        <v>Тариф для населения, руб. за 1 куб. метр с НДС</v>
      </c>
      <c r="AO958" s="1544"/>
      <c r="AP958" s="1544"/>
    </row>
    <row r="959" spans="1:42" s="1818" customFormat="1" ht="14.25" customHeight="1">
      <c r="A959" s="1284"/>
      <c r="B959" s="1284"/>
      <c r="C959" s="1284"/>
      <c r="D959" s="1284"/>
      <c r="E959" s="8884" t="s">
        <v>623</v>
      </c>
      <c r="F959" s="8884"/>
      <c r="G959" s="8884"/>
      <c r="H959" s="8884"/>
      <c r="I959" s="8904"/>
      <c r="J959" s="8904"/>
      <c r="K959" s="8881"/>
      <c r="L959" s="1290"/>
      <c r="M959" s="1696"/>
      <c r="N959" s="1696"/>
      <c r="O959" s="1696"/>
      <c r="P959" s="8882"/>
      <c r="Q959" s="8882"/>
      <c r="R959" s="278"/>
      <c r="S959" s="1815"/>
      <c r="T959" s="214"/>
      <c r="U959" s="214"/>
      <c r="V959" s="246"/>
      <c r="W959" s="246"/>
      <c r="X959" s="250" t="str">
        <f>Y958&amp;"-"&amp;AA958</f>
        <v>-</v>
      </c>
      <c r="Y959" s="8887"/>
      <c r="Z959" s="8734"/>
      <c r="AA959" s="8887"/>
      <c r="AB959" s="8734"/>
      <c r="AC959" s="246"/>
      <c r="AD959" s="246"/>
      <c r="AE959" s="250" t="str">
        <f>AF958&amp;"-"&amp;AH958</f>
        <v>45292-45657</v>
      </c>
      <c r="AF959" s="8887"/>
      <c r="AG959" s="8734"/>
      <c r="AH959" s="8906"/>
      <c r="AI959" s="8734"/>
      <c r="AJ959" s="1359"/>
      <c r="AK959" s="8941"/>
      <c r="AL959" s="1562"/>
      <c r="AM959" s="1544"/>
      <c r="AN959" s="1544" t="str">
        <f t="shared" si="15"/>
        <v/>
      </c>
      <c r="AO959" s="1544"/>
      <c r="AP959" s="1544"/>
    </row>
    <row r="960" spans="1:42" s="1818" customFormat="1" ht="21" customHeight="1">
      <c r="A960" s="1284"/>
      <c r="B960" s="1284"/>
      <c r="C960" s="1284"/>
      <c r="D960" s="1284"/>
      <c r="E960" s="8884" t="s">
        <v>623</v>
      </c>
      <c r="F960" s="8884"/>
      <c r="G960" s="8884"/>
      <c r="H960" s="8884"/>
      <c r="I960" s="8904"/>
      <c r="J960" s="8881"/>
      <c r="K960" s="1284"/>
      <c r="L960" s="1290"/>
      <c r="M960" s="1696"/>
      <c r="N960" s="1696"/>
      <c r="O960" s="1696"/>
      <c r="P960" s="8882"/>
      <c r="Q960" s="8882"/>
      <c r="R960" s="277"/>
      <c r="S960" s="6017"/>
      <c r="T960" s="6018" t="s">
        <v>948</v>
      </c>
      <c r="U960" s="6019"/>
      <c r="V960" s="6020"/>
      <c r="W960" s="6021"/>
      <c r="X960" s="6022"/>
      <c r="Y960" s="6023"/>
      <c r="Z960" s="6024"/>
      <c r="AA960" s="6025"/>
      <c r="AB960" s="6026"/>
      <c r="AC960" s="6027"/>
      <c r="AD960" s="6028"/>
      <c r="AE960" s="6029"/>
      <c r="AF960" s="6030"/>
      <c r="AG960" s="6031"/>
      <c r="AH960" s="6032"/>
      <c r="AI960" s="6033"/>
      <c r="AJ960" s="6034"/>
      <c r="AK960" s="1182" t="s">
        <v>949</v>
      </c>
      <c r="AL960" s="1562"/>
      <c r="AM960" s="1544"/>
      <c r="AN960" s="1544" t="str">
        <f t="shared" si="15"/>
        <v>Добавить значение признака дифференциации</v>
      </c>
      <c r="AO960" s="1544"/>
      <c r="AP960" s="1544"/>
    </row>
    <row r="961" spans="1:42" s="1818" customFormat="1" ht="23.25" customHeight="1">
      <c r="A961" s="1284"/>
      <c r="B961" s="1284"/>
      <c r="C961" s="1284"/>
      <c r="D961" s="1284"/>
      <c r="E961" s="8884"/>
      <c r="F961" s="8884"/>
      <c r="G961" s="8884"/>
      <c r="H961" s="8884"/>
      <c r="I961" s="8904"/>
      <c r="J961" s="8881" t="str">
        <f>I956&amp;".2"</f>
        <v>58.1.1.1.2</v>
      </c>
      <c r="K961" s="1284"/>
      <c r="L961" s="1290" t="s">
        <v>871</v>
      </c>
      <c r="M961" s="1696"/>
      <c r="N961" s="1696"/>
      <c r="O961" s="1696"/>
      <c r="P961" s="8882"/>
      <c r="Q961" s="8948" t="s">
        <v>100</v>
      </c>
      <c r="R961" s="278"/>
      <c r="S961" s="1810" t="str">
        <f>$J961</f>
        <v>58.1.1.1.2</v>
      </c>
      <c r="T961" s="201" t="s">
        <v>872</v>
      </c>
      <c r="U961" s="214"/>
      <c r="V961" s="8872"/>
      <c r="W961" s="8873"/>
      <c r="X961" s="8873"/>
      <c r="Y961" s="8873"/>
      <c r="Z961" s="8873"/>
      <c r="AA961" s="8873"/>
      <c r="AB961" s="8874"/>
      <c r="AC961" s="8872" t="s">
        <v>963</v>
      </c>
      <c r="AD961" s="8873"/>
      <c r="AE961" s="8873"/>
      <c r="AF961" s="8873"/>
      <c r="AG961" s="8873"/>
      <c r="AH961" s="8873"/>
      <c r="AI961" s="8873"/>
      <c r="AJ961" s="8874"/>
      <c r="AK961" s="1231" t="s">
        <v>947</v>
      </c>
      <c r="AL961" s="1562"/>
      <c r="AM961" s="1544"/>
      <c r="AN961" s="1544" t="str">
        <f t="shared" si="15"/>
        <v>Группа потребителей</v>
      </c>
      <c r="AO961" s="1544"/>
      <c r="AP961" s="1544"/>
    </row>
    <row r="962" spans="1:42" s="1818" customFormat="1" ht="23.25" customHeight="1">
      <c r="A962" s="1284"/>
      <c r="B962" s="1284"/>
      <c r="C962" s="1284"/>
      <c r="D962" s="1284"/>
      <c r="E962" s="8884"/>
      <c r="F962" s="8884"/>
      <c r="G962" s="8884"/>
      <c r="H962" s="8884"/>
      <c r="I962" s="8904"/>
      <c r="J962" s="8904" t="str">
        <f>I956&amp;".1"</f>
        <v>58.1.1.1.1</v>
      </c>
      <c r="K962" s="8881" t="str">
        <f>J961&amp;".1"</f>
        <v>58.1.1.1.2.1</v>
      </c>
      <c r="L962" s="1290"/>
      <c r="M962" s="1696"/>
      <c r="N962" s="1696"/>
      <c r="O962" s="1696"/>
      <c r="P962" s="8882"/>
      <c r="Q962" s="8882"/>
      <c r="R962" s="278">
        <v>1</v>
      </c>
      <c r="S962" s="1810" t="str">
        <f>$K962</f>
        <v>58.1.1.1.2.1</v>
      </c>
      <c r="T962" s="1357" t="s">
        <v>964</v>
      </c>
      <c r="U962" s="214"/>
      <c r="V962" s="666"/>
      <c r="W962" s="666"/>
      <c r="X962" s="1181"/>
      <c r="Y962" s="8886"/>
      <c r="Z962" s="8734" t="s">
        <v>63</v>
      </c>
      <c r="AA962" s="8886"/>
      <c r="AB962" s="8734" t="s">
        <v>63</v>
      </c>
      <c r="AC962" s="666">
        <v>305.77</v>
      </c>
      <c r="AD962" s="666"/>
      <c r="AE962" s="1181"/>
      <c r="AF962" s="8886">
        <v>45292</v>
      </c>
      <c r="AG962" s="8734" t="s">
        <v>63</v>
      </c>
      <c r="AH962" s="8905">
        <v>45657</v>
      </c>
      <c r="AI962" s="8734" t="s">
        <v>63</v>
      </c>
      <c r="AJ962" s="1358"/>
      <c r="AK96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62" s="1562" t="e">
        <f ca="1">STRCHECKDATE(V963:AJ963)</f>
        <v>#NAME?</v>
      </c>
      <c r="AM962" s="1544"/>
      <c r="AN962" s="1544" t="str">
        <f t="shared" si="15"/>
        <v>Тариф, руб. за 1 куб. метр без НДС</v>
      </c>
      <c r="AO962" s="1544"/>
      <c r="AP962" s="1544"/>
    </row>
    <row r="963" spans="1:42" s="1818" customFormat="1" ht="14.25" customHeight="1">
      <c r="A963" s="1284"/>
      <c r="B963" s="1284"/>
      <c r="C963" s="1284"/>
      <c r="D963" s="1284"/>
      <c r="E963" s="8884"/>
      <c r="F963" s="8884"/>
      <c r="G963" s="8884"/>
      <c r="H963" s="8884"/>
      <c r="I963" s="8904"/>
      <c r="J963" s="8904" t="str">
        <f>I956&amp;".1"</f>
        <v>58.1.1.1.1</v>
      </c>
      <c r="K963" s="8881"/>
      <c r="L963" s="1290"/>
      <c r="M963" s="1696"/>
      <c r="N963" s="1696"/>
      <c r="O963" s="1696"/>
      <c r="P963" s="8882"/>
      <c r="Q963" s="8882"/>
      <c r="R963" s="278"/>
      <c r="S963" s="1815"/>
      <c r="T963" s="214"/>
      <c r="U963" s="214"/>
      <c r="V963" s="246"/>
      <c r="W963" s="246"/>
      <c r="X963" s="250" t="str">
        <f>Y962&amp;"-"&amp;AA962</f>
        <v>-</v>
      </c>
      <c r="Y963" s="8887"/>
      <c r="Z963" s="8734"/>
      <c r="AA963" s="8887"/>
      <c r="AB963" s="8734"/>
      <c r="AC963" s="246"/>
      <c r="AD963" s="246"/>
      <c r="AE963" s="250" t="str">
        <f>AF962&amp;"-"&amp;AH962</f>
        <v>45292-45657</v>
      </c>
      <c r="AF963" s="8887"/>
      <c r="AG963" s="8734"/>
      <c r="AH963" s="8906"/>
      <c r="AI963" s="8734"/>
      <c r="AJ963" s="1359"/>
      <c r="AK963" s="8941"/>
      <c r="AL963" s="1562"/>
      <c r="AM963" s="1544"/>
      <c r="AN963" s="1544" t="str">
        <f t="shared" si="15"/>
        <v/>
      </c>
      <c r="AO963" s="1544"/>
      <c r="AP963" s="1544"/>
    </row>
    <row r="964" spans="1:42" s="1818" customFormat="1" ht="21" customHeight="1">
      <c r="A964" s="1284"/>
      <c r="B964" s="1284"/>
      <c r="C964" s="1284"/>
      <c r="D964" s="1284"/>
      <c r="E964" s="8884"/>
      <c r="F964" s="8884"/>
      <c r="G964" s="8884"/>
      <c r="H964" s="8884"/>
      <c r="I964" s="8904"/>
      <c r="J964" s="8881" t="str">
        <f>I956&amp;".1"</f>
        <v>58.1.1.1.1</v>
      </c>
      <c r="K964" s="1284"/>
      <c r="L964" s="1290"/>
      <c r="M964" s="1696"/>
      <c r="N964" s="1696"/>
      <c r="O964" s="1696"/>
      <c r="P964" s="8882"/>
      <c r="Q964" s="8882"/>
      <c r="R964" s="277"/>
      <c r="S964" s="6035"/>
      <c r="T964" s="6036" t="s">
        <v>948</v>
      </c>
      <c r="U964" s="6037"/>
      <c r="V964" s="6038"/>
      <c r="W964" s="6039"/>
      <c r="X964" s="6040"/>
      <c r="Y964" s="6041"/>
      <c r="Z964" s="6042"/>
      <c r="AA964" s="6043"/>
      <c r="AB964" s="6044"/>
      <c r="AC964" s="6045"/>
      <c r="AD964" s="6046"/>
      <c r="AE964" s="6047"/>
      <c r="AF964" s="6048"/>
      <c r="AG964" s="6049"/>
      <c r="AH964" s="6050"/>
      <c r="AI964" s="6051"/>
      <c r="AJ964" s="6052"/>
      <c r="AK964" s="1182" t="s">
        <v>949</v>
      </c>
      <c r="AL964" s="1562"/>
      <c r="AM964" s="1544"/>
      <c r="AN964" s="1544" t="str">
        <f t="shared" si="15"/>
        <v>Добавить значение признака дифференциации</v>
      </c>
      <c r="AO964" s="1544"/>
      <c r="AP964" s="1544"/>
    </row>
    <row r="965" spans="1:42" s="1818" customFormat="1" ht="21" customHeight="1">
      <c r="A965" s="1284"/>
      <c r="B965" s="1284"/>
      <c r="C965" s="1284"/>
      <c r="D965" s="1284"/>
      <c r="E965" s="8884" t="s">
        <v>623</v>
      </c>
      <c r="F965" s="8884"/>
      <c r="G965" s="8884"/>
      <c r="H965" s="8884"/>
      <c r="I965" s="8881"/>
      <c r="J965" s="1284"/>
      <c r="K965" s="1284"/>
      <c r="L965" s="1290"/>
      <c r="M965" s="1696"/>
      <c r="N965" s="1696"/>
      <c r="O965" s="1696"/>
      <c r="P965" s="8882"/>
      <c r="Q965" s="1811"/>
      <c r="R965" s="277"/>
      <c r="S965" s="6053"/>
      <c r="T965" s="6054" t="s">
        <v>877</v>
      </c>
      <c r="U965" s="6055"/>
      <c r="V965" s="6056"/>
      <c r="W965" s="6057"/>
      <c r="X965" s="6058"/>
      <c r="Y965" s="6059"/>
      <c r="Z965" s="6060"/>
      <c r="AA965" s="6061"/>
      <c r="AB965" s="6062"/>
      <c r="AC965" s="6063"/>
      <c r="AD965" s="6064"/>
      <c r="AE965" s="6065"/>
      <c r="AF965" s="6066"/>
      <c r="AG965" s="6067"/>
      <c r="AH965" s="6068"/>
      <c r="AI965" s="6069"/>
      <c r="AJ965" s="6070"/>
      <c r="AK965" s="6071"/>
      <c r="AL965" s="1562"/>
      <c r="AM965" s="1544"/>
      <c r="AN965" s="1544" t="str">
        <f t="shared" si="15"/>
        <v>Добавить группу потребителей</v>
      </c>
      <c r="AO965" s="1544"/>
      <c r="AP965" s="1544"/>
    </row>
    <row r="966" spans="1:42" s="1818" customFormat="1" ht="21" customHeight="1">
      <c r="A966" s="1284"/>
      <c r="B966" s="1284"/>
      <c r="C966" s="1284"/>
      <c r="D966" s="1284"/>
      <c r="E966" s="8884" t="s">
        <v>623</v>
      </c>
      <c r="F966" s="8884"/>
      <c r="G966" s="8884"/>
      <c r="H966" s="8883"/>
      <c r="I966" s="1284"/>
      <c r="J966" s="1284"/>
      <c r="K966" s="1284"/>
      <c r="L966" s="1290"/>
      <c r="M966" s="1286"/>
      <c r="N966" s="1286"/>
      <c r="O966" s="1287"/>
      <c r="P966" s="1742"/>
      <c r="Q966" s="299"/>
      <c r="R966" s="276"/>
      <c r="S966" s="6072"/>
      <c r="T966" s="6073" t="s">
        <v>950</v>
      </c>
      <c r="U966" s="6074"/>
      <c r="V966" s="6075"/>
      <c r="W966" s="6076"/>
      <c r="X966" s="6077"/>
      <c r="Y966" s="6078"/>
      <c r="Z966" s="6079"/>
      <c r="AA966" s="6080"/>
      <c r="AB966" s="6081"/>
      <c r="AC966" s="6082"/>
      <c r="AD966" s="6083"/>
      <c r="AE966" s="6084"/>
      <c r="AF966" s="6085"/>
      <c r="AG966" s="6086"/>
      <c r="AH966" s="6087"/>
      <c r="AI966" s="6088"/>
      <c r="AJ966" s="6089"/>
      <c r="AK966" s="6090"/>
      <c r="AL966" s="1562"/>
      <c r="AM966" s="1544"/>
      <c r="AN966" s="1544" t="str">
        <f t="shared" si="15"/>
        <v>Добавить наименование признака дифференциации</v>
      </c>
      <c r="AO966" s="1544"/>
      <c r="AP966" s="1544"/>
    </row>
    <row r="967" spans="1:42" s="541" customFormat="1" ht="14.25" customHeight="1">
      <c r="A967" s="1265"/>
      <c r="B967" s="1265"/>
      <c r="C967" s="1265"/>
      <c r="D967" s="1265"/>
      <c r="E967" s="8884" t="s">
        <v>623</v>
      </c>
      <c r="F967" s="8883"/>
      <c r="G967" s="1265"/>
      <c r="H967" s="1265"/>
      <c r="I967" s="1265"/>
      <c r="J967" s="1265"/>
      <c r="K967" s="1265"/>
      <c r="L967" s="1466"/>
      <c r="M967" s="1244"/>
      <c r="N967" s="1244"/>
      <c r="O967" s="1562"/>
      <c r="P967" s="1239"/>
      <c r="Q967" s="1266"/>
      <c r="R967" s="1239"/>
      <c r="S967" s="1245"/>
      <c r="T967" s="1248" t="s">
        <v>314</v>
      </c>
      <c r="U967" s="1247"/>
      <c r="V967" s="1247"/>
      <c r="W967" s="1247"/>
      <c r="X967" s="1247"/>
      <c r="Y967" s="1247"/>
      <c r="Z967" s="1247"/>
      <c r="AA967" s="1247"/>
      <c r="AB967" s="1247"/>
      <c r="AC967" s="1247"/>
      <c r="AD967" s="1247"/>
      <c r="AE967" s="1247"/>
      <c r="AF967" s="1247"/>
      <c r="AG967" s="1247"/>
      <c r="AH967" s="1247"/>
      <c r="AI967" s="1247"/>
      <c r="AJ967" s="1247"/>
      <c r="AK967" s="1247"/>
      <c r="AL967" s="1562"/>
      <c r="AM967" s="1544"/>
      <c r="AN967" s="1544" t="str">
        <f t="shared" si="15"/>
        <v>Добавить централизованную систему для дифференциации</v>
      </c>
      <c r="AO967" s="1544"/>
      <c r="AP967" s="1544"/>
    </row>
    <row r="968" spans="1:42" s="541" customFormat="1" ht="14.25" customHeight="1">
      <c r="A968" s="1265"/>
      <c r="B968" s="1265"/>
      <c r="C968" s="1265"/>
      <c r="D968" s="1265"/>
      <c r="E968" s="8883" t="s">
        <v>623</v>
      </c>
      <c r="F968" s="1265"/>
      <c r="G968" s="1265"/>
      <c r="H968" s="1265"/>
      <c r="I968" s="1265"/>
      <c r="J968" s="1265"/>
      <c r="K968" s="1265"/>
      <c r="L968" s="1466"/>
      <c r="M968" s="1244"/>
      <c r="N968" s="1244"/>
      <c r="O968" s="1562"/>
      <c r="P968" s="1239"/>
      <c r="Q968" s="1266"/>
      <c r="R968" s="1239"/>
      <c r="S968" s="1245"/>
      <c r="T968" s="1248" t="s">
        <v>315</v>
      </c>
      <c r="U968" s="1247"/>
      <c r="V968" s="1247"/>
      <c r="W968" s="1247"/>
      <c r="X968" s="1247"/>
      <c r="Y968" s="1247"/>
      <c r="Z968" s="1247"/>
      <c r="AA968" s="1247"/>
      <c r="AB968" s="1247"/>
      <c r="AC968" s="1247"/>
      <c r="AD968" s="1247"/>
      <c r="AE968" s="1247"/>
      <c r="AF968" s="1247"/>
      <c r="AG968" s="1247"/>
      <c r="AH968" s="1247"/>
      <c r="AI968" s="1247"/>
      <c r="AJ968" s="1247"/>
      <c r="AK968" s="1247"/>
      <c r="AL968" s="1562"/>
      <c r="AM968" s="1544"/>
      <c r="AN968" s="1544" t="str">
        <f t="shared" si="15"/>
        <v>Добавить территорию для дифференциации</v>
      </c>
      <c r="AO968" s="1544"/>
      <c r="AP968" s="1544"/>
    </row>
    <row r="969" spans="1:42" s="1818" customFormat="1" ht="23.25" customHeight="1">
      <c r="A969" s="1284" t="s">
        <v>637</v>
      </c>
      <c r="B969" s="1284"/>
      <c r="C969" s="1284"/>
      <c r="D969" s="1284"/>
      <c r="E969" s="8883" t="s">
        <v>635</v>
      </c>
      <c r="F969" s="1284"/>
      <c r="G969" s="1284"/>
      <c r="H969" s="1284"/>
      <c r="I969" s="1284"/>
      <c r="J969" s="1284"/>
      <c r="K969" s="1284"/>
      <c r="L969" s="1290"/>
      <c r="M969" s="1286"/>
      <c r="N969" s="1286"/>
      <c r="O969" s="1286"/>
      <c r="P969" s="1812"/>
      <c r="Q969" s="1742"/>
      <c r="R969" s="276"/>
      <c r="S969" s="1810" t="str">
        <f>INDEX(PT_DIFFERENTIATION_NUM_NTAR,MATCH(A969,PT_DIFFERENTIATION_NTAR_ID,0))</f>
        <v>59</v>
      </c>
      <c r="T969" s="1440" t="s">
        <v>211</v>
      </c>
      <c r="U969" s="214"/>
      <c r="V969" s="8869"/>
      <c r="W969" s="8870"/>
      <c r="X969" s="8870"/>
      <c r="Y969" s="8870"/>
      <c r="Z969" s="8870"/>
      <c r="AA969" s="8870"/>
      <c r="AB969" s="8871"/>
      <c r="AC969" s="8869" t="str">
        <f>INDEX(PT_DIFFERENTIATION_NTAR,MATCH(A969,PT_DIFFERENTIATION_NTAR_ID,0))</f>
        <v>Подвоз воды потребителям поселка Правоберезовского</v>
      </c>
      <c r="AD969" s="8870"/>
      <c r="AE969" s="8870"/>
      <c r="AF969" s="8870"/>
      <c r="AG969" s="8870"/>
      <c r="AH969" s="8870"/>
      <c r="AI969" s="8870"/>
      <c r="AJ969" s="8871"/>
      <c r="AK96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969" s="1562"/>
      <c r="AM969" s="1544"/>
      <c r="AN969" s="1544" t="str">
        <f t="shared" si="15"/>
        <v>Наименование тарифа</v>
      </c>
      <c r="AO969" s="1544"/>
      <c r="AP969" s="1544"/>
    </row>
    <row r="970" spans="1:42" s="1818" customFormat="1" ht="23.25" customHeight="1">
      <c r="A970" s="1284"/>
      <c r="B970" s="1284" t="s">
        <v>638</v>
      </c>
      <c r="C970" s="1284"/>
      <c r="D970" s="1284"/>
      <c r="E970" s="8884" t="s">
        <v>629</v>
      </c>
      <c r="F970" s="8883">
        <v>1</v>
      </c>
      <c r="G970" s="1284"/>
      <c r="H970" s="1284"/>
      <c r="I970" s="1284"/>
      <c r="J970" s="1284"/>
      <c r="K970" s="1284"/>
      <c r="L970" s="1290"/>
      <c r="M970" s="1286"/>
      <c r="N970" s="1286"/>
      <c r="O970" s="1286"/>
      <c r="P970" s="1807"/>
      <c r="Q970" s="273"/>
      <c r="R970" s="274"/>
      <c r="S970" s="1810" t="str">
        <f>INDEX(PT_DIFFERENTIATION_NUM_TER,MATCH(B970,PT_DIFFERENTIATION_TER_ID,0))</f>
        <v>59.1</v>
      </c>
      <c r="T970" s="1437" t="s">
        <v>862</v>
      </c>
      <c r="U970" s="214"/>
      <c r="V970" s="8869"/>
      <c r="W970" s="8870"/>
      <c r="X970" s="8870"/>
      <c r="Y970" s="8870"/>
      <c r="Z970" s="8870"/>
      <c r="AA970" s="8870"/>
      <c r="AB970" s="8871"/>
      <c r="AC970" s="8869" t="str">
        <f>INDEX(PT_DIFFERENTIATION_TER,MATCH(B970,PT_DIFFERENTIATION_TER_ID,0))</f>
        <v>Территория 17</v>
      </c>
      <c r="AD970" s="8870"/>
      <c r="AE970" s="8870"/>
      <c r="AF970" s="8870"/>
      <c r="AG970" s="8870"/>
      <c r="AH970" s="8870"/>
      <c r="AI970" s="8870"/>
      <c r="AJ970" s="8871"/>
      <c r="AK970" s="1182" t="s">
        <v>863</v>
      </c>
      <c r="AL970" s="1562"/>
      <c r="AM970" s="1544"/>
      <c r="AN970" s="1544" t="str">
        <f t="shared" si="15"/>
        <v>Территория действия тарифа</v>
      </c>
      <c r="AO970" s="1544"/>
      <c r="AP970" s="1544"/>
    </row>
    <row r="971" spans="1:42" s="1818" customFormat="1" ht="23.25" customHeight="1">
      <c r="A971" s="1284"/>
      <c r="B971" s="1284"/>
      <c r="C971" s="1284" t="s">
        <v>639</v>
      </c>
      <c r="D971" s="1284"/>
      <c r="E971" s="8884" t="s">
        <v>629</v>
      </c>
      <c r="F971" s="8884"/>
      <c r="G971" s="8883">
        <v>1</v>
      </c>
      <c r="H971" s="1284"/>
      <c r="I971" s="1284"/>
      <c r="J971" s="1284"/>
      <c r="K971" s="1284"/>
      <c r="L971" s="1290"/>
      <c r="M971" s="1286"/>
      <c r="N971" s="1286"/>
      <c r="O971" s="1286"/>
      <c r="P971" s="275"/>
      <c r="Q971" s="273"/>
      <c r="R971" s="274"/>
      <c r="S971" s="1810" t="str">
        <f>INDEX(PT_DIFFERENTIATION_NUM_CS,MATCH(C971,PT_DIFFERENTIATION_CS_ID,0))</f>
        <v>59.1.1</v>
      </c>
      <c r="T971" s="225" t="s">
        <v>943</v>
      </c>
      <c r="U971" s="214"/>
      <c r="V971" s="8869"/>
      <c r="W971" s="8870"/>
      <c r="X971" s="8870"/>
      <c r="Y971" s="8870"/>
      <c r="Z971" s="8870"/>
      <c r="AA971" s="8870"/>
      <c r="AB971" s="8871"/>
      <c r="AC971" s="8869" t="str">
        <f>INDEX(PT_DIFFERENTIATION_CS,MATCH(C971,PT_DIFFERENTIATION_CS_ID,0))</f>
        <v>без дифференциации</v>
      </c>
      <c r="AD971" s="8870"/>
      <c r="AE971" s="8870"/>
      <c r="AF971" s="8870"/>
      <c r="AG971" s="8870"/>
      <c r="AH971" s="8870"/>
      <c r="AI971" s="8870"/>
      <c r="AJ971" s="8871"/>
      <c r="AK971" s="1182" t="s">
        <v>944</v>
      </c>
      <c r="AL971" s="1562"/>
      <c r="AM971" s="1544"/>
      <c r="AN971" s="1544" t="str">
        <f t="shared" si="15"/>
        <v>Наименование централизованной системы холодного водоснабжения</v>
      </c>
      <c r="AO971" s="1544"/>
      <c r="AP971" s="1544"/>
    </row>
    <row r="972" spans="1:42" s="1818" customFormat="1" ht="23.25" customHeight="1">
      <c r="A972" s="1284"/>
      <c r="B972" s="1284"/>
      <c r="C972" s="1284"/>
      <c r="D972" s="1284"/>
      <c r="E972" s="8884" t="s">
        <v>629</v>
      </c>
      <c r="F972" s="8884"/>
      <c r="G972" s="8884"/>
      <c r="H972" s="8884"/>
      <c r="I972" s="8881" t="str">
        <f>S971&amp;".1"</f>
        <v>59.1.1.1</v>
      </c>
      <c r="J972" s="1284"/>
      <c r="K972" s="1284"/>
      <c r="L972" s="1290"/>
      <c r="M972" s="1696"/>
      <c r="N972" s="1696"/>
      <c r="O972" s="1696"/>
      <c r="P972" s="8882">
        <v>1</v>
      </c>
      <c r="Q972" s="1811"/>
      <c r="R972" s="277"/>
      <c r="S972" s="1810" t="str">
        <f>$I972</f>
        <v>59.1.1.1</v>
      </c>
      <c r="T972" s="200" t="s">
        <v>945</v>
      </c>
      <c r="U972" s="214"/>
      <c r="V972" s="8942"/>
      <c r="W972" s="8943"/>
      <c r="X972" s="8943"/>
      <c r="Y972" s="8943"/>
      <c r="Z972" s="8943"/>
      <c r="AA972" s="8943"/>
      <c r="AB972" s="8944"/>
      <c r="AC972" s="8945"/>
      <c r="AD972" s="8946"/>
      <c r="AE972" s="8946"/>
      <c r="AF972" s="8946"/>
      <c r="AG972" s="8946"/>
      <c r="AH972" s="8946"/>
      <c r="AI972" s="8946"/>
      <c r="AJ972" s="8947"/>
      <c r="AK972" s="1182" t="s">
        <v>946</v>
      </c>
      <c r="AL972" s="1562"/>
      <c r="AM972" s="1544"/>
      <c r="AN972" s="1544" t="str">
        <f t="shared" si="15"/>
        <v>Наименование признака дифференциации</v>
      </c>
      <c r="AO972" s="1544"/>
      <c r="AP972" s="1544"/>
    </row>
    <row r="973" spans="1:42" s="1818" customFormat="1" ht="23.25" customHeight="1">
      <c r="A973" s="1284"/>
      <c r="B973" s="1284"/>
      <c r="C973" s="1284"/>
      <c r="D973" s="1284"/>
      <c r="E973" s="8884" t="s">
        <v>629</v>
      </c>
      <c r="F973" s="8884"/>
      <c r="G973" s="8884"/>
      <c r="H973" s="8884"/>
      <c r="I973" s="8904"/>
      <c r="J973" s="8881" t="str">
        <f>I972&amp;".1"</f>
        <v>59.1.1.1.1</v>
      </c>
      <c r="K973" s="1284"/>
      <c r="L973" s="1290" t="s">
        <v>871</v>
      </c>
      <c r="M973" s="1696"/>
      <c r="N973" s="1696"/>
      <c r="O973" s="1696"/>
      <c r="P973" s="8882"/>
      <c r="Q973" s="8882">
        <v>1</v>
      </c>
      <c r="R973" s="278"/>
      <c r="S973" s="1810" t="str">
        <f>$J973</f>
        <v>59.1.1.1.1</v>
      </c>
      <c r="T973" s="201" t="s">
        <v>872</v>
      </c>
      <c r="U973" s="214"/>
      <c r="V973" s="8872"/>
      <c r="W973" s="8873"/>
      <c r="X973" s="8873"/>
      <c r="Y973" s="8873"/>
      <c r="Z973" s="8873"/>
      <c r="AA973" s="8873"/>
      <c r="AB973" s="8874"/>
      <c r="AC973" s="8872" t="s">
        <v>961</v>
      </c>
      <c r="AD973" s="8873"/>
      <c r="AE973" s="8873"/>
      <c r="AF973" s="8873"/>
      <c r="AG973" s="8873"/>
      <c r="AH973" s="8873"/>
      <c r="AI973" s="8873"/>
      <c r="AJ973" s="8874"/>
      <c r="AK973" s="1231" t="s">
        <v>947</v>
      </c>
      <c r="AL973" s="1562"/>
      <c r="AM973" s="1544"/>
      <c r="AN973" s="1544" t="str">
        <f t="shared" si="15"/>
        <v>Группа потребителей</v>
      </c>
      <c r="AO973" s="1544"/>
      <c r="AP973" s="1544"/>
    </row>
    <row r="974" spans="1:42" s="1818" customFormat="1" ht="23.25" customHeight="1">
      <c r="A974" s="1284"/>
      <c r="B974" s="1284"/>
      <c r="C974" s="1284"/>
      <c r="D974" s="1284"/>
      <c r="E974" s="8884" t="s">
        <v>629</v>
      </c>
      <c r="F974" s="8884"/>
      <c r="G974" s="8884"/>
      <c r="H974" s="8884"/>
      <c r="I974" s="8904"/>
      <c r="J974" s="8904"/>
      <c r="K974" s="8881" t="str">
        <f>J973&amp;".1"</f>
        <v>59.1.1.1.1.1</v>
      </c>
      <c r="L974" s="1290"/>
      <c r="M974" s="1696"/>
      <c r="N974" s="1696"/>
      <c r="O974" s="1696"/>
      <c r="P974" s="8882"/>
      <c r="Q974" s="8882"/>
      <c r="R974" s="278">
        <v>1</v>
      </c>
      <c r="S974" s="1810" t="str">
        <f>$K974</f>
        <v>59.1.1.1.1.1</v>
      </c>
      <c r="T974" s="1357" t="s">
        <v>962</v>
      </c>
      <c r="U974" s="214"/>
      <c r="V974" s="666"/>
      <c r="W974" s="666"/>
      <c r="X974" s="1181"/>
      <c r="Y974" s="8886"/>
      <c r="Z974" s="8734" t="s">
        <v>63</v>
      </c>
      <c r="AA974" s="8886"/>
      <c r="AB974" s="8734" t="s">
        <v>63</v>
      </c>
      <c r="AC974" s="666">
        <v>384.62</v>
      </c>
      <c r="AD974" s="666"/>
      <c r="AE974" s="1181"/>
      <c r="AF974" s="8886">
        <v>45292</v>
      </c>
      <c r="AG974" s="8734" t="s">
        <v>63</v>
      </c>
      <c r="AH974" s="8905">
        <v>45657</v>
      </c>
      <c r="AI974" s="8734" t="s">
        <v>63</v>
      </c>
      <c r="AJ974" s="1358"/>
      <c r="AK97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74" s="1562" t="e">
        <f ca="1">STRCHECKDATE(V975:AJ975)</f>
        <v>#NAME?</v>
      </c>
      <c r="AM974" s="1544"/>
      <c r="AN974" s="1544" t="str">
        <f t="shared" si="15"/>
        <v>Тариф для населения, руб. за 1 куб. метр с НДС</v>
      </c>
      <c r="AO974" s="1544"/>
      <c r="AP974" s="1544"/>
    </row>
    <row r="975" spans="1:42" s="1818" customFormat="1" ht="14.25" customHeight="1">
      <c r="A975" s="1284"/>
      <c r="B975" s="1284"/>
      <c r="C975" s="1284"/>
      <c r="D975" s="1284"/>
      <c r="E975" s="8884" t="s">
        <v>629</v>
      </c>
      <c r="F975" s="8884"/>
      <c r="G975" s="8884"/>
      <c r="H975" s="8884"/>
      <c r="I975" s="8904"/>
      <c r="J975" s="8904"/>
      <c r="K975" s="8881"/>
      <c r="L975" s="1290"/>
      <c r="M975" s="1696"/>
      <c r="N975" s="1696"/>
      <c r="O975" s="1696"/>
      <c r="P975" s="8882"/>
      <c r="Q975" s="8882"/>
      <c r="R975" s="278"/>
      <c r="S975" s="1815"/>
      <c r="T975" s="214"/>
      <c r="U975" s="214"/>
      <c r="V975" s="246"/>
      <c r="W975" s="246"/>
      <c r="X975" s="250" t="str">
        <f>Y974&amp;"-"&amp;AA974</f>
        <v>-</v>
      </c>
      <c r="Y975" s="8887"/>
      <c r="Z975" s="8734"/>
      <c r="AA975" s="8887"/>
      <c r="AB975" s="8734"/>
      <c r="AC975" s="246"/>
      <c r="AD975" s="246"/>
      <c r="AE975" s="250" t="str">
        <f>AF974&amp;"-"&amp;AH974</f>
        <v>45292-45657</v>
      </c>
      <c r="AF975" s="8887"/>
      <c r="AG975" s="8734"/>
      <c r="AH975" s="8906"/>
      <c r="AI975" s="8734"/>
      <c r="AJ975" s="1359"/>
      <c r="AK975" s="8941"/>
      <c r="AL975" s="1562"/>
      <c r="AM975" s="1544"/>
      <c r="AN975" s="1544" t="str">
        <f t="shared" si="15"/>
        <v/>
      </c>
      <c r="AO975" s="1544"/>
      <c r="AP975" s="1544"/>
    </row>
    <row r="976" spans="1:42" s="1818" customFormat="1" ht="21" customHeight="1">
      <c r="A976" s="1284"/>
      <c r="B976" s="1284"/>
      <c r="C976" s="1284"/>
      <c r="D976" s="1284"/>
      <c r="E976" s="8884" t="s">
        <v>629</v>
      </c>
      <c r="F976" s="8884"/>
      <c r="G976" s="8884"/>
      <c r="H976" s="8884"/>
      <c r="I976" s="8904"/>
      <c r="J976" s="8881"/>
      <c r="K976" s="1284"/>
      <c r="L976" s="1290"/>
      <c r="M976" s="1696"/>
      <c r="N976" s="1696"/>
      <c r="O976" s="1696"/>
      <c r="P976" s="8882"/>
      <c r="Q976" s="8882"/>
      <c r="R976" s="277"/>
      <c r="S976" s="6091"/>
      <c r="T976" s="6092" t="s">
        <v>948</v>
      </c>
      <c r="U976" s="6093"/>
      <c r="V976" s="6094"/>
      <c r="W976" s="6095"/>
      <c r="X976" s="6096"/>
      <c r="Y976" s="6097"/>
      <c r="Z976" s="6098"/>
      <c r="AA976" s="6099"/>
      <c r="AB976" s="6100"/>
      <c r="AC976" s="6101"/>
      <c r="AD976" s="6102"/>
      <c r="AE976" s="6103"/>
      <c r="AF976" s="6104"/>
      <c r="AG976" s="6105"/>
      <c r="AH976" s="6106"/>
      <c r="AI976" s="6107"/>
      <c r="AJ976" s="6108"/>
      <c r="AK976" s="1182" t="s">
        <v>949</v>
      </c>
      <c r="AL976" s="1562"/>
      <c r="AM976" s="1544"/>
      <c r="AN976" s="1544" t="str">
        <f t="shared" si="15"/>
        <v>Добавить значение признака дифференциации</v>
      </c>
      <c r="AO976" s="1544"/>
      <c r="AP976" s="1544"/>
    </row>
    <row r="977" spans="1:42" s="1818" customFormat="1" ht="23.25" customHeight="1">
      <c r="A977" s="1284"/>
      <c r="B977" s="1284"/>
      <c r="C977" s="1284"/>
      <c r="D977" s="1284"/>
      <c r="E977" s="8884"/>
      <c r="F977" s="8884"/>
      <c r="G977" s="8884"/>
      <c r="H977" s="8884"/>
      <c r="I977" s="8904"/>
      <c r="J977" s="8881" t="str">
        <f>I972&amp;".2"</f>
        <v>59.1.1.1.2</v>
      </c>
      <c r="K977" s="1284"/>
      <c r="L977" s="1290" t="s">
        <v>871</v>
      </c>
      <c r="M977" s="1696"/>
      <c r="N977" s="1696"/>
      <c r="O977" s="1696"/>
      <c r="P977" s="8882"/>
      <c r="Q977" s="8948" t="s">
        <v>100</v>
      </c>
      <c r="R977" s="278"/>
      <c r="S977" s="1810" t="str">
        <f>$J977</f>
        <v>59.1.1.1.2</v>
      </c>
      <c r="T977" s="201" t="s">
        <v>872</v>
      </c>
      <c r="U977" s="214"/>
      <c r="V977" s="8872"/>
      <c r="W977" s="8873"/>
      <c r="X977" s="8873"/>
      <c r="Y977" s="8873"/>
      <c r="Z977" s="8873"/>
      <c r="AA977" s="8873"/>
      <c r="AB977" s="8874"/>
      <c r="AC977" s="8872" t="s">
        <v>963</v>
      </c>
      <c r="AD977" s="8873"/>
      <c r="AE977" s="8873"/>
      <c r="AF977" s="8873"/>
      <c r="AG977" s="8873"/>
      <c r="AH977" s="8873"/>
      <c r="AI977" s="8873"/>
      <c r="AJ977" s="8874"/>
      <c r="AK977" s="1231" t="s">
        <v>947</v>
      </c>
      <c r="AL977" s="1562"/>
      <c r="AM977" s="1544"/>
      <c r="AN977" s="1544" t="str">
        <f t="shared" si="15"/>
        <v>Группа потребителей</v>
      </c>
      <c r="AO977" s="1544"/>
      <c r="AP977" s="1544"/>
    </row>
    <row r="978" spans="1:42" s="1818" customFormat="1" ht="23.25" customHeight="1">
      <c r="A978" s="1284"/>
      <c r="B978" s="1284"/>
      <c r="C978" s="1284"/>
      <c r="D978" s="1284"/>
      <c r="E978" s="8884"/>
      <c r="F978" s="8884"/>
      <c r="G978" s="8884"/>
      <c r="H978" s="8884"/>
      <c r="I978" s="8904"/>
      <c r="J978" s="8904" t="str">
        <f>I972&amp;".1"</f>
        <v>59.1.1.1.1</v>
      </c>
      <c r="K978" s="8881" t="str">
        <f>J977&amp;".1"</f>
        <v>59.1.1.1.2.1</v>
      </c>
      <c r="L978" s="1290"/>
      <c r="M978" s="1696"/>
      <c r="N978" s="1696"/>
      <c r="O978" s="1696"/>
      <c r="P978" s="8882"/>
      <c r="Q978" s="8882"/>
      <c r="R978" s="278">
        <v>1</v>
      </c>
      <c r="S978" s="1810" t="str">
        <f>$K978</f>
        <v>59.1.1.1.2.1</v>
      </c>
      <c r="T978" s="1357" t="s">
        <v>964</v>
      </c>
      <c r="U978" s="214"/>
      <c r="V978" s="666"/>
      <c r="W978" s="666"/>
      <c r="X978" s="1181"/>
      <c r="Y978" s="8886"/>
      <c r="Z978" s="8734" t="s">
        <v>63</v>
      </c>
      <c r="AA978" s="8886"/>
      <c r="AB978" s="8734" t="s">
        <v>63</v>
      </c>
      <c r="AC978" s="666">
        <v>320.52</v>
      </c>
      <c r="AD978" s="666"/>
      <c r="AE978" s="1181"/>
      <c r="AF978" s="8886">
        <v>45292</v>
      </c>
      <c r="AG978" s="8734" t="s">
        <v>63</v>
      </c>
      <c r="AH978" s="8905">
        <v>45657</v>
      </c>
      <c r="AI978" s="8734" t="s">
        <v>63</v>
      </c>
      <c r="AJ978" s="1358"/>
      <c r="AK97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78" s="1562" t="e">
        <f ca="1">STRCHECKDATE(V979:AJ979)</f>
        <v>#NAME?</v>
      </c>
      <c r="AM978" s="1544"/>
      <c r="AN978" s="1544" t="str">
        <f t="shared" si="15"/>
        <v>Тариф, руб. за 1 куб. метр без НДС</v>
      </c>
      <c r="AO978" s="1544"/>
      <c r="AP978" s="1544"/>
    </row>
    <row r="979" spans="1:42" s="1818" customFormat="1" ht="14.25" customHeight="1">
      <c r="A979" s="1284"/>
      <c r="B979" s="1284"/>
      <c r="C979" s="1284"/>
      <c r="D979" s="1284"/>
      <c r="E979" s="8884"/>
      <c r="F979" s="8884"/>
      <c r="G979" s="8884"/>
      <c r="H979" s="8884"/>
      <c r="I979" s="8904"/>
      <c r="J979" s="8904" t="str">
        <f>I972&amp;".1"</f>
        <v>59.1.1.1.1</v>
      </c>
      <c r="K979" s="8881"/>
      <c r="L979" s="1290"/>
      <c r="M979" s="1696"/>
      <c r="N979" s="1696"/>
      <c r="O979" s="1696"/>
      <c r="P979" s="8882"/>
      <c r="Q979" s="8882"/>
      <c r="R979" s="278"/>
      <c r="S979" s="1815"/>
      <c r="T979" s="214"/>
      <c r="U979" s="214"/>
      <c r="V979" s="246"/>
      <c r="W979" s="246"/>
      <c r="X979" s="250" t="str">
        <f>Y978&amp;"-"&amp;AA978</f>
        <v>-</v>
      </c>
      <c r="Y979" s="8887"/>
      <c r="Z979" s="8734"/>
      <c r="AA979" s="8887"/>
      <c r="AB979" s="8734"/>
      <c r="AC979" s="246"/>
      <c r="AD979" s="246"/>
      <c r="AE979" s="250" t="str">
        <f>AF978&amp;"-"&amp;AH978</f>
        <v>45292-45657</v>
      </c>
      <c r="AF979" s="8887"/>
      <c r="AG979" s="8734"/>
      <c r="AH979" s="8906"/>
      <c r="AI979" s="8734"/>
      <c r="AJ979" s="1359"/>
      <c r="AK979" s="8941"/>
      <c r="AL979" s="1562"/>
      <c r="AM979" s="1544"/>
      <c r="AN979" s="1544" t="str">
        <f t="shared" si="15"/>
        <v/>
      </c>
      <c r="AO979" s="1544"/>
      <c r="AP979" s="1544"/>
    </row>
    <row r="980" spans="1:42" s="1818" customFormat="1" ht="21" customHeight="1">
      <c r="A980" s="1284"/>
      <c r="B980" s="1284"/>
      <c r="C980" s="1284"/>
      <c r="D980" s="1284"/>
      <c r="E980" s="8884"/>
      <c r="F980" s="8884"/>
      <c r="G980" s="8884"/>
      <c r="H980" s="8884"/>
      <c r="I980" s="8904"/>
      <c r="J980" s="8881" t="str">
        <f>I972&amp;".1"</f>
        <v>59.1.1.1.1</v>
      </c>
      <c r="K980" s="1284"/>
      <c r="L980" s="1290"/>
      <c r="M980" s="1696"/>
      <c r="N980" s="1696"/>
      <c r="O980" s="1696"/>
      <c r="P980" s="8882"/>
      <c r="Q980" s="8882"/>
      <c r="R980" s="277"/>
      <c r="S980" s="6109"/>
      <c r="T980" s="6110" t="s">
        <v>948</v>
      </c>
      <c r="U980" s="6111"/>
      <c r="V980" s="6112"/>
      <c r="W980" s="6113"/>
      <c r="X980" s="6114"/>
      <c r="Y980" s="6115"/>
      <c r="Z980" s="6116"/>
      <c r="AA980" s="6117"/>
      <c r="AB980" s="6118"/>
      <c r="AC980" s="6119"/>
      <c r="AD980" s="6120"/>
      <c r="AE980" s="6121"/>
      <c r="AF980" s="6122"/>
      <c r="AG980" s="6123"/>
      <c r="AH980" s="6124"/>
      <c r="AI980" s="6125"/>
      <c r="AJ980" s="6126"/>
      <c r="AK980" s="1182" t="s">
        <v>949</v>
      </c>
      <c r="AL980" s="1562"/>
      <c r="AM980" s="1544"/>
      <c r="AN980" s="1544" t="str">
        <f t="shared" si="15"/>
        <v>Добавить значение признака дифференциации</v>
      </c>
      <c r="AO980" s="1544"/>
      <c r="AP980" s="1544"/>
    </row>
    <row r="981" spans="1:42" s="1818" customFormat="1" ht="21" customHeight="1">
      <c r="A981" s="1284"/>
      <c r="B981" s="1284"/>
      <c r="C981" s="1284"/>
      <c r="D981" s="1284"/>
      <c r="E981" s="8884" t="s">
        <v>629</v>
      </c>
      <c r="F981" s="8884"/>
      <c r="G981" s="8884"/>
      <c r="H981" s="8884"/>
      <c r="I981" s="8881"/>
      <c r="J981" s="1284"/>
      <c r="K981" s="1284"/>
      <c r="L981" s="1290"/>
      <c r="M981" s="1696"/>
      <c r="N981" s="1696"/>
      <c r="O981" s="1696"/>
      <c r="P981" s="8882"/>
      <c r="Q981" s="1811"/>
      <c r="R981" s="277"/>
      <c r="S981" s="6127"/>
      <c r="T981" s="6128" t="s">
        <v>877</v>
      </c>
      <c r="U981" s="6129"/>
      <c r="V981" s="6130"/>
      <c r="W981" s="6131"/>
      <c r="X981" s="6132"/>
      <c r="Y981" s="6133"/>
      <c r="Z981" s="6134"/>
      <c r="AA981" s="6135"/>
      <c r="AB981" s="6136"/>
      <c r="AC981" s="6137"/>
      <c r="AD981" s="6138"/>
      <c r="AE981" s="6139"/>
      <c r="AF981" s="6140"/>
      <c r="AG981" s="6141"/>
      <c r="AH981" s="6142"/>
      <c r="AI981" s="6143"/>
      <c r="AJ981" s="6144"/>
      <c r="AK981" s="6145"/>
      <c r="AL981" s="1562"/>
      <c r="AM981" s="1544"/>
      <c r="AN981" s="1544" t="str">
        <f t="shared" si="15"/>
        <v>Добавить группу потребителей</v>
      </c>
      <c r="AO981" s="1544"/>
      <c r="AP981" s="1544"/>
    </row>
    <row r="982" spans="1:42" s="1818" customFormat="1" ht="21" customHeight="1">
      <c r="A982" s="1284"/>
      <c r="B982" s="1284"/>
      <c r="C982" s="1284"/>
      <c r="D982" s="1284"/>
      <c r="E982" s="8884" t="s">
        <v>629</v>
      </c>
      <c r="F982" s="8884"/>
      <c r="G982" s="8884"/>
      <c r="H982" s="8883"/>
      <c r="I982" s="1284"/>
      <c r="J982" s="1284"/>
      <c r="K982" s="1284"/>
      <c r="L982" s="1290"/>
      <c r="M982" s="1286"/>
      <c r="N982" s="1286"/>
      <c r="O982" s="1287"/>
      <c r="P982" s="1742"/>
      <c r="Q982" s="299"/>
      <c r="R982" s="276"/>
      <c r="S982" s="6146"/>
      <c r="T982" s="6147" t="s">
        <v>950</v>
      </c>
      <c r="U982" s="6148"/>
      <c r="V982" s="6149"/>
      <c r="W982" s="6150"/>
      <c r="X982" s="6151"/>
      <c r="Y982" s="6152"/>
      <c r="Z982" s="6153"/>
      <c r="AA982" s="6154"/>
      <c r="AB982" s="6155"/>
      <c r="AC982" s="6156"/>
      <c r="AD982" s="6157"/>
      <c r="AE982" s="6158"/>
      <c r="AF982" s="6159"/>
      <c r="AG982" s="6160"/>
      <c r="AH982" s="6161"/>
      <c r="AI982" s="6162"/>
      <c r="AJ982" s="6163"/>
      <c r="AK982" s="6164"/>
      <c r="AL982" s="1562"/>
      <c r="AM982" s="1544"/>
      <c r="AN982" s="1544" t="str">
        <f t="shared" si="15"/>
        <v>Добавить наименование признака дифференциации</v>
      </c>
      <c r="AO982" s="1544"/>
      <c r="AP982" s="1544"/>
    </row>
    <row r="983" spans="1:42" s="541" customFormat="1" ht="14.25" customHeight="1">
      <c r="A983" s="1265"/>
      <c r="B983" s="1265"/>
      <c r="C983" s="1265"/>
      <c r="D983" s="1265"/>
      <c r="E983" s="8884" t="s">
        <v>629</v>
      </c>
      <c r="F983" s="8883"/>
      <c r="G983" s="1265"/>
      <c r="H983" s="1265"/>
      <c r="I983" s="1265"/>
      <c r="J983" s="1265"/>
      <c r="K983" s="1265"/>
      <c r="L983" s="1466"/>
      <c r="M983" s="1244"/>
      <c r="N983" s="1244"/>
      <c r="O983" s="1562"/>
      <c r="P983" s="1239"/>
      <c r="Q983" s="1266"/>
      <c r="R983" s="1239"/>
      <c r="S983" s="1245"/>
      <c r="T983" s="1248" t="s">
        <v>314</v>
      </c>
      <c r="U983" s="1247"/>
      <c r="V983" s="1247"/>
      <c r="W983" s="1247"/>
      <c r="X983" s="1247"/>
      <c r="Y983" s="1247"/>
      <c r="Z983" s="1247"/>
      <c r="AA983" s="1247"/>
      <c r="AB983" s="1247"/>
      <c r="AC983" s="1247"/>
      <c r="AD983" s="1247"/>
      <c r="AE983" s="1247"/>
      <c r="AF983" s="1247"/>
      <c r="AG983" s="1247"/>
      <c r="AH983" s="1247"/>
      <c r="AI983" s="1247"/>
      <c r="AJ983" s="1247"/>
      <c r="AK983" s="1247"/>
      <c r="AL983" s="1562"/>
      <c r="AM983" s="1544"/>
      <c r="AN983" s="1544" t="str">
        <f t="shared" si="15"/>
        <v>Добавить централизованную систему для дифференциации</v>
      </c>
      <c r="AO983" s="1544"/>
      <c r="AP983" s="1544"/>
    </row>
    <row r="984" spans="1:42" s="541" customFormat="1" ht="14.25" customHeight="1">
      <c r="A984" s="1265"/>
      <c r="B984" s="1265"/>
      <c r="C984" s="1265"/>
      <c r="D984" s="1265"/>
      <c r="E984" s="8883" t="s">
        <v>629</v>
      </c>
      <c r="F984" s="1265"/>
      <c r="G984" s="1265"/>
      <c r="H984" s="1265"/>
      <c r="I984" s="1265"/>
      <c r="J984" s="1265"/>
      <c r="K984" s="1265"/>
      <c r="L984" s="1466"/>
      <c r="M984" s="1244"/>
      <c r="N984" s="1244"/>
      <c r="O984" s="1562"/>
      <c r="P984" s="1239"/>
      <c r="Q984" s="1266"/>
      <c r="R984" s="1239"/>
      <c r="S984" s="1245"/>
      <c r="T984" s="1248" t="s">
        <v>315</v>
      </c>
      <c r="U984" s="1247"/>
      <c r="V984" s="1247"/>
      <c r="W984" s="1247"/>
      <c r="X984" s="1247"/>
      <c r="Y984" s="1247"/>
      <c r="Z984" s="1247"/>
      <c r="AA984" s="1247"/>
      <c r="AB984" s="1247"/>
      <c r="AC984" s="1247"/>
      <c r="AD984" s="1247"/>
      <c r="AE984" s="1247"/>
      <c r="AF984" s="1247"/>
      <c r="AG984" s="1247"/>
      <c r="AH984" s="1247"/>
      <c r="AI984" s="1247"/>
      <c r="AJ984" s="1247"/>
      <c r="AK984" s="1247"/>
      <c r="AL984" s="1562"/>
      <c r="AM984" s="1544"/>
      <c r="AN984" s="1544" t="str">
        <f t="shared" si="15"/>
        <v>Добавить территорию для дифференциации</v>
      </c>
      <c r="AO984" s="1544"/>
      <c r="AP984" s="1544"/>
    </row>
    <row r="985" spans="1:42" s="1818" customFormat="1" ht="23.25" customHeight="1">
      <c r="A985" s="1284" t="s">
        <v>643</v>
      </c>
      <c r="B985" s="1284"/>
      <c r="C985" s="1284"/>
      <c r="D985" s="1284"/>
      <c r="E985" s="8883" t="s">
        <v>641</v>
      </c>
      <c r="F985" s="1284"/>
      <c r="G985" s="1284"/>
      <c r="H985" s="1284"/>
      <c r="I985" s="1284"/>
      <c r="J985" s="1284"/>
      <c r="K985" s="1284"/>
      <c r="L985" s="1290"/>
      <c r="M985" s="1286"/>
      <c r="N985" s="1286"/>
      <c r="O985" s="1286"/>
      <c r="P985" s="1812"/>
      <c r="Q985" s="1742"/>
      <c r="R985" s="276"/>
      <c r="S985" s="1810" t="str">
        <f>INDEX(PT_DIFFERENTIATION_NUM_NTAR,MATCH(A985,PT_DIFFERENTIATION_NTAR_ID,0))</f>
        <v>60</v>
      </c>
      <c r="T985" s="1440" t="s">
        <v>211</v>
      </c>
      <c r="U985" s="214"/>
      <c r="V985" s="8869"/>
      <c r="W985" s="8870"/>
      <c r="X985" s="8870"/>
      <c r="Y985" s="8870"/>
      <c r="Z985" s="8870"/>
      <c r="AA985" s="8870"/>
      <c r="AB985" s="8871"/>
      <c r="AC985" s="8869" t="str">
        <f>INDEX(PT_DIFFERENTIATION_NTAR,MATCH(A985,PT_DIFFERENTIATION_NTAR_ID,0))</f>
        <v>Подвоз воды потребителям аула Бакрес</v>
      </c>
      <c r="AD985" s="8870"/>
      <c r="AE985" s="8870"/>
      <c r="AF985" s="8870"/>
      <c r="AG985" s="8870"/>
      <c r="AH985" s="8870"/>
      <c r="AI985" s="8870"/>
      <c r="AJ985" s="8871"/>
      <c r="AK98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985" s="1562"/>
      <c r="AM985" s="1544"/>
      <c r="AN985" s="1544" t="str">
        <f t="shared" si="15"/>
        <v>Наименование тарифа</v>
      </c>
      <c r="AO985" s="1544"/>
      <c r="AP985" s="1544"/>
    </row>
    <row r="986" spans="1:42" s="1818" customFormat="1" ht="23.25" customHeight="1">
      <c r="A986" s="1284"/>
      <c r="B986" s="1284" t="s">
        <v>644</v>
      </c>
      <c r="C986" s="1284"/>
      <c r="D986" s="1284"/>
      <c r="E986" s="8884" t="s">
        <v>635</v>
      </c>
      <c r="F986" s="8883">
        <v>1</v>
      </c>
      <c r="G986" s="1284"/>
      <c r="H986" s="1284"/>
      <c r="I986" s="1284"/>
      <c r="J986" s="1284"/>
      <c r="K986" s="1284"/>
      <c r="L986" s="1290"/>
      <c r="M986" s="1286"/>
      <c r="N986" s="1286"/>
      <c r="O986" s="1286"/>
      <c r="P986" s="1807"/>
      <c r="Q986" s="273"/>
      <c r="R986" s="274"/>
      <c r="S986" s="1810" t="str">
        <f>INDEX(PT_DIFFERENTIATION_NUM_TER,MATCH(B986,PT_DIFFERENTIATION_TER_ID,0))</f>
        <v>60.1</v>
      </c>
      <c r="T986" s="1437" t="s">
        <v>862</v>
      </c>
      <c r="U986" s="214"/>
      <c r="V986" s="8869"/>
      <c r="W986" s="8870"/>
      <c r="X986" s="8870"/>
      <c r="Y986" s="8870"/>
      <c r="Z986" s="8870"/>
      <c r="AA986" s="8870"/>
      <c r="AB986" s="8871"/>
      <c r="AC986" s="8869" t="str">
        <f>INDEX(PT_DIFFERENTIATION_TER,MATCH(B986,PT_DIFFERENTIATION_TER_ID,0))</f>
        <v>Территория 18</v>
      </c>
      <c r="AD986" s="8870"/>
      <c r="AE986" s="8870"/>
      <c r="AF986" s="8870"/>
      <c r="AG986" s="8870"/>
      <c r="AH986" s="8870"/>
      <c r="AI986" s="8870"/>
      <c r="AJ986" s="8871"/>
      <c r="AK986" s="1182" t="s">
        <v>863</v>
      </c>
      <c r="AL986" s="1562"/>
      <c r="AM986" s="1544"/>
      <c r="AN986" s="1544" t="str">
        <f t="shared" si="15"/>
        <v>Территория действия тарифа</v>
      </c>
      <c r="AO986" s="1544"/>
      <c r="AP986" s="1544"/>
    </row>
    <row r="987" spans="1:42" s="1818" customFormat="1" ht="23.25" customHeight="1">
      <c r="A987" s="1284"/>
      <c r="B987" s="1284"/>
      <c r="C987" s="1284" t="s">
        <v>645</v>
      </c>
      <c r="D987" s="1284"/>
      <c r="E987" s="8884" t="s">
        <v>635</v>
      </c>
      <c r="F987" s="8884"/>
      <c r="G987" s="8883">
        <v>1</v>
      </c>
      <c r="H987" s="1284"/>
      <c r="I987" s="1284"/>
      <c r="J987" s="1284"/>
      <c r="K987" s="1284"/>
      <c r="L987" s="1290"/>
      <c r="M987" s="1286"/>
      <c r="N987" s="1286"/>
      <c r="O987" s="1286"/>
      <c r="P987" s="275"/>
      <c r="Q987" s="273"/>
      <c r="R987" s="274"/>
      <c r="S987" s="1810" t="str">
        <f>INDEX(PT_DIFFERENTIATION_NUM_CS,MATCH(C987,PT_DIFFERENTIATION_CS_ID,0))</f>
        <v>60.1.1</v>
      </c>
      <c r="T987" s="225" t="s">
        <v>943</v>
      </c>
      <c r="U987" s="214"/>
      <c r="V987" s="8869"/>
      <c r="W987" s="8870"/>
      <c r="X987" s="8870"/>
      <c r="Y987" s="8870"/>
      <c r="Z987" s="8870"/>
      <c r="AA987" s="8870"/>
      <c r="AB987" s="8871"/>
      <c r="AC987" s="8869" t="str">
        <f>INDEX(PT_DIFFERENTIATION_CS,MATCH(C987,PT_DIFFERENTIATION_CS_ID,0))</f>
        <v>без дифференциации</v>
      </c>
      <c r="AD987" s="8870"/>
      <c r="AE987" s="8870"/>
      <c r="AF987" s="8870"/>
      <c r="AG987" s="8870"/>
      <c r="AH987" s="8870"/>
      <c r="AI987" s="8870"/>
      <c r="AJ987" s="8871"/>
      <c r="AK987" s="1182" t="s">
        <v>944</v>
      </c>
      <c r="AL987" s="1562"/>
      <c r="AM987" s="1544"/>
      <c r="AN987" s="1544" t="str">
        <f t="shared" si="15"/>
        <v>Наименование централизованной системы холодного водоснабжения</v>
      </c>
      <c r="AO987" s="1544"/>
      <c r="AP987" s="1544"/>
    </row>
    <row r="988" spans="1:42" s="1818" customFormat="1" ht="23.25" customHeight="1">
      <c r="A988" s="1284"/>
      <c r="B988" s="1284"/>
      <c r="C988" s="1284"/>
      <c r="D988" s="1284"/>
      <c r="E988" s="8884" t="s">
        <v>635</v>
      </c>
      <c r="F988" s="8884"/>
      <c r="G988" s="8884"/>
      <c r="H988" s="8884"/>
      <c r="I988" s="8881" t="str">
        <f>S987&amp;".1"</f>
        <v>60.1.1.1</v>
      </c>
      <c r="J988" s="1284"/>
      <c r="K988" s="1284"/>
      <c r="L988" s="1290"/>
      <c r="M988" s="1696"/>
      <c r="N988" s="1696"/>
      <c r="O988" s="1696"/>
      <c r="P988" s="8882">
        <v>1</v>
      </c>
      <c r="Q988" s="1811"/>
      <c r="R988" s="277"/>
      <c r="S988" s="1810" t="str">
        <f>$I988</f>
        <v>60.1.1.1</v>
      </c>
      <c r="T988" s="200" t="s">
        <v>945</v>
      </c>
      <c r="U988" s="214"/>
      <c r="V988" s="8942"/>
      <c r="W988" s="8943"/>
      <c r="X988" s="8943"/>
      <c r="Y988" s="8943"/>
      <c r="Z988" s="8943"/>
      <c r="AA988" s="8943"/>
      <c r="AB988" s="8944"/>
      <c r="AC988" s="8945"/>
      <c r="AD988" s="8946"/>
      <c r="AE988" s="8946"/>
      <c r="AF988" s="8946"/>
      <c r="AG988" s="8946"/>
      <c r="AH988" s="8946"/>
      <c r="AI988" s="8946"/>
      <c r="AJ988" s="8947"/>
      <c r="AK988" s="1182" t="s">
        <v>946</v>
      </c>
      <c r="AL988" s="1562"/>
      <c r="AM988" s="1544"/>
      <c r="AN988" s="1544" t="str">
        <f t="shared" si="15"/>
        <v>Наименование признака дифференциации</v>
      </c>
      <c r="AO988" s="1544"/>
      <c r="AP988" s="1544"/>
    </row>
    <row r="989" spans="1:42" s="1818" customFormat="1" ht="23.25" customHeight="1">
      <c r="A989" s="1284"/>
      <c r="B989" s="1284"/>
      <c r="C989" s="1284"/>
      <c r="D989" s="1284"/>
      <c r="E989" s="8884" t="s">
        <v>635</v>
      </c>
      <c r="F989" s="8884"/>
      <c r="G989" s="8884"/>
      <c r="H989" s="8884"/>
      <c r="I989" s="8904"/>
      <c r="J989" s="8881" t="str">
        <f>I988&amp;".1"</f>
        <v>60.1.1.1.1</v>
      </c>
      <c r="K989" s="1284"/>
      <c r="L989" s="1290" t="s">
        <v>871</v>
      </c>
      <c r="M989" s="1696"/>
      <c r="N989" s="1696"/>
      <c r="O989" s="1696"/>
      <c r="P989" s="8882"/>
      <c r="Q989" s="8882">
        <v>1</v>
      </c>
      <c r="R989" s="278"/>
      <c r="S989" s="1810" t="str">
        <f>$J989</f>
        <v>60.1.1.1.1</v>
      </c>
      <c r="T989" s="201" t="s">
        <v>872</v>
      </c>
      <c r="U989" s="214"/>
      <c r="V989" s="8872"/>
      <c r="W989" s="8873"/>
      <c r="X989" s="8873"/>
      <c r="Y989" s="8873"/>
      <c r="Z989" s="8873"/>
      <c r="AA989" s="8873"/>
      <c r="AB989" s="8874"/>
      <c r="AC989" s="8872" t="s">
        <v>961</v>
      </c>
      <c r="AD989" s="8873"/>
      <c r="AE989" s="8873"/>
      <c r="AF989" s="8873"/>
      <c r="AG989" s="8873"/>
      <c r="AH989" s="8873"/>
      <c r="AI989" s="8873"/>
      <c r="AJ989" s="8874"/>
      <c r="AK989" s="1231" t="s">
        <v>947</v>
      </c>
      <c r="AL989" s="1562"/>
      <c r="AM989" s="1544"/>
      <c r="AN989" s="1544" t="str">
        <f t="shared" si="15"/>
        <v>Группа потребителей</v>
      </c>
      <c r="AO989" s="1544"/>
      <c r="AP989" s="1544"/>
    </row>
    <row r="990" spans="1:42" s="1818" customFormat="1" ht="23.25" customHeight="1">
      <c r="A990" s="1284"/>
      <c r="B990" s="1284"/>
      <c r="C990" s="1284"/>
      <c r="D990" s="1284"/>
      <c r="E990" s="8884" t="s">
        <v>635</v>
      </c>
      <c r="F990" s="8884"/>
      <c r="G990" s="8884"/>
      <c r="H990" s="8884"/>
      <c r="I990" s="8904"/>
      <c r="J990" s="8904"/>
      <c r="K990" s="8881" t="str">
        <f>J989&amp;".1"</f>
        <v>60.1.1.1.1.1</v>
      </c>
      <c r="L990" s="1290"/>
      <c r="M990" s="1696"/>
      <c r="N990" s="1696"/>
      <c r="O990" s="1696"/>
      <c r="P990" s="8882"/>
      <c r="Q990" s="8882"/>
      <c r="R990" s="278">
        <v>1</v>
      </c>
      <c r="S990" s="1810" t="str">
        <f>$K990</f>
        <v>60.1.1.1.1.1</v>
      </c>
      <c r="T990" s="1357" t="s">
        <v>962</v>
      </c>
      <c r="U990" s="214"/>
      <c r="V990" s="666"/>
      <c r="W990" s="666"/>
      <c r="X990" s="1181"/>
      <c r="Y990" s="8886"/>
      <c r="Z990" s="8734" t="s">
        <v>63</v>
      </c>
      <c r="AA990" s="8886"/>
      <c r="AB990" s="8734" t="s">
        <v>63</v>
      </c>
      <c r="AC990" s="666">
        <v>629.72</v>
      </c>
      <c r="AD990" s="666"/>
      <c r="AE990" s="1181"/>
      <c r="AF990" s="8886">
        <v>45292</v>
      </c>
      <c r="AG990" s="8734" t="s">
        <v>63</v>
      </c>
      <c r="AH990" s="8905">
        <v>45657</v>
      </c>
      <c r="AI990" s="8734" t="s">
        <v>63</v>
      </c>
      <c r="AJ990" s="1358"/>
      <c r="AK99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90" s="1562" t="e">
        <f ca="1">STRCHECKDATE(V991:AJ991)</f>
        <v>#NAME?</v>
      </c>
      <c r="AM990" s="1544"/>
      <c r="AN990" s="1544" t="str">
        <f t="shared" si="15"/>
        <v>Тариф для населения, руб. за 1 куб. метр с НДС</v>
      </c>
      <c r="AO990" s="1544"/>
      <c r="AP990" s="1544"/>
    </row>
    <row r="991" spans="1:42" s="1818" customFormat="1" ht="14.25" customHeight="1">
      <c r="A991" s="1284"/>
      <c r="B991" s="1284"/>
      <c r="C991" s="1284"/>
      <c r="D991" s="1284"/>
      <c r="E991" s="8884" t="s">
        <v>635</v>
      </c>
      <c r="F991" s="8884"/>
      <c r="G991" s="8884"/>
      <c r="H991" s="8884"/>
      <c r="I991" s="8904"/>
      <c r="J991" s="8904"/>
      <c r="K991" s="8881"/>
      <c r="L991" s="1290"/>
      <c r="M991" s="1696"/>
      <c r="N991" s="1696"/>
      <c r="O991" s="1696"/>
      <c r="P991" s="8882"/>
      <c r="Q991" s="8882"/>
      <c r="R991" s="278"/>
      <c r="S991" s="1815"/>
      <c r="T991" s="214"/>
      <c r="U991" s="214"/>
      <c r="V991" s="246"/>
      <c r="W991" s="246"/>
      <c r="X991" s="250" t="str">
        <f>Y990&amp;"-"&amp;AA990</f>
        <v>-</v>
      </c>
      <c r="Y991" s="8887"/>
      <c r="Z991" s="8734"/>
      <c r="AA991" s="8887"/>
      <c r="AB991" s="8734"/>
      <c r="AC991" s="246"/>
      <c r="AD991" s="246"/>
      <c r="AE991" s="250" t="str">
        <f>AF990&amp;"-"&amp;AH990</f>
        <v>45292-45657</v>
      </c>
      <c r="AF991" s="8887"/>
      <c r="AG991" s="8734"/>
      <c r="AH991" s="8906"/>
      <c r="AI991" s="8734"/>
      <c r="AJ991" s="1359"/>
      <c r="AK991" s="8941"/>
      <c r="AL991" s="1562"/>
      <c r="AM991" s="1544"/>
      <c r="AN991" s="1544" t="str">
        <f t="shared" si="15"/>
        <v/>
      </c>
      <c r="AO991" s="1544"/>
      <c r="AP991" s="1544"/>
    </row>
    <row r="992" spans="1:42" s="1818" customFormat="1" ht="21" customHeight="1">
      <c r="A992" s="1284"/>
      <c r="B992" s="1284"/>
      <c r="C992" s="1284"/>
      <c r="D992" s="1284"/>
      <c r="E992" s="8884" t="s">
        <v>635</v>
      </c>
      <c r="F992" s="8884"/>
      <c r="G992" s="8884"/>
      <c r="H992" s="8884"/>
      <c r="I992" s="8904"/>
      <c r="J992" s="8881"/>
      <c r="K992" s="1284"/>
      <c r="L992" s="1290"/>
      <c r="M992" s="1696"/>
      <c r="N992" s="1696"/>
      <c r="O992" s="1696"/>
      <c r="P992" s="8882"/>
      <c r="Q992" s="8882"/>
      <c r="R992" s="277"/>
      <c r="S992" s="6165"/>
      <c r="T992" s="6166" t="s">
        <v>948</v>
      </c>
      <c r="U992" s="6167"/>
      <c r="V992" s="6168"/>
      <c r="W992" s="6169"/>
      <c r="X992" s="6170"/>
      <c r="Y992" s="6171"/>
      <c r="Z992" s="6172"/>
      <c r="AA992" s="6173"/>
      <c r="AB992" s="6174"/>
      <c r="AC992" s="6175"/>
      <c r="AD992" s="6176"/>
      <c r="AE992" s="6177"/>
      <c r="AF992" s="6178"/>
      <c r="AG992" s="6179"/>
      <c r="AH992" s="6180"/>
      <c r="AI992" s="6181"/>
      <c r="AJ992" s="6182"/>
      <c r="AK992" s="1182" t="s">
        <v>949</v>
      </c>
      <c r="AL992" s="1562"/>
      <c r="AM992" s="1544"/>
      <c r="AN992" s="1544" t="str">
        <f t="shared" si="15"/>
        <v>Добавить значение признака дифференциации</v>
      </c>
      <c r="AO992" s="1544"/>
      <c r="AP992" s="1544"/>
    </row>
    <row r="993" spans="1:42" s="1818" customFormat="1" ht="23.25" customHeight="1">
      <c r="A993" s="1284"/>
      <c r="B993" s="1284"/>
      <c r="C993" s="1284"/>
      <c r="D993" s="1284"/>
      <c r="E993" s="8884"/>
      <c r="F993" s="8884"/>
      <c r="G993" s="8884"/>
      <c r="H993" s="8884"/>
      <c r="I993" s="8904"/>
      <c r="J993" s="8881" t="str">
        <f>I988&amp;".2"</f>
        <v>60.1.1.1.2</v>
      </c>
      <c r="K993" s="1284"/>
      <c r="L993" s="1290" t="s">
        <v>871</v>
      </c>
      <c r="M993" s="1696"/>
      <c r="N993" s="1696"/>
      <c r="O993" s="1696"/>
      <c r="P993" s="8882"/>
      <c r="Q993" s="8948" t="s">
        <v>100</v>
      </c>
      <c r="R993" s="278"/>
      <c r="S993" s="1810" t="str">
        <f>$J993</f>
        <v>60.1.1.1.2</v>
      </c>
      <c r="T993" s="201" t="s">
        <v>872</v>
      </c>
      <c r="U993" s="214"/>
      <c r="V993" s="8872"/>
      <c r="W993" s="8873"/>
      <c r="X993" s="8873"/>
      <c r="Y993" s="8873"/>
      <c r="Z993" s="8873"/>
      <c r="AA993" s="8873"/>
      <c r="AB993" s="8874"/>
      <c r="AC993" s="8872" t="s">
        <v>963</v>
      </c>
      <c r="AD993" s="8873"/>
      <c r="AE993" s="8873"/>
      <c r="AF993" s="8873"/>
      <c r="AG993" s="8873"/>
      <c r="AH993" s="8873"/>
      <c r="AI993" s="8873"/>
      <c r="AJ993" s="8874"/>
      <c r="AK993" s="1231" t="s">
        <v>947</v>
      </c>
      <c r="AL993" s="1562"/>
      <c r="AM993" s="1544"/>
      <c r="AN993" s="1544" t="str">
        <f t="shared" si="15"/>
        <v>Группа потребителей</v>
      </c>
      <c r="AO993" s="1544"/>
      <c r="AP993" s="1544"/>
    </row>
    <row r="994" spans="1:42" s="1818" customFormat="1" ht="23.25" customHeight="1">
      <c r="A994" s="1284"/>
      <c r="B994" s="1284"/>
      <c r="C994" s="1284"/>
      <c r="D994" s="1284"/>
      <c r="E994" s="8884"/>
      <c r="F994" s="8884"/>
      <c r="G994" s="8884"/>
      <c r="H994" s="8884"/>
      <c r="I994" s="8904"/>
      <c r="J994" s="8904" t="str">
        <f>I988&amp;".1"</f>
        <v>60.1.1.1.1</v>
      </c>
      <c r="K994" s="8881" t="str">
        <f>J993&amp;".1"</f>
        <v>60.1.1.1.2.1</v>
      </c>
      <c r="L994" s="1290"/>
      <c r="M994" s="1696"/>
      <c r="N994" s="1696"/>
      <c r="O994" s="1696"/>
      <c r="P994" s="8882"/>
      <c r="Q994" s="8882"/>
      <c r="R994" s="278">
        <v>1</v>
      </c>
      <c r="S994" s="1810" t="str">
        <f>$K994</f>
        <v>60.1.1.1.2.1</v>
      </c>
      <c r="T994" s="1357" t="s">
        <v>964</v>
      </c>
      <c r="U994" s="214"/>
      <c r="V994" s="666"/>
      <c r="W994" s="666"/>
      <c r="X994" s="1181"/>
      <c r="Y994" s="8886"/>
      <c r="Z994" s="8734" t="s">
        <v>63</v>
      </c>
      <c r="AA994" s="8886"/>
      <c r="AB994" s="8734" t="s">
        <v>63</v>
      </c>
      <c r="AC994" s="666">
        <v>524.77</v>
      </c>
      <c r="AD994" s="666"/>
      <c r="AE994" s="1181"/>
      <c r="AF994" s="8886">
        <v>45292</v>
      </c>
      <c r="AG994" s="8734" t="s">
        <v>63</v>
      </c>
      <c r="AH994" s="8905">
        <v>45657</v>
      </c>
      <c r="AI994" s="8734" t="s">
        <v>63</v>
      </c>
      <c r="AJ994" s="1358"/>
      <c r="AK99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94" s="1562" t="e">
        <f ca="1">STRCHECKDATE(V995:AJ995)</f>
        <v>#NAME?</v>
      </c>
      <c r="AM994" s="1544"/>
      <c r="AN994" s="1544" t="str">
        <f t="shared" si="15"/>
        <v>Тариф, руб. за 1 куб. метр без НДС</v>
      </c>
      <c r="AO994" s="1544"/>
      <c r="AP994" s="1544"/>
    </row>
    <row r="995" spans="1:42" s="1818" customFormat="1" ht="14.25" customHeight="1">
      <c r="A995" s="1284"/>
      <c r="B995" s="1284"/>
      <c r="C995" s="1284"/>
      <c r="D995" s="1284"/>
      <c r="E995" s="8884"/>
      <c r="F995" s="8884"/>
      <c r="G995" s="8884"/>
      <c r="H995" s="8884"/>
      <c r="I995" s="8904"/>
      <c r="J995" s="8904" t="str">
        <f>I988&amp;".1"</f>
        <v>60.1.1.1.1</v>
      </c>
      <c r="K995" s="8881"/>
      <c r="L995" s="1290"/>
      <c r="M995" s="1696"/>
      <c r="N995" s="1696"/>
      <c r="O995" s="1696"/>
      <c r="P995" s="8882"/>
      <c r="Q995" s="8882"/>
      <c r="R995" s="278"/>
      <c r="S995" s="1815"/>
      <c r="T995" s="214"/>
      <c r="U995" s="214"/>
      <c r="V995" s="246"/>
      <c r="W995" s="246"/>
      <c r="X995" s="250" t="str">
        <f>Y994&amp;"-"&amp;AA994</f>
        <v>-</v>
      </c>
      <c r="Y995" s="8887"/>
      <c r="Z995" s="8734"/>
      <c r="AA995" s="8887"/>
      <c r="AB995" s="8734"/>
      <c r="AC995" s="246"/>
      <c r="AD995" s="246"/>
      <c r="AE995" s="250" t="str">
        <f>AF994&amp;"-"&amp;AH994</f>
        <v>45292-45657</v>
      </c>
      <c r="AF995" s="8887"/>
      <c r="AG995" s="8734"/>
      <c r="AH995" s="8906"/>
      <c r="AI995" s="8734"/>
      <c r="AJ995" s="1359"/>
      <c r="AK995" s="8941"/>
      <c r="AL995" s="1562"/>
      <c r="AM995" s="1544"/>
      <c r="AN995" s="1544" t="str">
        <f t="shared" si="15"/>
        <v/>
      </c>
      <c r="AO995" s="1544"/>
      <c r="AP995" s="1544"/>
    </row>
    <row r="996" spans="1:42" s="1818" customFormat="1" ht="21" customHeight="1">
      <c r="A996" s="1284"/>
      <c r="B996" s="1284"/>
      <c r="C996" s="1284"/>
      <c r="D996" s="1284"/>
      <c r="E996" s="8884"/>
      <c r="F996" s="8884"/>
      <c r="G996" s="8884"/>
      <c r="H996" s="8884"/>
      <c r="I996" s="8904"/>
      <c r="J996" s="8881" t="str">
        <f>I988&amp;".1"</f>
        <v>60.1.1.1.1</v>
      </c>
      <c r="K996" s="1284"/>
      <c r="L996" s="1290"/>
      <c r="M996" s="1696"/>
      <c r="N996" s="1696"/>
      <c r="O996" s="1696"/>
      <c r="P996" s="8882"/>
      <c r="Q996" s="8882"/>
      <c r="R996" s="277"/>
      <c r="S996" s="6183"/>
      <c r="T996" s="6184" t="s">
        <v>948</v>
      </c>
      <c r="U996" s="6185"/>
      <c r="V996" s="6186"/>
      <c r="W996" s="6187"/>
      <c r="X996" s="6188"/>
      <c r="Y996" s="6189"/>
      <c r="Z996" s="6190"/>
      <c r="AA996" s="6191"/>
      <c r="AB996" s="6192"/>
      <c r="AC996" s="6193"/>
      <c r="AD996" s="6194"/>
      <c r="AE996" s="6195"/>
      <c r="AF996" s="6196"/>
      <c r="AG996" s="6197"/>
      <c r="AH996" s="6198"/>
      <c r="AI996" s="6199"/>
      <c r="AJ996" s="6200"/>
      <c r="AK996" s="1182" t="s">
        <v>949</v>
      </c>
      <c r="AL996" s="1562"/>
      <c r="AM996" s="1544"/>
      <c r="AN996" s="1544" t="str">
        <f t="shared" si="15"/>
        <v>Добавить значение признака дифференциации</v>
      </c>
      <c r="AO996" s="1544"/>
      <c r="AP996" s="1544"/>
    </row>
    <row r="997" spans="1:42" s="1818" customFormat="1" ht="21" customHeight="1">
      <c r="A997" s="1284"/>
      <c r="B997" s="1284"/>
      <c r="C997" s="1284"/>
      <c r="D997" s="1284"/>
      <c r="E997" s="8884" t="s">
        <v>635</v>
      </c>
      <c r="F997" s="8884"/>
      <c r="G997" s="8884"/>
      <c r="H997" s="8884"/>
      <c r="I997" s="8881"/>
      <c r="J997" s="1284"/>
      <c r="K997" s="1284"/>
      <c r="L997" s="1290"/>
      <c r="M997" s="1696"/>
      <c r="N997" s="1696"/>
      <c r="O997" s="1696"/>
      <c r="P997" s="8882"/>
      <c r="Q997" s="1811"/>
      <c r="R997" s="277"/>
      <c r="S997" s="6201"/>
      <c r="T997" s="6202" t="s">
        <v>877</v>
      </c>
      <c r="U997" s="6203"/>
      <c r="V997" s="6204"/>
      <c r="W997" s="6205"/>
      <c r="X997" s="6206"/>
      <c r="Y997" s="6207"/>
      <c r="Z997" s="6208"/>
      <c r="AA997" s="6209"/>
      <c r="AB997" s="6210"/>
      <c r="AC997" s="6211"/>
      <c r="AD997" s="6212"/>
      <c r="AE997" s="6213"/>
      <c r="AF997" s="6214"/>
      <c r="AG997" s="6215"/>
      <c r="AH997" s="6216"/>
      <c r="AI997" s="6217"/>
      <c r="AJ997" s="6218"/>
      <c r="AK997" s="6219"/>
      <c r="AL997" s="1562"/>
      <c r="AM997" s="1544"/>
      <c r="AN997" s="1544" t="str">
        <f t="shared" si="15"/>
        <v>Добавить группу потребителей</v>
      </c>
      <c r="AO997" s="1544"/>
      <c r="AP997" s="1544"/>
    </row>
    <row r="998" spans="1:42" s="1818" customFormat="1" ht="21" customHeight="1">
      <c r="A998" s="1284"/>
      <c r="B998" s="1284"/>
      <c r="C998" s="1284"/>
      <c r="D998" s="1284"/>
      <c r="E998" s="8884" t="s">
        <v>635</v>
      </c>
      <c r="F998" s="8884"/>
      <c r="G998" s="8884"/>
      <c r="H998" s="8883"/>
      <c r="I998" s="1284"/>
      <c r="J998" s="1284"/>
      <c r="K998" s="1284"/>
      <c r="L998" s="1290"/>
      <c r="M998" s="1286"/>
      <c r="N998" s="1286"/>
      <c r="O998" s="1287"/>
      <c r="P998" s="1742"/>
      <c r="Q998" s="299"/>
      <c r="R998" s="276"/>
      <c r="S998" s="6220"/>
      <c r="T998" s="6221" t="s">
        <v>950</v>
      </c>
      <c r="U998" s="6222"/>
      <c r="V998" s="6223"/>
      <c r="W998" s="6224"/>
      <c r="X998" s="6225"/>
      <c r="Y998" s="6226"/>
      <c r="Z998" s="6227"/>
      <c r="AA998" s="6228"/>
      <c r="AB998" s="6229"/>
      <c r="AC998" s="6230"/>
      <c r="AD998" s="6231"/>
      <c r="AE998" s="6232"/>
      <c r="AF998" s="6233"/>
      <c r="AG998" s="6234"/>
      <c r="AH998" s="6235"/>
      <c r="AI998" s="6236"/>
      <c r="AJ998" s="6237"/>
      <c r="AK998" s="6238"/>
      <c r="AL998" s="1562"/>
      <c r="AM998" s="1544"/>
      <c r="AN998" s="1544" t="str">
        <f t="shared" si="15"/>
        <v>Добавить наименование признака дифференциации</v>
      </c>
      <c r="AO998" s="1544"/>
      <c r="AP998" s="1544"/>
    </row>
    <row r="999" spans="1:42" s="541" customFormat="1" ht="14.25" customHeight="1">
      <c r="A999" s="1265"/>
      <c r="B999" s="1265"/>
      <c r="C999" s="1265"/>
      <c r="D999" s="1265"/>
      <c r="E999" s="8884" t="s">
        <v>635</v>
      </c>
      <c r="F999" s="8883"/>
      <c r="G999" s="1265"/>
      <c r="H999" s="1265"/>
      <c r="I999" s="1265"/>
      <c r="J999" s="1265"/>
      <c r="K999" s="1265"/>
      <c r="L999" s="1466"/>
      <c r="M999" s="1244"/>
      <c r="N999" s="1244"/>
      <c r="O999" s="1562"/>
      <c r="P999" s="1239"/>
      <c r="Q999" s="1266"/>
      <c r="R999" s="1239"/>
      <c r="S999" s="1245"/>
      <c r="T999" s="1248" t="s">
        <v>314</v>
      </c>
      <c r="U999" s="1247"/>
      <c r="V999" s="1247"/>
      <c r="W999" s="1247"/>
      <c r="X999" s="1247"/>
      <c r="Y999" s="1247"/>
      <c r="Z999" s="1247"/>
      <c r="AA999" s="1247"/>
      <c r="AB999" s="1247"/>
      <c r="AC999" s="1247"/>
      <c r="AD999" s="1247"/>
      <c r="AE999" s="1247"/>
      <c r="AF999" s="1247"/>
      <c r="AG999" s="1247"/>
      <c r="AH999" s="1247"/>
      <c r="AI999" s="1247"/>
      <c r="AJ999" s="1247"/>
      <c r="AK999" s="1247"/>
      <c r="AL999" s="1562"/>
      <c r="AM999" s="1544"/>
      <c r="AN999" s="1544" t="str">
        <f t="shared" si="15"/>
        <v>Добавить централизованную систему для дифференциации</v>
      </c>
      <c r="AO999" s="1544"/>
      <c r="AP999" s="1544"/>
    </row>
    <row r="1000" spans="1:42" s="541" customFormat="1" ht="14.25" customHeight="1">
      <c r="A1000" s="1265"/>
      <c r="B1000" s="1265"/>
      <c r="C1000" s="1265"/>
      <c r="D1000" s="1265"/>
      <c r="E1000" s="8883" t="s">
        <v>635</v>
      </c>
      <c r="F1000" s="1265"/>
      <c r="G1000" s="1265"/>
      <c r="H1000" s="1265"/>
      <c r="I1000" s="1265"/>
      <c r="J1000" s="1265"/>
      <c r="K1000" s="1265"/>
      <c r="L1000" s="1466"/>
      <c r="M1000" s="1244"/>
      <c r="N1000" s="1244"/>
      <c r="O1000" s="1562"/>
      <c r="P1000" s="1239"/>
      <c r="Q1000" s="1266"/>
      <c r="R1000" s="1239"/>
      <c r="S1000" s="1245"/>
      <c r="T1000" s="1248" t="s">
        <v>315</v>
      </c>
      <c r="U1000" s="1247"/>
      <c r="V1000" s="1247"/>
      <c r="W1000" s="1247"/>
      <c r="X1000" s="1247"/>
      <c r="Y1000" s="1247"/>
      <c r="Z1000" s="1247"/>
      <c r="AA1000" s="1247"/>
      <c r="AB1000" s="1247"/>
      <c r="AC1000" s="1247"/>
      <c r="AD1000" s="1247"/>
      <c r="AE1000" s="1247"/>
      <c r="AF1000" s="1247"/>
      <c r="AG1000" s="1247"/>
      <c r="AH1000" s="1247"/>
      <c r="AI1000" s="1247"/>
      <c r="AJ1000" s="1247"/>
      <c r="AK1000" s="1247"/>
      <c r="AL1000" s="1562"/>
      <c r="AM1000" s="1544"/>
      <c r="AN1000" s="1544" t="str">
        <f t="shared" si="15"/>
        <v>Добавить территорию для дифференциации</v>
      </c>
      <c r="AO1000" s="1544"/>
      <c r="AP1000" s="1544"/>
    </row>
    <row r="1001" spans="1:42" s="1818" customFormat="1" ht="23.25" customHeight="1">
      <c r="A1001" s="1284" t="s">
        <v>649</v>
      </c>
      <c r="B1001" s="1284"/>
      <c r="C1001" s="1284"/>
      <c r="D1001" s="1284"/>
      <c r="E1001" s="8883" t="s">
        <v>647</v>
      </c>
      <c r="F1001" s="1284"/>
      <c r="G1001" s="1284"/>
      <c r="H1001" s="1284"/>
      <c r="I1001" s="1284"/>
      <c r="J1001" s="1284"/>
      <c r="K1001" s="1284"/>
      <c r="L1001" s="1290"/>
      <c r="M1001" s="1286"/>
      <c r="N1001" s="1286"/>
      <c r="O1001" s="1286"/>
      <c r="P1001" s="1812"/>
      <c r="Q1001" s="1742"/>
      <c r="R1001" s="276"/>
      <c r="S1001" s="1810" t="str">
        <f>INDEX(PT_DIFFERENTIATION_NUM_NTAR,MATCH(A1001,PT_DIFFERENTIATION_NTAR_ID,0))</f>
        <v>61</v>
      </c>
      <c r="T1001" s="1440" t="s">
        <v>211</v>
      </c>
      <c r="U1001" s="214"/>
      <c r="V1001" s="8869"/>
      <c r="W1001" s="8870"/>
      <c r="X1001" s="8870"/>
      <c r="Y1001" s="8870"/>
      <c r="Z1001" s="8870"/>
      <c r="AA1001" s="8870"/>
      <c r="AB1001" s="8871"/>
      <c r="AC1001" s="8869" t="str">
        <f>INDEX(PT_DIFFERENTIATION_NTAR,MATCH(A1001,PT_DIFFERENTIATION_NTAR_ID,0))</f>
        <v>Подвоз воды потребителям аула Уллуби-Юрт</v>
      </c>
      <c r="AD1001" s="8870"/>
      <c r="AE1001" s="8870"/>
      <c r="AF1001" s="8870"/>
      <c r="AG1001" s="8870"/>
      <c r="AH1001" s="8870"/>
      <c r="AI1001" s="8870"/>
      <c r="AJ1001" s="8871"/>
      <c r="AK100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001" s="1562"/>
      <c r="AM1001" s="1544"/>
      <c r="AN1001" s="1544" t="str">
        <f t="shared" ref="AN1001:AN1064" si="16">IF(T1001="","",T1001)</f>
        <v>Наименование тарифа</v>
      </c>
      <c r="AO1001" s="1544"/>
      <c r="AP1001" s="1544"/>
    </row>
    <row r="1002" spans="1:42" s="1818" customFormat="1" ht="23.25" customHeight="1">
      <c r="A1002" s="1284"/>
      <c r="B1002" s="1284" t="s">
        <v>650</v>
      </c>
      <c r="C1002" s="1284"/>
      <c r="D1002" s="1284"/>
      <c r="E1002" s="8884" t="s">
        <v>641</v>
      </c>
      <c r="F1002" s="8883">
        <v>1</v>
      </c>
      <c r="G1002" s="1284"/>
      <c r="H1002" s="1284"/>
      <c r="I1002" s="1284"/>
      <c r="J1002" s="1284"/>
      <c r="K1002" s="1284"/>
      <c r="L1002" s="1290"/>
      <c r="M1002" s="1286"/>
      <c r="N1002" s="1286"/>
      <c r="O1002" s="1286"/>
      <c r="P1002" s="1807"/>
      <c r="Q1002" s="273"/>
      <c r="R1002" s="274"/>
      <c r="S1002" s="1810" t="str">
        <f>INDEX(PT_DIFFERENTIATION_NUM_TER,MATCH(B1002,PT_DIFFERENTIATION_TER_ID,0))</f>
        <v>61.1</v>
      </c>
      <c r="T1002" s="1437" t="s">
        <v>862</v>
      </c>
      <c r="U1002" s="214"/>
      <c r="V1002" s="8869"/>
      <c r="W1002" s="8870"/>
      <c r="X1002" s="8870"/>
      <c r="Y1002" s="8870"/>
      <c r="Z1002" s="8870"/>
      <c r="AA1002" s="8870"/>
      <c r="AB1002" s="8871"/>
      <c r="AC1002" s="8869" t="str">
        <f>INDEX(PT_DIFFERENTIATION_TER,MATCH(B1002,PT_DIFFERENTIATION_TER_ID,0))</f>
        <v>Территория 18</v>
      </c>
      <c r="AD1002" s="8870"/>
      <c r="AE1002" s="8870"/>
      <c r="AF1002" s="8870"/>
      <c r="AG1002" s="8870"/>
      <c r="AH1002" s="8870"/>
      <c r="AI1002" s="8870"/>
      <c r="AJ1002" s="8871"/>
      <c r="AK1002" s="1182" t="s">
        <v>863</v>
      </c>
      <c r="AL1002" s="1562"/>
      <c r="AM1002" s="1544"/>
      <c r="AN1002" s="1544" t="str">
        <f t="shared" si="16"/>
        <v>Территория действия тарифа</v>
      </c>
      <c r="AO1002" s="1544"/>
      <c r="AP1002" s="1544"/>
    </row>
    <row r="1003" spans="1:42" s="1818" customFormat="1" ht="23.25" customHeight="1">
      <c r="A1003" s="1284"/>
      <c r="B1003" s="1284"/>
      <c r="C1003" s="1284" t="s">
        <v>651</v>
      </c>
      <c r="D1003" s="1284"/>
      <c r="E1003" s="8884" t="s">
        <v>641</v>
      </c>
      <c r="F1003" s="8884"/>
      <c r="G1003" s="8883">
        <v>1</v>
      </c>
      <c r="H1003" s="1284"/>
      <c r="I1003" s="1284"/>
      <c r="J1003" s="1284"/>
      <c r="K1003" s="1284"/>
      <c r="L1003" s="1290"/>
      <c r="M1003" s="1286"/>
      <c r="N1003" s="1286"/>
      <c r="O1003" s="1286"/>
      <c r="P1003" s="275"/>
      <c r="Q1003" s="273"/>
      <c r="R1003" s="274"/>
      <c r="S1003" s="1810" t="str">
        <f>INDEX(PT_DIFFERENTIATION_NUM_CS,MATCH(C1003,PT_DIFFERENTIATION_CS_ID,0))</f>
        <v>61.1.1</v>
      </c>
      <c r="T1003" s="225" t="s">
        <v>943</v>
      </c>
      <c r="U1003" s="214"/>
      <c r="V1003" s="8869"/>
      <c r="W1003" s="8870"/>
      <c r="X1003" s="8870"/>
      <c r="Y1003" s="8870"/>
      <c r="Z1003" s="8870"/>
      <c r="AA1003" s="8870"/>
      <c r="AB1003" s="8871"/>
      <c r="AC1003" s="8869" t="str">
        <f>INDEX(PT_DIFFERENTIATION_CS,MATCH(C1003,PT_DIFFERENTIATION_CS_ID,0))</f>
        <v>без дифференциации</v>
      </c>
      <c r="AD1003" s="8870"/>
      <c r="AE1003" s="8870"/>
      <c r="AF1003" s="8870"/>
      <c r="AG1003" s="8870"/>
      <c r="AH1003" s="8870"/>
      <c r="AI1003" s="8870"/>
      <c r="AJ1003" s="8871"/>
      <c r="AK1003" s="1182" t="s">
        <v>944</v>
      </c>
      <c r="AL1003" s="1562"/>
      <c r="AM1003" s="1544"/>
      <c r="AN1003" s="1544" t="str">
        <f t="shared" si="16"/>
        <v>Наименование централизованной системы холодного водоснабжения</v>
      </c>
      <c r="AO1003" s="1544"/>
      <c r="AP1003" s="1544"/>
    </row>
    <row r="1004" spans="1:42" s="1818" customFormat="1" ht="23.25" customHeight="1">
      <c r="A1004" s="1284"/>
      <c r="B1004" s="1284"/>
      <c r="C1004" s="1284"/>
      <c r="D1004" s="1284"/>
      <c r="E1004" s="8884" t="s">
        <v>641</v>
      </c>
      <c r="F1004" s="8884"/>
      <c r="G1004" s="8884"/>
      <c r="H1004" s="8884"/>
      <c r="I1004" s="8881" t="str">
        <f>S1003&amp;".1"</f>
        <v>61.1.1.1</v>
      </c>
      <c r="J1004" s="1284"/>
      <c r="K1004" s="1284"/>
      <c r="L1004" s="1290"/>
      <c r="M1004" s="1696"/>
      <c r="N1004" s="1696"/>
      <c r="O1004" s="1696"/>
      <c r="P1004" s="8882">
        <v>1</v>
      </c>
      <c r="Q1004" s="1811"/>
      <c r="R1004" s="277"/>
      <c r="S1004" s="1810" t="str">
        <f>$I1004</f>
        <v>61.1.1.1</v>
      </c>
      <c r="T1004" s="200" t="s">
        <v>945</v>
      </c>
      <c r="U1004" s="214"/>
      <c r="V1004" s="8942"/>
      <c r="W1004" s="8943"/>
      <c r="X1004" s="8943"/>
      <c r="Y1004" s="8943"/>
      <c r="Z1004" s="8943"/>
      <c r="AA1004" s="8943"/>
      <c r="AB1004" s="8944"/>
      <c r="AC1004" s="8945"/>
      <c r="AD1004" s="8946"/>
      <c r="AE1004" s="8946"/>
      <c r="AF1004" s="8946"/>
      <c r="AG1004" s="8946"/>
      <c r="AH1004" s="8946"/>
      <c r="AI1004" s="8946"/>
      <c r="AJ1004" s="8947"/>
      <c r="AK1004" s="1182" t="s">
        <v>946</v>
      </c>
      <c r="AL1004" s="1562"/>
      <c r="AM1004" s="1544"/>
      <c r="AN1004" s="1544" t="str">
        <f t="shared" si="16"/>
        <v>Наименование признака дифференциации</v>
      </c>
      <c r="AO1004" s="1544"/>
      <c r="AP1004" s="1544"/>
    </row>
    <row r="1005" spans="1:42" s="1818" customFormat="1" ht="23.25" customHeight="1">
      <c r="A1005" s="1284"/>
      <c r="B1005" s="1284"/>
      <c r="C1005" s="1284"/>
      <c r="D1005" s="1284"/>
      <c r="E1005" s="8884" t="s">
        <v>641</v>
      </c>
      <c r="F1005" s="8884"/>
      <c r="G1005" s="8884"/>
      <c r="H1005" s="8884"/>
      <c r="I1005" s="8904"/>
      <c r="J1005" s="8881" t="str">
        <f>I1004&amp;".1"</f>
        <v>61.1.1.1.1</v>
      </c>
      <c r="K1005" s="1284"/>
      <c r="L1005" s="1290" t="s">
        <v>871</v>
      </c>
      <c r="M1005" s="1696"/>
      <c r="N1005" s="1696"/>
      <c r="O1005" s="1696"/>
      <c r="P1005" s="8882"/>
      <c r="Q1005" s="8882">
        <v>1</v>
      </c>
      <c r="R1005" s="278"/>
      <c r="S1005" s="1810" t="str">
        <f>$J1005</f>
        <v>61.1.1.1.1</v>
      </c>
      <c r="T1005" s="201" t="s">
        <v>872</v>
      </c>
      <c r="U1005" s="214"/>
      <c r="V1005" s="8872"/>
      <c r="W1005" s="8873"/>
      <c r="X1005" s="8873"/>
      <c r="Y1005" s="8873"/>
      <c r="Z1005" s="8873"/>
      <c r="AA1005" s="8873"/>
      <c r="AB1005" s="8874"/>
      <c r="AC1005" s="8872" t="s">
        <v>961</v>
      </c>
      <c r="AD1005" s="8873"/>
      <c r="AE1005" s="8873"/>
      <c r="AF1005" s="8873"/>
      <c r="AG1005" s="8873"/>
      <c r="AH1005" s="8873"/>
      <c r="AI1005" s="8873"/>
      <c r="AJ1005" s="8874"/>
      <c r="AK1005" s="1231" t="s">
        <v>947</v>
      </c>
      <c r="AL1005" s="1562"/>
      <c r="AM1005" s="1544"/>
      <c r="AN1005" s="1544" t="str">
        <f t="shared" si="16"/>
        <v>Группа потребителей</v>
      </c>
      <c r="AO1005" s="1544"/>
      <c r="AP1005" s="1544"/>
    </row>
    <row r="1006" spans="1:42" s="1818" customFormat="1" ht="23.25" customHeight="1">
      <c r="A1006" s="1284"/>
      <c r="B1006" s="1284"/>
      <c r="C1006" s="1284"/>
      <c r="D1006" s="1284"/>
      <c r="E1006" s="8884" t="s">
        <v>641</v>
      </c>
      <c r="F1006" s="8884"/>
      <c r="G1006" s="8884"/>
      <c r="H1006" s="8884"/>
      <c r="I1006" s="8904"/>
      <c r="J1006" s="8904"/>
      <c r="K1006" s="8881" t="str">
        <f>J1005&amp;".1"</f>
        <v>61.1.1.1.1.1</v>
      </c>
      <c r="L1006" s="1290"/>
      <c r="M1006" s="1696"/>
      <c r="N1006" s="1696"/>
      <c r="O1006" s="1696"/>
      <c r="P1006" s="8882"/>
      <c r="Q1006" s="8882"/>
      <c r="R1006" s="278">
        <v>1</v>
      </c>
      <c r="S1006" s="1810" t="str">
        <f>$K1006</f>
        <v>61.1.1.1.1.1</v>
      </c>
      <c r="T1006" s="1357" t="s">
        <v>962</v>
      </c>
      <c r="U1006" s="214"/>
      <c r="V1006" s="666"/>
      <c r="W1006" s="666"/>
      <c r="X1006" s="1181"/>
      <c r="Y1006" s="8886"/>
      <c r="Z1006" s="8734" t="s">
        <v>63</v>
      </c>
      <c r="AA1006" s="8886"/>
      <c r="AB1006" s="8734" t="s">
        <v>63</v>
      </c>
      <c r="AC1006" s="666">
        <v>563.39</v>
      </c>
      <c r="AD1006" s="666"/>
      <c r="AE1006" s="1181"/>
      <c r="AF1006" s="8886">
        <v>45292</v>
      </c>
      <c r="AG1006" s="8734" t="s">
        <v>63</v>
      </c>
      <c r="AH1006" s="8905">
        <v>45657</v>
      </c>
      <c r="AI1006" s="8734" t="s">
        <v>63</v>
      </c>
      <c r="AJ1006" s="1358"/>
      <c r="AK100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06" s="1562" t="e">
        <f ca="1">STRCHECKDATE(V1007:AJ1007)</f>
        <v>#NAME?</v>
      </c>
      <c r="AM1006" s="1544"/>
      <c r="AN1006" s="1544" t="str">
        <f t="shared" si="16"/>
        <v>Тариф для населения, руб. за 1 куб. метр с НДС</v>
      </c>
      <c r="AO1006" s="1544"/>
      <c r="AP1006" s="1544"/>
    </row>
    <row r="1007" spans="1:42" s="1818" customFormat="1" ht="14.25" customHeight="1">
      <c r="A1007" s="1284"/>
      <c r="B1007" s="1284"/>
      <c r="C1007" s="1284"/>
      <c r="D1007" s="1284"/>
      <c r="E1007" s="8884" t="s">
        <v>641</v>
      </c>
      <c r="F1007" s="8884"/>
      <c r="G1007" s="8884"/>
      <c r="H1007" s="8884"/>
      <c r="I1007" s="8904"/>
      <c r="J1007" s="8904"/>
      <c r="K1007" s="8881"/>
      <c r="L1007" s="1290"/>
      <c r="M1007" s="1696"/>
      <c r="N1007" s="1696"/>
      <c r="O1007" s="1696"/>
      <c r="P1007" s="8882"/>
      <c r="Q1007" s="8882"/>
      <c r="R1007" s="278"/>
      <c r="S1007" s="1815"/>
      <c r="T1007" s="214"/>
      <c r="U1007" s="214"/>
      <c r="V1007" s="246"/>
      <c r="W1007" s="246"/>
      <c r="X1007" s="250" t="str">
        <f>Y1006&amp;"-"&amp;AA1006</f>
        <v>-</v>
      </c>
      <c r="Y1007" s="8887"/>
      <c r="Z1007" s="8734"/>
      <c r="AA1007" s="8887"/>
      <c r="AB1007" s="8734"/>
      <c r="AC1007" s="246"/>
      <c r="AD1007" s="246"/>
      <c r="AE1007" s="250" t="str">
        <f>AF1006&amp;"-"&amp;AH1006</f>
        <v>45292-45657</v>
      </c>
      <c r="AF1007" s="8887"/>
      <c r="AG1007" s="8734"/>
      <c r="AH1007" s="8906"/>
      <c r="AI1007" s="8734"/>
      <c r="AJ1007" s="1359"/>
      <c r="AK1007" s="8941"/>
      <c r="AL1007" s="1562"/>
      <c r="AM1007" s="1544"/>
      <c r="AN1007" s="1544" t="str">
        <f t="shared" si="16"/>
        <v/>
      </c>
      <c r="AO1007" s="1544"/>
      <c r="AP1007" s="1544"/>
    </row>
    <row r="1008" spans="1:42" s="1818" customFormat="1" ht="21" customHeight="1">
      <c r="A1008" s="1284"/>
      <c r="B1008" s="1284"/>
      <c r="C1008" s="1284"/>
      <c r="D1008" s="1284"/>
      <c r="E1008" s="8884" t="s">
        <v>641</v>
      </c>
      <c r="F1008" s="8884"/>
      <c r="G1008" s="8884"/>
      <c r="H1008" s="8884"/>
      <c r="I1008" s="8904"/>
      <c r="J1008" s="8881"/>
      <c r="K1008" s="1284"/>
      <c r="L1008" s="1290"/>
      <c r="M1008" s="1696"/>
      <c r="N1008" s="1696"/>
      <c r="O1008" s="1696"/>
      <c r="P1008" s="8882"/>
      <c r="Q1008" s="8882"/>
      <c r="R1008" s="277"/>
      <c r="S1008" s="6239"/>
      <c r="T1008" s="6240" t="s">
        <v>948</v>
      </c>
      <c r="U1008" s="6241"/>
      <c r="V1008" s="6242"/>
      <c r="W1008" s="6243"/>
      <c r="X1008" s="6244"/>
      <c r="Y1008" s="6245"/>
      <c r="Z1008" s="6246"/>
      <c r="AA1008" s="6247"/>
      <c r="AB1008" s="6248"/>
      <c r="AC1008" s="6249"/>
      <c r="AD1008" s="6250"/>
      <c r="AE1008" s="6251"/>
      <c r="AF1008" s="6252"/>
      <c r="AG1008" s="6253"/>
      <c r="AH1008" s="6254"/>
      <c r="AI1008" s="6255"/>
      <c r="AJ1008" s="6256"/>
      <c r="AK1008" s="1182" t="s">
        <v>949</v>
      </c>
      <c r="AL1008" s="1562"/>
      <c r="AM1008" s="1544"/>
      <c r="AN1008" s="1544" t="str">
        <f t="shared" si="16"/>
        <v>Добавить значение признака дифференциации</v>
      </c>
      <c r="AO1008" s="1544"/>
      <c r="AP1008" s="1544"/>
    </row>
    <row r="1009" spans="1:42" s="1818" customFormat="1" ht="23.25" customHeight="1">
      <c r="A1009" s="1284"/>
      <c r="B1009" s="1284"/>
      <c r="C1009" s="1284"/>
      <c r="D1009" s="1284"/>
      <c r="E1009" s="8884"/>
      <c r="F1009" s="8884"/>
      <c r="G1009" s="8884"/>
      <c r="H1009" s="8884"/>
      <c r="I1009" s="8904"/>
      <c r="J1009" s="8881" t="str">
        <f>I1004&amp;".2"</f>
        <v>61.1.1.1.2</v>
      </c>
      <c r="K1009" s="1284"/>
      <c r="L1009" s="1290" t="s">
        <v>871</v>
      </c>
      <c r="M1009" s="1696"/>
      <c r="N1009" s="1696"/>
      <c r="O1009" s="1696"/>
      <c r="P1009" s="8882"/>
      <c r="Q1009" s="8948" t="s">
        <v>100</v>
      </c>
      <c r="R1009" s="278"/>
      <c r="S1009" s="1810" t="str">
        <f>$J1009</f>
        <v>61.1.1.1.2</v>
      </c>
      <c r="T1009" s="201" t="s">
        <v>872</v>
      </c>
      <c r="U1009" s="214"/>
      <c r="V1009" s="8872"/>
      <c r="W1009" s="8873"/>
      <c r="X1009" s="8873"/>
      <c r="Y1009" s="8873"/>
      <c r="Z1009" s="8873"/>
      <c r="AA1009" s="8873"/>
      <c r="AB1009" s="8874"/>
      <c r="AC1009" s="8872" t="s">
        <v>963</v>
      </c>
      <c r="AD1009" s="8873"/>
      <c r="AE1009" s="8873"/>
      <c r="AF1009" s="8873"/>
      <c r="AG1009" s="8873"/>
      <c r="AH1009" s="8873"/>
      <c r="AI1009" s="8873"/>
      <c r="AJ1009" s="8874"/>
      <c r="AK1009" s="1231" t="s">
        <v>947</v>
      </c>
      <c r="AL1009" s="1562"/>
      <c r="AM1009" s="1544"/>
      <c r="AN1009" s="1544" t="str">
        <f t="shared" si="16"/>
        <v>Группа потребителей</v>
      </c>
      <c r="AO1009" s="1544"/>
      <c r="AP1009" s="1544"/>
    </row>
    <row r="1010" spans="1:42" s="1818" customFormat="1" ht="23.25" customHeight="1">
      <c r="A1010" s="1284"/>
      <c r="B1010" s="1284"/>
      <c r="C1010" s="1284"/>
      <c r="D1010" s="1284"/>
      <c r="E1010" s="8884"/>
      <c r="F1010" s="8884"/>
      <c r="G1010" s="8884"/>
      <c r="H1010" s="8884"/>
      <c r="I1010" s="8904"/>
      <c r="J1010" s="8904" t="str">
        <f>I1004&amp;".1"</f>
        <v>61.1.1.1.1</v>
      </c>
      <c r="K1010" s="8881" t="str">
        <f>J1009&amp;".1"</f>
        <v>61.1.1.1.2.1</v>
      </c>
      <c r="L1010" s="1290"/>
      <c r="M1010" s="1696"/>
      <c r="N1010" s="1696"/>
      <c r="O1010" s="1696"/>
      <c r="P1010" s="8882"/>
      <c r="Q1010" s="8882"/>
      <c r="R1010" s="278">
        <v>1</v>
      </c>
      <c r="S1010" s="1810" t="str">
        <f>$K1010</f>
        <v>61.1.1.1.2.1</v>
      </c>
      <c r="T1010" s="1357" t="s">
        <v>964</v>
      </c>
      <c r="U1010" s="214"/>
      <c r="V1010" s="666"/>
      <c r="W1010" s="666"/>
      <c r="X1010" s="1181"/>
      <c r="Y1010" s="8886"/>
      <c r="Z1010" s="8734" t="s">
        <v>63</v>
      </c>
      <c r="AA1010" s="8886"/>
      <c r="AB1010" s="8734" t="s">
        <v>63</v>
      </c>
      <c r="AC1010" s="666">
        <v>469.49</v>
      </c>
      <c r="AD1010" s="666"/>
      <c r="AE1010" s="1181"/>
      <c r="AF1010" s="8886">
        <v>45292</v>
      </c>
      <c r="AG1010" s="8734" t="s">
        <v>63</v>
      </c>
      <c r="AH1010" s="8905">
        <v>45657</v>
      </c>
      <c r="AI1010" s="8734" t="s">
        <v>63</v>
      </c>
      <c r="AJ1010" s="1358"/>
      <c r="AK101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10" s="1562" t="e">
        <f ca="1">STRCHECKDATE(V1011:AJ1011)</f>
        <v>#NAME?</v>
      </c>
      <c r="AM1010" s="1544"/>
      <c r="AN1010" s="1544" t="str">
        <f t="shared" si="16"/>
        <v>Тариф, руб. за 1 куб. метр без НДС</v>
      </c>
      <c r="AO1010" s="1544"/>
      <c r="AP1010" s="1544"/>
    </row>
    <row r="1011" spans="1:42" s="1818" customFormat="1" ht="14.25" customHeight="1">
      <c r="A1011" s="1284"/>
      <c r="B1011" s="1284"/>
      <c r="C1011" s="1284"/>
      <c r="D1011" s="1284"/>
      <c r="E1011" s="8884"/>
      <c r="F1011" s="8884"/>
      <c r="G1011" s="8884"/>
      <c r="H1011" s="8884"/>
      <c r="I1011" s="8904"/>
      <c r="J1011" s="8904" t="str">
        <f>I1004&amp;".1"</f>
        <v>61.1.1.1.1</v>
      </c>
      <c r="K1011" s="8881"/>
      <c r="L1011" s="1290"/>
      <c r="M1011" s="1696"/>
      <c r="N1011" s="1696"/>
      <c r="O1011" s="1696"/>
      <c r="P1011" s="8882"/>
      <c r="Q1011" s="8882"/>
      <c r="R1011" s="278"/>
      <c r="S1011" s="1815"/>
      <c r="T1011" s="214"/>
      <c r="U1011" s="214"/>
      <c r="V1011" s="246"/>
      <c r="W1011" s="246"/>
      <c r="X1011" s="250" t="str">
        <f>Y1010&amp;"-"&amp;AA1010</f>
        <v>-</v>
      </c>
      <c r="Y1011" s="8887"/>
      <c r="Z1011" s="8734"/>
      <c r="AA1011" s="8887"/>
      <c r="AB1011" s="8734"/>
      <c r="AC1011" s="246"/>
      <c r="AD1011" s="246"/>
      <c r="AE1011" s="250" t="str">
        <f>AF1010&amp;"-"&amp;AH1010</f>
        <v>45292-45657</v>
      </c>
      <c r="AF1011" s="8887"/>
      <c r="AG1011" s="8734"/>
      <c r="AH1011" s="8906"/>
      <c r="AI1011" s="8734"/>
      <c r="AJ1011" s="1359"/>
      <c r="AK1011" s="8941"/>
      <c r="AL1011" s="1562"/>
      <c r="AM1011" s="1544"/>
      <c r="AN1011" s="1544" t="str">
        <f t="shared" si="16"/>
        <v/>
      </c>
      <c r="AO1011" s="1544"/>
      <c r="AP1011" s="1544"/>
    </row>
    <row r="1012" spans="1:42" s="1818" customFormat="1" ht="21" customHeight="1">
      <c r="A1012" s="1284"/>
      <c r="B1012" s="1284"/>
      <c r="C1012" s="1284"/>
      <c r="D1012" s="1284"/>
      <c r="E1012" s="8884"/>
      <c r="F1012" s="8884"/>
      <c r="G1012" s="8884"/>
      <c r="H1012" s="8884"/>
      <c r="I1012" s="8904"/>
      <c r="J1012" s="8881" t="str">
        <f>I1004&amp;".1"</f>
        <v>61.1.1.1.1</v>
      </c>
      <c r="K1012" s="1284"/>
      <c r="L1012" s="1290"/>
      <c r="M1012" s="1696"/>
      <c r="N1012" s="1696"/>
      <c r="O1012" s="1696"/>
      <c r="P1012" s="8882"/>
      <c r="Q1012" s="8882"/>
      <c r="R1012" s="277"/>
      <c r="S1012" s="6257"/>
      <c r="T1012" s="6258" t="s">
        <v>948</v>
      </c>
      <c r="U1012" s="6259"/>
      <c r="V1012" s="6260"/>
      <c r="W1012" s="6261"/>
      <c r="X1012" s="6262"/>
      <c r="Y1012" s="6263"/>
      <c r="Z1012" s="6264"/>
      <c r="AA1012" s="6265"/>
      <c r="AB1012" s="6266"/>
      <c r="AC1012" s="6267"/>
      <c r="AD1012" s="6268"/>
      <c r="AE1012" s="6269"/>
      <c r="AF1012" s="6270"/>
      <c r="AG1012" s="6271"/>
      <c r="AH1012" s="6272"/>
      <c r="AI1012" s="6273"/>
      <c r="AJ1012" s="6274"/>
      <c r="AK1012" s="1182" t="s">
        <v>949</v>
      </c>
      <c r="AL1012" s="1562"/>
      <c r="AM1012" s="1544"/>
      <c r="AN1012" s="1544" t="str">
        <f t="shared" si="16"/>
        <v>Добавить значение признака дифференциации</v>
      </c>
      <c r="AO1012" s="1544"/>
      <c r="AP1012" s="1544"/>
    </row>
    <row r="1013" spans="1:42" s="1818" customFormat="1" ht="21" customHeight="1">
      <c r="A1013" s="1284"/>
      <c r="B1013" s="1284"/>
      <c r="C1013" s="1284"/>
      <c r="D1013" s="1284"/>
      <c r="E1013" s="8884" t="s">
        <v>641</v>
      </c>
      <c r="F1013" s="8884"/>
      <c r="G1013" s="8884"/>
      <c r="H1013" s="8884"/>
      <c r="I1013" s="8881"/>
      <c r="J1013" s="1284"/>
      <c r="K1013" s="1284"/>
      <c r="L1013" s="1290"/>
      <c r="M1013" s="1696"/>
      <c r="N1013" s="1696"/>
      <c r="O1013" s="1696"/>
      <c r="P1013" s="8882"/>
      <c r="Q1013" s="1811"/>
      <c r="R1013" s="277"/>
      <c r="S1013" s="6275"/>
      <c r="T1013" s="6276" t="s">
        <v>877</v>
      </c>
      <c r="U1013" s="6277"/>
      <c r="V1013" s="6278"/>
      <c r="W1013" s="6279"/>
      <c r="X1013" s="6280"/>
      <c r="Y1013" s="6281"/>
      <c r="Z1013" s="6282"/>
      <c r="AA1013" s="6283"/>
      <c r="AB1013" s="6284"/>
      <c r="AC1013" s="6285"/>
      <c r="AD1013" s="6286"/>
      <c r="AE1013" s="6287"/>
      <c r="AF1013" s="6288"/>
      <c r="AG1013" s="6289"/>
      <c r="AH1013" s="6290"/>
      <c r="AI1013" s="6291"/>
      <c r="AJ1013" s="6292"/>
      <c r="AK1013" s="6293"/>
      <c r="AL1013" s="1562"/>
      <c r="AM1013" s="1544"/>
      <c r="AN1013" s="1544" t="str">
        <f t="shared" si="16"/>
        <v>Добавить группу потребителей</v>
      </c>
      <c r="AO1013" s="1544"/>
      <c r="AP1013" s="1544"/>
    </row>
    <row r="1014" spans="1:42" s="1818" customFormat="1" ht="21" customHeight="1">
      <c r="A1014" s="1284"/>
      <c r="B1014" s="1284"/>
      <c r="C1014" s="1284"/>
      <c r="D1014" s="1284"/>
      <c r="E1014" s="8884" t="s">
        <v>641</v>
      </c>
      <c r="F1014" s="8884"/>
      <c r="G1014" s="8884"/>
      <c r="H1014" s="8883"/>
      <c r="I1014" s="1284"/>
      <c r="J1014" s="1284"/>
      <c r="K1014" s="1284"/>
      <c r="L1014" s="1290"/>
      <c r="M1014" s="1286"/>
      <c r="N1014" s="1286"/>
      <c r="O1014" s="1287"/>
      <c r="P1014" s="1742"/>
      <c r="Q1014" s="299"/>
      <c r="R1014" s="276"/>
      <c r="S1014" s="6294"/>
      <c r="T1014" s="6295" t="s">
        <v>950</v>
      </c>
      <c r="U1014" s="6296"/>
      <c r="V1014" s="6297"/>
      <c r="W1014" s="6298"/>
      <c r="X1014" s="6299"/>
      <c r="Y1014" s="6300"/>
      <c r="Z1014" s="6301"/>
      <c r="AA1014" s="6302"/>
      <c r="AB1014" s="6303"/>
      <c r="AC1014" s="6304"/>
      <c r="AD1014" s="6305"/>
      <c r="AE1014" s="6306"/>
      <c r="AF1014" s="6307"/>
      <c r="AG1014" s="6308"/>
      <c r="AH1014" s="6309"/>
      <c r="AI1014" s="6310"/>
      <c r="AJ1014" s="6311"/>
      <c r="AK1014" s="6312"/>
      <c r="AL1014" s="1562"/>
      <c r="AM1014" s="1544"/>
      <c r="AN1014" s="1544" t="str">
        <f t="shared" si="16"/>
        <v>Добавить наименование признака дифференциации</v>
      </c>
      <c r="AO1014" s="1544"/>
      <c r="AP1014" s="1544"/>
    </row>
    <row r="1015" spans="1:42" s="541" customFormat="1" ht="14.25" customHeight="1">
      <c r="A1015" s="1265"/>
      <c r="B1015" s="1265"/>
      <c r="C1015" s="1265"/>
      <c r="D1015" s="1265"/>
      <c r="E1015" s="8884" t="s">
        <v>641</v>
      </c>
      <c r="F1015" s="8883"/>
      <c r="G1015" s="1265"/>
      <c r="H1015" s="1265"/>
      <c r="I1015" s="1265"/>
      <c r="J1015" s="1265"/>
      <c r="K1015" s="1265"/>
      <c r="L1015" s="1466"/>
      <c r="M1015" s="1244"/>
      <c r="N1015" s="1244"/>
      <c r="O1015" s="1562"/>
      <c r="P1015" s="1239"/>
      <c r="Q1015" s="1266"/>
      <c r="R1015" s="1239"/>
      <c r="S1015" s="1245"/>
      <c r="T1015" s="1248" t="s">
        <v>314</v>
      </c>
      <c r="U1015" s="1247"/>
      <c r="V1015" s="1247"/>
      <c r="W1015" s="1247"/>
      <c r="X1015" s="1247"/>
      <c r="Y1015" s="1247"/>
      <c r="Z1015" s="1247"/>
      <c r="AA1015" s="1247"/>
      <c r="AB1015" s="1247"/>
      <c r="AC1015" s="1247"/>
      <c r="AD1015" s="1247"/>
      <c r="AE1015" s="1247"/>
      <c r="AF1015" s="1247"/>
      <c r="AG1015" s="1247"/>
      <c r="AH1015" s="1247"/>
      <c r="AI1015" s="1247"/>
      <c r="AJ1015" s="1247"/>
      <c r="AK1015" s="1247"/>
      <c r="AL1015" s="1562"/>
      <c r="AM1015" s="1544"/>
      <c r="AN1015" s="1544" t="str">
        <f t="shared" si="16"/>
        <v>Добавить централизованную систему для дифференциации</v>
      </c>
      <c r="AO1015" s="1544"/>
      <c r="AP1015" s="1544"/>
    </row>
    <row r="1016" spans="1:42" s="541" customFormat="1" ht="14.25" customHeight="1">
      <c r="A1016" s="1265"/>
      <c r="B1016" s="1265"/>
      <c r="C1016" s="1265"/>
      <c r="D1016" s="1265"/>
      <c r="E1016" s="8883" t="s">
        <v>641</v>
      </c>
      <c r="F1016" s="1265"/>
      <c r="G1016" s="1265"/>
      <c r="H1016" s="1265"/>
      <c r="I1016" s="1265"/>
      <c r="J1016" s="1265"/>
      <c r="K1016" s="1265"/>
      <c r="L1016" s="1466"/>
      <c r="M1016" s="1244"/>
      <c r="N1016" s="1244"/>
      <c r="O1016" s="1562"/>
      <c r="P1016" s="1239"/>
      <c r="Q1016" s="1266"/>
      <c r="R1016" s="1239"/>
      <c r="S1016" s="1245"/>
      <c r="T1016" s="1248" t="s">
        <v>315</v>
      </c>
      <c r="U1016" s="1247"/>
      <c r="V1016" s="1247"/>
      <c r="W1016" s="1247"/>
      <c r="X1016" s="1247"/>
      <c r="Y1016" s="1247"/>
      <c r="Z1016" s="1247"/>
      <c r="AA1016" s="1247"/>
      <c r="AB1016" s="1247"/>
      <c r="AC1016" s="1247"/>
      <c r="AD1016" s="1247"/>
      <c r="AE1016" s="1247"/>
      <c r="AF1016" s="1247"/>
      <c r="AG1016" s="1247"/>
      <c r="AH1016" s="1247"/>
      <c r="AI1016" s="1247"/>
      <c r="AJ1016" s="1247"/>
      <c r="AK1016" s="1247"/>
      <c r="AL1016" s="1562"/>
      <c r="AM1016" s="1544"/>
      <c r="AN1016" s="1544" t="str">
        <f t="shared" si="16"/>
        <v>Добавить территорию для дифференциации</v>
      </c>
      <c r="AO1016" s="1544"/>
      <c r="AP1016" s="1544"/>
    </row>
    <row r="1017" spans="1:42" s="1818" customFormat="1" ht="23.25" customHeight="1">
      <c r="A1017" s="1284" t="s">
        <v>655</v>
      </c>
      <c r="B1017" s="1284"/>
      <c r="C1017" s="1284"/>
      <c r="D1017" s="1284"/>
      <c r="E1017" s="8883" t="s">
        <v>653</v>
      </c>
      <c r="F1017" s="1284"/>
      <c r="G1017" s="1284"/>
      <c r="H1017" s="1284"/>
      <c r="I1017" s="1284"/>
      <c r="J1017" s="1284"/>
      <c r="K1017" s="1284"/>
      <c r="L1017" s="1290"/>
      <c r="M1017" s="1286"/>
      <c r="N1017" s="1286"/>
      <c r="O1017" s="1286"/>
      <c r="P1017" s="1812"/>
      <c r="Q1017" s="1742"/>
      <c r="R1017" s="276"/>
      <c r="S1017" s="1810" t="str">
        <f>INDEX(PT_DIFFERENTIATION_NUM_NTAR,MATCH(A1017,PT_DIFFERENTIATION_NTAR_ID,0))</f>
        <v>62</v>
      </c>
      <c r="T1017" s="1440" t="s">
        <v>211</v>
      </c>
      <c r="U1017" s="214"/>
      <c r="V1017" s="8869"/>
      <c r="W1017" s="8870"/>
      <c r="X1017" s="8870"/>
      <c r="Y1017" s="8870"/>
      <c r="Z1017" s="8870"/>
      <c r="AA1017" s="8870"/>
      <c r="AB1017" s="8871"/>
      <c r="AC1017" s="8869" t="str">
        <f>INDEX(PT_DIFFERENTIATION_NTAR,MATCH(A1017,PT_DIFFERENTIATION_NTAR_ID,0))</f>
        <v>Подвоз воды потребителям аула Махач-Аул</v>
      </c>
      <c r="AD1017" s="8870"/>
      <c r="AE1017" s="8870"/>
      <c r="AF1017" s="8870"/>
      <c r="AG1017" s="8870"/>
      <c r="AH1017" s="8870"/>
      <c r="AI1017" s="8870"/>
      <c r="AJ1017" s="8871"/>
      <c r="AK101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017" s="1562"/>
      <c r="AM1017" s="1544"/>
      <c r="AN1017" s="1544" t="str">
        <f t="shared" si="16"/>
        <v>Наименование тарифа</v>
      </c>
      <c r="AO1017" s="1544"/>
      <c r="AP1017" s="1544"/>
    </row>
    <row r="1018" spans="1:42" s="1818" customFormat="1" ht="23.25" customHeight="1">
      <c r="A1018" s="1284"/>
      <c r="B1018" s="1284" t="s">
        <v>656</v>
      </c>
      <c r="C1018" s="1284"/>
      <c r="D1018" s="1284"/>
      <c r="E1018" s="8884" t="s">
        <v>647</v>
      </c>
      <c r="F1018" s="8883">
        <v>1</v>
      </c>
      <c r="G1018" s="1284"/>
      <c r="H1018" s="1284"/>
      <c r="I1018" s="1284"/>
      <c r="J1018" s="1284"/>
      <c r="K1018" s="1284"/>
      <c r="L1018" s="1290"/>
      <c r="M1018" s="1286"/>
      <c r="N1018" s="1286"/>
      <c r="O1018" s="1286"/>
      <c r="P1018" s="1807"/>
      <c r="Q1018" s="273"/>
      <c r="R1018" s="274"/>
      <c r="S1018" s="1810" t="str">
        <f>INDEX(PT_DIFFERENTIATION_NUM_TER,MATCH(B1018,PT_DIFFERENTIATION_TER_ID,0))</f>
        <v>62.1</v>
      </c>
      <c r="T1018" s="1437" t="s">
        <v>862</v>
      </c>
      <c r="U1018" s="214"/>
      <c r="V1018" s="8869"/>
      <c r="W1018" s="8870"/>
      <c r="X1018" s="8870"/>
      <c r="Y1018" s="8870"/>
      <c r="Z1018" s="8870"/>
      <c r="AA1018" s="8870"/>
      <c r="AB1018" s="8871"/>
      <c r="AC1018" s="8869" t="str">
        <f>INDEX(PT_DIFFERENTIATION_TER,MATCH(B1018,PT_DIFFERENTIATION_TER_ID,0))</f>
        <v>Территория 18</v>
      </c>
      <c r="AD1018" s="8870"/>
      <c r="AE1018" s="8870"/>
      <c r="AF1018" s="8870"/>
      <c r="AG1018" s="8870"/>
      <c r="AH1018" s="8870"/>
      <c r="AI1018" s="8870"/>
      <c r="AJ1018" s="8871"/>
      <c r="AK1018" s="1182" t="s">
        <v>863</v>
      </c>
      <c r="AL1018" s="1562"/>
      <c r="AM1018" s="1544"/>
      <c r="AN1018" s="1544" t="str">
        <f t="shared" si="16"/>
        <v>Территория действия тарифа</v>
      </c>
      <c r="AO1018" s="1544"/>
      <c r="AP1018" s="1544"/>
    </row>
    <row r="1019" spans="1:42" s="1818" customFormat="1" ht="23.25" customHeight="1">
      <c r="A1019" s="1284"/>
      <c r="B1019" s="1284"/>
      <c r="C1019" s="1284" t="s">
        <v>657</v>
      </c>
      <c r="D1019" s="1284"/>
      <c r="E1019" s="8884" t="s">
        <v>647</v>
      </c>
      <c r="F1019" s="8884"/>
      <c r="G1019" s="8883">
        <v>1</v>
      </c>
      <c r="H1019" s="1284"/>
      <c r="I1019" s="1284"/>
      <c r="J1019" s="1284"/>
      <c r="K1019" s="1284"/>
      <c r="L1019" s="1290"/>
      <c r="M1019" s="1286"/>
      <c r="N1019" s="1286"/>
      <c r="O1019" s="1286"/>
      <c r="P1019" s="275"/>
      <c r="Q1019" s="273"/>
      <c r="R1019" s="274"/>
      <c r="S1019" s="1810" t="str">
        <f>INDEX(PT_DIFFERENTIATION_NUM_CS,MATCH(C1019,PT_DIFFERENTIATION_CS_ID,0))</f>
        <v>62.1.1</v>
      </c>
      <c r="T1019" s="225" t="s">
        <v>943</v>
      </c>
      <c r="U1019" s="214"/>
      <c r="V1019" s="8869"/>
      <c r="W1019" s="8870"/>
      <c r="X1019" s="8870"/>
      <c r="Y1019" s="8870"/>
      <c r="Z1019" s="8870"/>
      <c r="AA1019" s="8870"/>
      <c r="AB1019" s="8871"/>
      <c r="AC1019" s="8869" t="str">
        <f>INDEX(PT_DIFFERENTIATION_CS,MATCH(C1019,PT_DIFFERENTIATION_CS_ID,0))</f>
        <v>без дифференциации</v>
      </c>
      <c r="AD1019" s="8870"/>
      <c r="AE1019" s="8870"/>
      <c r="AF1019" s="8870"/>
      <c r="AG1019" s="8870"/>
      <c r="AH1019" s="8870"/>
      <c r="AI1019" s="8870"/>
      <c r="AJ1019" s="8871"/>
      <c r="AK1019" s="1182" t="s">
        <v>944</v>
      </c>
      <c r="AL1019" s="1562"/>
      <c r="AM1019" s="1544"/>
      <c r="AN1019" s="1544" t="str">
        <f t="shared" si="16"/>
        <v>Наименование централизованной системы холодного водоснабжения</v>
      </c>
      <c r="AO1019" s="1544"/>
      <c r="AP1019" s="1544"/>
    </row>
    <row r="1020" spans="1:42" s="1818" customFormat="1" ht="23.25" customHeight="1">
      <c r="A1020" s="1284"/>
      <c r="B1020" s="1284"/>
      <c r="C1020" s="1284"/>
      <c r="D1020" s="1284"/>
      <c r="E1020" s="8884" t="s">
        <v>647</v>
      </c>
      <c r="F1020" s="8884"/>
      <c r="G1020" s="8884"/>
      <c r="H1020" s="8884"/>
      <c r="I1020" s="8881" t="str">
        <f>S1019&amp;".1"</f>
        <v>62.1.1.1</v>
      </c>
      <c r="J1020" s="1284"/>
      <c r="K1020" s="1284"/>
      <c r="L1020" s="1290"/>
      <c r="M1020" s="1696"/>
      <c r="N1020" s="1696"/>
      <c r="O1020" s="1696"/>
      <c r="P1020" s="8882">
        <v>1</v>
      </c>
      <c r="Q1020" s="1811"/>
      <c r="R1020" s="277"/>
      <c r="S1020" s="1810" t="str">
        <f>$I1020</f>
        <v>62.1.1.1</v>
      </c>
      <c r="T1020" s="200" t="s">
        <v>945</v>
      </c>
      <c r="U1020" s="214"/>
      <c r="V1020" s="8942"/>
      <c r="W1020" s="8943"/>
      <c r="X1020" s="8943"/>
      <c r="Y1020" s="8943"/>
      <c r="Z1020" s="8943"/>
      <c r="AA1020" s="8943"/>
      <c r="AB1020" s="8944"/>
      <c r="AC1020" s="8945"/>
      <c r="AD1020" s="8946"/>
      <c r="AE1020" s="8946"/>
      <c r="AF1020" s="8946"/>
      <c r="AG1020" s="8946"/>
      <c r="AH1020" s="8946"/>
      <c r="AI1020" s="8946"/>
      <c r="AJ1020" s="8947"/>
      <c r="AK1020" s="1182" t="s">
        <v>946</v>
      </c>
      <c r="AL1020" s="1562"/>
      <c r="AM1020" s="1544"/>
      <c r="AN1020" s="1544" t="str">
        <f t="shared" si="16"/>
        <v>Наименование признака дифференциации</v>
      </c>
      <c r="AO1020" s="1544"/>
      <c r="AP1020" s="1544"/>
    </row>
    <row r="1021" spans="1:42" s="1818" customFormat="1" ht="23.25" customHeight="1">
      <c r="A1021" s="1284"/>
      <c r="B1021" s="1284"/>
      <c r="C1021" s="1284"/>
      <c r="D1021" s="1284"/>
      <c r="E1021" s="8884" t="s">
        <v>647</v>
      </c>
      <c r="F1021" s="8884"/>
      <c r="G1021" s="8884"/>
      <c r="H1021" s="8884"/>
      <c r="I1021" s="8904"/>
      <c r="J1021" s="8881" t="str">
        <f>I1020&amp;".1"</f>
        <v>62.1.1.1.1</v>
      </c>
      <c r="K1021" s="1284"/>
      <c r="L1021" s="1290" t="s">
        <v>871</v>
      </c>
      <c r="M1021" s="1696"/>
      <c r="N1021" s="1696"/>
      <c r="O1021" s="1696"/>
      <c r="P1021" s="8882"/>
      <c r="Q1021" s="8882">
        <v>1</v>
      </c>
      <c r="R1021" s="278"/>
      <c r="S1021" s="1810" t="str">
        <f>$J1021</f>
        <v>62.1.1.1.1</v>
      </c>
      <c r="T1021" s="201" t="s">
        <v>872</v>
      </c>
      <c r="U1021" s="214"/>
      <c r="V1021" s="8872"/>
      <c r="W1021" s="8873"/>
      <c r="X1021" s="8873"/>
      <c r="Y1021" s="8873"/>
      <c r="Z1021" s="8873"/>
      <c r="AA1021" s="8873"/>
      <c r="AB1021" s="8874"/>
      <c r="AC1021" s="8872" t="s">
        <v>961</v>
      </c>
      <c r="AD1021" s="8873"/>
      <c r="AE1021" s="8873"/>
      <c r="AF1021" s="8873"/>
      <c r="AG1021" s="8873"/>
      <c r="AH1021" s="8873"/>
      <c r="AI1021" s="8873"/>
      <c r="AJ1021" s="8874"/>
      <c r="AK1021" s="1231" t="s">
        <v>947</v>
      </c>
      <c r="AL1021" s="1562"/>
      <c r="AM1021" s="1544"/>
      <c r="AN1021" s="1544" t="str">
        <f t="shared" si="16"/>
        <v>Группа потребителей</v>
      </c>
      <c r="AO1021" s="1544"/>
      <c r="AP1021" s="1544"/>
    </row>
    <row r="1022" spans="1:42" s="1818" customFormat="1" ht="23.25" customHeight="1">
      <c r="A1022" s="1284"/>
      <c r="B1022" s="1284"/>
      <c r="C1022" s="1284"/>
      <c r="D1022" s="1284"/>
      <c r="E1022" s="8884" t="s">
        <v>647</v>
      </c>
      <c r="F1022" s="8884"/>
      <c r="G1022" s="8884"/>
      <c r="H1022" s="8884"/>
      <c r="I1022" s="8904"/>
      <c r="J1022" s="8904"/>
      <c r="K1022" s="8881" t="str">
        <f>J1021&amp;".1"</f>
        <v>62.1.1.1.1.1</v>
      </c>
      <c r="L1022" s="1290"/>
      <c r="M1022" s="1696"/>
      <c r="N1022" s="1696"/>
      <c r="O1022" s="1696"/>
      <c r="P1022" s="8882"/>
      <c r="Q1022" s="8882"/>
      <c r="R1022" s="278">
        <v>1</v>
      </c>
      <c r="S1022" s="1810" t="str">
        <f>$K1022</f>
        <v>62.1.1.1.1.1</v>
      </c>
      <c r="T1022" s="1357" t="s">
        <v>962</v>
      </c>
      <c r="U1022" s="214"/>
      <c r="V1022" s="666"/>
      <c r="W1022" s="666"/>
      <c r="X1022" s="1181"/>
      <c r="Y1022" s="8886"/>
      <c r="Z1022" s="8734" t="s">
        <v>63</v>
      </c>
      <c r="AA1022" s="8886"/>
      <c r="AB1022" s="8734" t="s">
        <v>63</v>
      </c>
      <c r="AC1022" s="666">
        <v>624.73</v>
      </c>
      <c r="AD1022" s="666"/>
      <c r="AE1022" s="1181"/>
      <c r="AF1022" s="8886">
        <v>45292</v>
      </c>
      <c r="AG1022" s="8734" t="s">
        <v>63</v>
      </c>
      <c r="AH1022" s="8905">
        <v>45657</v>
      </c>
      <c r="AI1022" s="8734" t="s">
        <v>63</v>
      </c>
      <c r="AJ1022" s="1358"/>
      <c r="AK102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22" s="1562" t="e">
        <f ca="1">STRCHECKDATE(V1023:AJ1023)</f>
        <v>#NAME?</v>
      </c>
      <c r="AM1022" s="1544"/>
      <c r="AN1022" s="1544" t="str">
        <f t="shared" si="16"/>
        <v>Тариф для населения, руб. за 1 куб. метр с НДС</v>
      </c>
      <c r="AO1022" s="1544"/>
      <c r="AP1022" s="1544"/>
    </row>
    <row r="1023" spans="1:42" s="1818" customFormat="1" ht="14.25" customHeight="1">
      <c r="A1023" s="1284"/>
      <c r="B1023" s="1284"/>
      <c r="C1023" s="1284"/>
      <c r="D1023" s="1284"/>
      <c r="E1023" s="8884" t="s">
        <v>647</v>
      </c>
      <c r="F1023" s="8884"/>
      <c r="G1023" s="8884"/>
      <c r="H1023" s="8884"/>
      <c r="I1023" s="8904"/>
      <c r="J1023" s="8904"/>
      <c r="K1023" s="8881"/>
      <c r="L1023" s="1290"/>
      <c r="M1023" s="1696"/>
      <c r="N1023" s="1696"/>
      <c r="O1023" s="1696"/>
      <c r="P1023" s="8882"/>
      <c r="Q1023" s="8882"/>
      <c r="R1023" s="278"/>
      <c r="S1023" s="1815"/>
      <c r="T1023" s="214"/>
      <c r="U1023" s="214"/>
      <c r="V1023" s="246"/>
      <c r="W1023" s="246"/>
      <c r="X1023" s="250" t="str">
        <f>Y1022&amp;"-"&amp;AA1022</f>
        <v>-</v>
      </c>
      <c r="Y1023" s="8887"/>
      <c r="Z1023" s="8734"/>
      <c r="AA1023" s="8887"/>
      <c r="AB1023" s="8734"/>
      <c r="AC1023" s="246"/>
      <c r="AD1023" s="246"/>
      <c r="AE1023" s="250" t="str">
        <f>AF1022&amp;"-"&amp;AH1022</f>
        <v>45292-45657</v>
      </c>
      <c r="AF1023" s="8887"/>
      <c r="AG1023" s="8734"/>
      <c r="AH1023" s="8906"/>
      <c r="AI1023" s="8734"/>
      <c r="AJ1023" s="1359"/>
      <c r="AK1023" s="8941"/>
      <c r="AL1023" s="1562"/>
      <c r="AM1023" s="1544"/>
      <c r="AN1023" s="1544" t="str">
        <f t="shared" si="16"/>
        <v/>
      </c>
      <c r="AO1023" s="1544"/>
      <c r="AP1023" s="1544"/>
    </row>
    <row r="1024" spans="1:42" s="1818" customFormat="1" ht="21" customHeight="1">
      <c r="A1024" s="1284"/>
      <c r="B1024" s="1284"/>
      <c r="C1024" s="1284"/>
      <c r="D1024" s="1284"/>
      <c r="E1024" s="8884" t="s">
        <v>647</v>
      </c>
      <c r="F1024" s="8884"/>
      <c r="G1024" s="8884"/>
      <c r="H1024" s="8884"/>
      <c r="I1024" s="8904"/>
      <c r="J1024" s="8881"/>
      <c r="K1024" s="1284"/>
      <c r="L1024" s="1290"/>
      <c r="M1024" s="1696"/>
      <c r="N1024" s="1696"/>
      <c r="O1024" s="1696"/>
      <c r="P1024" s="8882"/>
      <c r="Q1024" s="8882"/>
      <c r="R1024" s="277"/>
      <c r="S1024" s="6313"/>
      <c r="T1024" s="6314" t="s">
        <v>948</v>
      </c>
      <c r="U1024" s="6315"/>
      <c r="V1024" s="6316"/>
      <c r="W1024" s="6317"/>
      <c r="X1024" s="6318"/>
      <c r="Y1024" s="6319"/>
      <c r="Z1024" s="6320"/>
      <c r="AA1024" s="6321"/>
      <c r="AB1024" s="6322"/>
      <c r="AC1024" s="6323"/>
      <c r="AD1024" s="6324"/>
      <c r="AE1024" s="6325"/>
      <c r="AF1024" s="6326"/>
      <c r="AG1024" s="6327"/>
      <c r="AH1024" s="6328"/>
      <c r="AI1024" s="6329"/>
      <c r="AJ1024" s="6330"/>
      <c r="AK1024" s="1182" t="s">
        <v>949</v>
      </c>
      <c r="AL1024" s="1562"/>
      <c r="AM1024" s="1544"/>
      <c r="AN1024" s="1544" t="str">
        <f t="shared" si="16"/>
        <v>Добавить значение признака дифференциации</v>
      </c>
      <c r="AO1024" s="1544"/>
      <c r="AP1024" s="1544"/>
    </row>
    <row r="1025" spans="1:42" s="1818" customFormat="1" ht="23.25" customHeight="1">
      <c r="A1025" s="1284"/>
      <c r="B1025" s="1284"/>
      <c r="C1025" s="1284"/>
      <c r="D1025" s="1284"/>
      <c r="E1025" s="8884"/>
      <c r="F1025" s="8884"/>
      <c r="G1025" s="8884"/>
      <c r="H1025" s="8884"/>
      <c r="I1025" s="8904"/>
      <c r="J1025" s="8881" t="str">
        <f>I1020&amp;".2"</f>
        <v>62.1.1.1.2</v>
      </c>
      <c r="K1025" s="1284"/>
      <c r="L1025" s="1290" t="s">
        <v>871</v>
      </c>
      <c r="M1025" s="1696"/>
      <c r="N1025" s="1696"/>
      <c r="O1025" s="1696"/>
      <c r="P1025" s="8882"/>
      <c r="Q1025" s="8948" t="s">
        <v>100</v>
      </c>
      <c r="R1025" s="278"/>
      <c r="S1025" s="1810" t="str">
        <f>$J1025</f>
        <v>62.1.1.1.2</v>
      </c>
      <c r="T1025" s="201" t="s">
        <v>872</v>
      </c>
      <c r="U1025" s="214"/>
      <c r="V1025" s="8872"/>
      <c r="W1025" s="8873"/>
      <c r="X1025" s="8873"/>
      <c r="Y1025" s="8873"/>
      <c r="Z1025" s="8873"/>
      <c r="AA1025" s="8873"/>
      <c r="AB1025" s="8874"/>
      <c r="AC1025" s="8872" t="s">
        <v>963</v>
      </c>
      <c r="AD1025" s="8873"/>
      <c r="AE1025" s="8873"/>
      <c r="AF1025" s="8873"/>
      <c r="AG1025" s="8873"/>
      <c r="AH1025" s="8873"/>
      <c r="AI1025" s="8873"/>
      <c r="AJ1025" s="8874"/>
      <c r="AK1025" s="1231" t="s">
        <v>947</v>
      </c>
      <c r="AL1025" s="1562"/>
      <c r="AM1025" s="1544"/>
      <c r="AN1025" s="1544" t="str">
        <f t="shared" si="16"/>
        <v>Группа потребителей</v>
      </c>
      <c r="AO1025" s="1544"/>
      <c r="AP1025" s="1544"/>
    </row>
    <row r="1026" spans="1:42" s="1818" customFormat="1" ht="23.25" customHeight="1">
      <c r="A1026" s="1284"/>
      <c r="B1026" s="1284"/>
      <c r="C1026" s="1284"/>
      <c r="D1026" s="1284"/>
      <c r="E1026" s="8884"/>
      <c r="F1026" s="8884"/>
      <c r="G1026" s="8884"/>
      <c r="H1026" s="8884"/>
      <c r="I1026" s="8904"/>
      <c r="J1026" s="8904" t="str">
        <f>I1020&amp;".1"</f>
        <v>62.1.1.1.1</v>
      </c>
      <c r="K1026" s="8881" t="str">
        <f>J1025&amp;".1"</f>
        <v>62.1.1.1.2.1</v>
      </c>
      <c r="L1026" s="1290"/>
      <c r="M1026" s="1696"/>
      <c r="N1026" s="1696"/>
      <c r="O1026" s="1696"/>
      <c r="P1026" s="8882"/>
      <c r="Q1026" s="8882"/>
      <c r="R1026" s="278">
        <v>1</v>
      </c>
      <c r="S1026" s="1810" t="str">
        <f>$K1026</f>
        <v>62.1.1.1.2.1</v>
      </c>
      <c r="T1026" s="1357" t="s">
        <v>964</v>
      </c>
      <c r="U1026" s="214"/>
      <c r="V1026" s="666"/>
      <c r="W1026" s="666"/>
      <c r="X1026" s="1181"/>
      <c r="Y1026" s="8886"/>
      <c r="Z1026" s="8734" t="s">
        <v>63</v>
      </c>
      <c r="AA1026" s="8886"/>
      <c r="AB1026" s="8734" t="s">
        <v>63</v>
      </c>
      <c r="AC1026" s="666">
        <v>520.61</v>
      </c>
      <c r="AD1026" s="666"/>
      <c r="AE1026" s="1181"/>
      <c r="AF1026" s="8886">
        <v>45292</v>
      </c>
      <c r="AG1026" s="8734" t="s">
        <v>63</v>
      </c>
      <c r="AH1026" s="8905">
        <v>45657</v>
      </c>
      <c r="AI1026" s="8734" t="s">
        <v>63</v>
      </c>
      <c r="AJ1026" s="1358"/>
      <c r="AK102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26" s="1562" t="e">
        <f ca="1">STRCHECKDATE(V1027:AJ1027)</f>
        <v>#NAME?</v>
      </c>
      <c r="AM1026" s="1544"/>
      <c r="AN1026" s="1544" t="str">
        <f t="shared" si="16"/>
        <v>Тариф, руб. за 1 куб. метр без НДС</v>
      </c>
      <c r="AO1026" s="1544"/>
      <c r="AP1026" s="1544"/>
    </row>
    <row r="1027" spans="1:42" s="1818" customFormat="1" ht="14.25" customHeight="1">
      <c r="A1027" s="1284"/>
      <c r="B1027" s="1284"/>
      <c r="C1027" s="1284"/>
      <c r="D1027" s="1284"/>
      <c r="E1027" s="8884"/>
      <c r="F1027" s="8884"/>
      <c r="G1027" s="8884"/>
      <c r="H1027" s="8884"/>
      <c r="I1027" s="8904"/>
      <c r="J1027" s="8904" t="str">
        <f>I1020&amp;".1"</f>
        <v>62.1.1.1.1</v>
      </c>
      <c r="K1027" s="8881"/>
      <c r="L1027" s="1290"/>
      <c r="M1027" s="1696"/>
      <c r="N1027" s="1696"/>
      <c r="O1027" s="1696"/>
      <c r="P1027" s="8882"/>
      <c r="Q1027" s="8882"/>
      <c r="R1027" s="278"/>
      <c r="S1027" s="1815"/>
      <c r="T1027" s="214"/>
      <c r="U1027" s="214"/>
      <c r="V1027" s="246"/>
      <c r="W1027" s="246"/>
      <c r="X1027" s="250" t="str">
        <f>Y1026&amp;"-"&amp;AA1026</f>
        <v>-</v>
      </c>
      <c r="Y1027" s="8887"/>
      <c r="Z1027" s="8734"/>
      <c r="AA1027" s="8887"/>
      <c r="AB1027" s="8734"/>
      <c r="AC1027" s="246"/>
      <c r="AD1027" s="246"/>
      <c r="AE1027" s="250" t="str">
        <f>AF1026&amp;"-"&amp;AH1026</f>
        <v>45292-45657</v>
      </c>
      <c r="AF1027" s="8887"/>
      <c r="AG1027" s="8734"/>
      <c r="AH1027" s="8906"/>
      <c r="AI1027" s="8734"/>
      <c r="AJ1027" s="1359"/>
      <c r="AK1027" s="8941"/>
      <c r="AL1027" s="1562"/>
      <c r="AM1027" s="1544"/>
      <c r="AN1027" s="1544" t="str">
        <f t="shared" si="16"/>
        <v/>
      </c>
      <c r="AO1027" s="1544"/>
      <c r="AP1027" s="1544"/>
    </row>
    <row r="1028" spans="1:42" s="1818" customFormat="1" ht="21" customHeight="1">
      <c r="A1028" s="1284"/>
      <c r="B1028" s="1284"/>
      <c r="C1028" s="1284"/>
      <c r="D1028" s="1284"/>
      <c r="E1028" s="8884"/>
      <c r="F1028" s="8884"/>
      <c r="G1028" s="8884"/>
      <c r="H1028" s="8884"/>
      <c r="I1028" s="8904"/>
      <c r="J1028" s="8881" t="str">
        <f>I1020&amp;".1"</f>
        <v>62.1.1.1.1</v>
      </c>
      <c r="K1028" s="1284"/>
      <c r="L1028" s="1290"/>
      <c r="M1028" s="1696"/>
      <c r="N1028" s="1696"/>
      <c r="O1028" s="1696"/>
      <c r="P1028" s="8882"/>
      <c r="Q1028" s="8882"/>
      <c r="R1028" s="277"/>
      <c r="S1028" s="6331"/>
      <c r="T1028" s="6332" t="s">
        <v>948</v>
      </c>
      <c r="U1028" s="6333"/>
      <c r="V1028" s="6334"/>
      <c r="W1028" s="6335"/>
      <c r="X1028" s="6336"/>
      <c r="Y1028" s="6337"/>
      <c r="Z1028" s="6338"/>
      <c r="AA1028" s="6339"/>
      <c r="AB1028" s="6340"/>
      <c r="AC1028" s="6341"/>
      <c r="AD1028" s="6342"/>
      <c r="AE1028" s="6343"/>
      <c r="AF1028" s="6344"/>
      <c r="AG1028" s="6345"/>
      <c r="AH1028" s="6346"/>
      <c r="AI1028" s="6347"/>
      <c r="AJ1028" s="6348"/>
      <c r="AK1028" s="1182" t="s">
        <v>949</v>
      </c>
      <c r="AL1028" s="1562"/>
      <c r="AM1028" s="1544"/>
      <c r="AN1028" s="1544" t="str">
        <f t="shared" si="16"/>
        <v>Добавить значение признака дифференциации</v>
      </c>
      <c r="AO1028" s="1544"/>
      <c r="AP1028" s="1544"/>
    </row>
    <row r="1029" spans="1:42" s="1818" customFormat="1" ht="21" customHeight="1">
      <c r="A1029" s="1284"/>
      <c r="B1029" s="1284"/>
      <c r="C1029" s="1284"/>
      <c r="D1029" s="1284"/>
      <c r="E1029" s="8884" t="s">
        <v>647</v>
      </c>
      <c r="F1029" s="8884"/>
      <c r="G1029" s="8884"/>
      <c r="H1029" s="8884"/>
      <c r="I1029" s="8881"/>
      <c r="J1029" s="1284"/>
      <c r="K1029" s="1284"/>
      <c r="L1029" s="1290"/>
      <c r="M1029" s="1696"/>
      <c r="N1029" s="1696"/>
      <c r="O1029" s="1696"/>
      <c r="P1029" s="8882"/>
      <c r="Q1029" s="1811"/>
      <c r="R1029" s="277"/>
      <c r="S1029" s="6349"/>
      <c r="T1029" s="6350" t="s">
        <v>877</v>
      </c>
      <c r="U1029" s="6351"/>
      <c r="V1029" s="6352"/>
      <c r="W1029" s="6353"/>
      <c r="X1029" s="6354"/>
      <c r="Y1029" s="6355"/>
      <c r="Z1029" s="6356"/>
      <c r="AA1029" s="6357"/>
      <c r="AB1029" s="6358"/>
      <c r="AC1029" s="6359"/>
      <c r="AD1029" s="6360"/>
      <c r="AE1029" s="6361"/>
      <c r="AF1029" s="6362"/>
      <c r="AG1029" s="6363"/>
      <c r="AH1029" s="6364"/>
      <c r="AI1029" s="6365"/>
      <c r="AJ1029" s="6366"/>
      <c r="AK1029" s="6367"/>
      <c r="AL1029" s="1562"/>
      <c r="AM1029" s="1544"/>
      <c r="AN1029" s="1544" t="str">
        <f t="shared" si="16"/>
        <v>Добавить группу потребителей</v>
      </c>
      <c r="AO1029" s="1544"/>
      <c r="AP1029" s="1544"/>
    </row>
    <row r="1030" spans="1:42" s="1818" customFormat="1" ht="21" customHeight="1">
      <c r="A1030" s="1284"/>
      <c r="B1030" s="1284"/>
      <c r="C1030" s="1284"/>
      <c r="D1030" s="1284"/>
      <c r="E1030" s="8884" t="s">
        <v>647</v>
      </c>
      <c r="F1030" s="8884"/>
      <c r="G1030" s="8884"/>
      <c r="H1030" s="8883"/>
      <c r="I1030" s="1284"/>
      <c r="J1030" s="1284"/>
      <c r="K1030" s="1284"/>
      <c r="L1030" s="1290"/>
      <c r="M1030" s="1286"/>
      <c r="N1030" s="1286"/>
      <c r="O1030" s="1287"/>
      <c r="P1030" s="1742"/>
      <c r="Q1030" s="299"/>
      <c r="R1030" s="276"/>
      <c r="S1030" s="6368"/>
      <c r="T1030" s="6369" t="s">
        <v>950</v>
      </c>
      <c r="U1030" s="6370"/>
      <c r="V1030" s="6371"/>
      <c r="W1030" s="6372"/>
      <c r="X1030" s="6373"/>
      <c r="Y1030" s="6374"/>
      <c r="Z1030" s="6375"/>
      <c r="AA1030" s="6376"/>
      <c r="AB1030" s="6377"/>
      <c r="AC1030" s="6378"/>
      <c r="AD1030" s="6379"/>
      <c r="AE1030" s="6380"/>
      <c r="AF1030" s="6381"/>
      <c r="AG1030" s="6382"/>
      <c r="AH1030" s="6383"/>
      <c r="AI1030" s="6384"/>
      <c r="AJ1030" s="6385"/>
      <c r="AK1030" s="6386"/>
      <c r="AL1030" s="1562"/>
      <c r="AM1030" s="1544"/>
      <c r="AN1030" s="1544" t="str">
        <f t="shared" si="16"/>
        <v>Добавить наименование признака дифференциации</v>
      </c>
      <c r="AO1030" s="1544"/>
      <c r="AP1030" s="1544"/>
    </row>
    <row r="1031" spans="1:42" s="541" customFormat="1" ht="14.25" customHeight="1">
      <c r="A1031" s="1265"/>
      <c r="B1031" s="1265"/>
      <c r="C1031" s="1265"/>
      <c r="D1031" s="1265"/>
      <c r="E1031" s="8884" t="s">
        <v>647</v>
      </c>
      <c r="F1031" s="8883"/>
      <c r="G1031" s="1265"/>
      <c r="H1031" s="1265"/>
      <c r="I1031" s="1265"/>
      <c r="J1031" s="1265"/>
      <c r="K1031" s="1265"/>
      <c r="L1031" s="1466"/>
      <c r="M1031" s="1244"/>
      <c r="N1031" s="1244"/>
      <c r="O1031" s="1562"/>
      <c r="P1031" s="1239"/>
      <c r="Q1031" s="1266"/>
      <c r="R1031" s="1239"/>
      <c r="S1031" s="1245"/>
      <c r="T1031" s="1248" t="s">
        <v>314</v>
      </c>
      <c r="U1031" s="1247"/>
      <c r="V1031" s="1247"/>
      <c r="W1031" s="1247"/>
      <c r="X1031" s="1247"/>
      <c r="Y1031" s="1247"/>
      <c r="Z1031" s="1247"/>
      <c r="AA1031" s="1247"/>
      <c r="AB1031" s="1247"/>
      <c r="AC1031" s="1247"/>
      <c r="AD1031" s="1247"/>
      <c r="AE1031" s="1247"/>
      <c r="AF1031" s="1247"/>
      <c r="AG1031" s="1247"/>
      <c r="AH1031" s="1247"/>
      <c r="AI1031" s="1247"/>
      <c r="AJ1031" s="1247"/>
      <c r="AK1031" s="1247"/>
      <c r="AL1031" s="1562"/>
      <c r="AM1031" s="1544"/>
      <c r="AN1031" s="1544" t="str">
        <f t="shared" si="16"/>
        <v>Добавить централизованную систему для дифференциации</v>
      </c>
      <c r="AO1031" s="1544"/>
      <c r="AP1031" s="1544"/>
    </row>
    <row r="1032" spans="1:42" s="541" customFormat="1" ht="14.25" customHeight="1">
      <c r="A1032" s="1265"/>
      <c r="B1032" s="1265"/>
      <c r="C1032" s="1265"/>
      <c r="D1032" s="1265"/>
      <c r="E1032" s="8883" t="s">
        <v>647</v>
      </c>
      <c r="F1032" s="1265"/>
      <c r="G1032" s="1265"/>
      <c r="H1032" s="1265"/>
      <c r="I1032" s="1265"/>
      <c r="J1032" s="1265"/>
      <c r="K1032" s="1265"/>
      <c r="L1032" s="1466"/>
      <c r="M1032" s="1244"/>
      <c r="N1032" s="1244"/>
      <c r="O1032" s="1562"/>
      <c r="P1032" s="1239"/>
      <c r="Q1032" s="1266"/>
      <c r="R1032" s="1239"/>
      <c r="S1032" s="1245"/>
      <c r="T1032" s="1248" t="s">
        <v>315</v>
      </c>
      <c r="U1032" s="1247"/>
      <c r="V1032" s="1247"/>
      <c r="W1032" s="1247"/>
      <c r="X1032" s="1247"/>
      <c r="Y1032" s="1247"/>
      <c r="Z1032" s="1247"/>
      <c r="AA1032" s="1247"/>
      <c r="AB1032" s="1247"/>
      <c r="AC1032" s="1247"/>
      <c r="AD1032" s="1247"/>
      <c r="AE1032" s="1247"/>
      <c r="AF1032" s="1247"/>
      <c r="AG1032" s="1247"/>
      <c r="AH1032" s="1247"/>
      <c r="AI1032" s="1247"/>
      <c r="AJ1032" s="1247"/>
      <c r="AK1032" s="1247"/>
      <c r="AL1032" s="1562"/>
      <c r="AM1032" s="1544"/>
      <c r="AN1032" s="1544" t="str">
        <f t="shared" si="16"/>
        <v>Добавить территорию для дифференциации</v>
      </c>
      <c r="AO1032" s="1544"/>
      <c r="AP1032" s="1544"/>
    </row>
    <row r="1033" spans="1:42" s="1818" customFormat="1" ht="23.25" customHeight="1">
      <c r="A1033" s="1284" t="s">
        <v>661</v>
      </c>
      <c r="B1033" s="1284"/>
      <c r="C1033" s="1284"/>
      <c r="D1033" s="1284"/>
      <c r="E1033" s="8883" t="s">
        <v>659</v>
      </c>
      <c r="F1033" s="1284"/>
      <c r="G1033" s="1284"/>
      <c r="H1033" s="1284"/>
      <c r="I1033" s="1284"/>
      <c r="J1033" s="1284"/>
      <c r="K1033" s="1284"/>
      <c r="L1033" s="1290"/>
      <c r="M1033" s="1286"/>
      <c r="N1033" s="1286"/>
      <c r="O1033" s="1286"/>
      <c r="P1033" s="1812"/>
      <c r="Q1033" s="1742"/>
      <c r="R1033" s="276"/>
      <c r="S1033" s="1810" t="str">
        <f>INDEX(PT_DIFFERENTIATION_NUM_NTAR,MATCH(A1033,PT_DIFFERENTIATION_NTAR_ID,0))</f>
        <v>63</v>
      </c>
      <c r="T1033" s="1440" t="s">
        <v>211</v>
      </c>
      <c r="U1033" s="214"/>
      <c r="V1033" s="8869"/>
      <c r="W1033" s="8870"/>
      <c r="X1033" s="8870"/>
      <c r="Y1033" s="8870"/>
      <c r="Z1033" s="8870"/>
      <c r="AA1033" s="8870"/>
      <c r="AB1033" s="8871"/>
      <c r="AC1033" s="8869" t="str">
        <f>INDEX(PT_DIFFERENTIATION_NTAR,MATCH(A1033,PT_DIFFERENTIATION_NTAR_ID,0))</f>
        <v>Подвоз воды потребителям аула Уч-Тюбе</v>
      </c>
      <c r="AD1033" s="8870"/>
      <c r="AE1033" s="8870"/>
      <c r="AF1033" s="8870"/>
      <c r="AG1033" s="8870"/>
      <c r="AH1033" s="8870"/>
      <c r="AI1033" s="8870"/>
      <c r="AJ1033" s="8871"/>
      <c r="AK103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033" s="1562"/>
      <c r="AM1033" s="1544"/>
      <c r="AN1033" s="1544" t="str">
        <f t="shared" si="16"/>
        <v>Наименование тарифа</v>
      </c>
      <c r="AO1033" s="1544"/>
      <c r="AP1033" s="1544"/>
    </row>
    <row r="1034" spans="1:42" s="1818" customFormat="1" ht="23.25" customHeight="1">
      <c r="A1034" s="1284"/>
      <c r="B1034" s="1284" t="s">
        <v>662</v>
      </c>
      <c r="C1034" s="1284"/>
      <c r="D1034" s="1284"/>
      <c r="E1034" s="8884" t="s">
        <v>653</v>
      </c>
      <c r="F1034" s="8883">
        <v>1</v>
      </c>
      <c r="G1034" s="1284"/>
      <c r="H1034" s="1284"/>
      <c r="I1034" s="1284"/>
      <c r="J1034" s="1284"/>
      <c r="K1034" s="1284"/>
      <c r="L1034" s="1290"/>
      <c r="M1034" s="1286"/>
      <c r="N1034" s="1286"/>
      <c r="O1034" s="1286"/>
      <c r="P1034" s="1807"/>
      <c r="Q1034" s="273"/>
      <c r="R1034" s="274"/>
      <c r="S1034" s="1810" t="str">
        <f>INDEX(PT_DIFFERENTIATION_NUM_TER,MATCH(B1034,PT_DIFFERENTIATION_TER_ID,0))</f>
        <v>63.1</v>
      </c>
      <c r="T1034" s="1437" t="s">
        <v>862</v>
      </c>
      <c r="U1034" s="214"/>
      <c r="V1034" s="8869"/>
      <c r="W1034" s="8870"/>
      <c r="X1034" s="8870"/>
      <c r="Y1034" s="8870"/>
      <c r="Z1034" s="8870"/>
      <c r="AA1034" s="8870"/>
      <c r="AB1034" s="8871"/>
      <c r="AC1034" s="8869" t="str">
        <f>INDEX(PT_DIFFERENTIATION_TER,MATCH(B1034,PT_DIFFERENTIATION_TER_ID,0))</f>
        <v>Территория 18</v>
      </c>
      <c r="AD1034" s="8870"/>
      <c r="AE1034" s="8870"/>
      <c r="AF1034" s="8870"/>
      <c r="AG1034" s="8870"/>
      <c r="AH1034" s="8870"/>
      <c r="AI1034" s="8870"/>
      <c r="AJ1034" s="8871"/>
      <c r="AK1034" s="1182" t="s">
        <v>863</v>
      </c>
      <c r="AL1034" s="1562"/>
      <c r="AM1034" s="1544"/>
      <c r="AN1034" s="1544" t="str">
        <f t="shared" si="16"/>
        <v>Территория действия тарифа</v>
      </c>
      <c r="AO1034" s="1544"/>
      <c r="AP1034" s="1544"/>
    </row>
    <row r="1035" spans="1:42" s="1818" customFormat="1" ht="23.25" customHeight="1">
      <c r="A1035" s="1284"/>
      <c r="B1035" s="1284"/>
      <c r="C1035" s="1284" t="s">
        <v>663</v>
      </c>
      <c r="D1035" s="1284"/>
      <c r="E1035" s="8884" t="s">
        <v>653</v>
      </c>
      <c r="F1035" s="8884"/>
      <c r="G1035" s="8883">
        <v>1</v>
      </c>
      <c r="H1035" s="1284"/>
      <c r="I1035" s="1284"/>
      <c r="J1035" s="1284"/>
      <c r="K1035" s="1284"/>
      <c r="L1035" s="1290"/>
      <c r="M1035" s="1286"/>
      <c r="N1035" s="1286"/>
      <c r="O1035" s="1286"/>
      <c r="P1035" s="275"/>
      <c r="Q1035" s="273"/>
      <c r="R1035" s="274"/>
      <c r="S1035" s="1810" t="str">
        <f>INDEX(PT_DIFFERENTIATION_NUM_CS,MATCH(C1035,PT_DIFFERENTIATION_CS_ID,0))</f>
        <v>63.1.1</v>
      </c>
      <c r="T1035" s="225" t="s">
        <v>943</v>
      </c>
      <c r="U1035" s="214"/>
      <c r="V1035" s="8869"/>
      <c r="W1035" s="8870"/>
      <c r="X1035" s="8870"/>
      <c r="Y1035" s="8870"/>
      <c r="Z1035" s="8870"/>
      <c r="AA1035" s="8870"/>
      <c r="AB1035" s="8871"/>
      <c r="AC1035" s="8869" t="str">
        <f>INDEX(PT_DIFFERENTIATION_CS,MATCH(C1035,PT_DIFFERENTIATION_CS_ID,0))</f>
        <v>без дифференциации</v>
      </c>
      <c r="AD1035" s="8870"/>
      <c r="AE1035" s="8870"/>
      <c r="AF1035" s="8870"/>
      <c r="AG1035" s="8870"/>
      <c r="AH1035" s="8870"/>
      <c r="AI1035" s="8870"/>
      <c r="AJ1035" s="8871"/>
      <c r="AK1035" s="1182" t="s">
        <v>944</v>
      </c>
      <c r="AL1035" s="1562"/>
      <c r="AM1035" s="1544"/>
      <c r="AN1035" s="1544" t="str">
        <f t="shared" si="16"/>
        <v>Наименование централизованной системы холодного водоснабжения</v>
      </c>
      <c r="AO1035" s="1544"/>
      <c r="AP1035" s="1544"/>
    </row>
    <row r="1036" spans="1:42" s="1818" customFormat="1" ht="23.25" customHeight="1">
      <c r="A1036" s="1284"/>
      <c r="B1036" s="1284"/>
      <c r="C1036" s="1284"/>
      <c r="D1036" s="1284"/>
      <c r="E1036" s="8884" t="s">
        <v>653</v>
      </c>
      <c r="F1036" s="8884"/>
      <c r="G1036" s="8884"/>
      <c r="H1036" s="8884"/>
      <c r="I1036" s="8881" t="str">
        <f>S1035&amp;".1"</f>
        <v>63.1.1.1</v>
      </c>
      <c r="J1036" s="1284"/>
      <c r="K1036" s="1284"/>
      <c r="L1036" s="1290"/>
      <c r="M1036" s="1696"/>
      <c r="N1036" s="1696"/>
      <c r="O1036" s="1696"/>
      <c r="P1036" s="8882">
        <v>1</v>
      </c>
      <c r="Q1036" s="1811"/>
      <c r="R1036" s="277"/>
      <c r="S1036" s="1810" t="str">
        <f>$I1036</f>
        <v>63.1.1.1</v>
      </c>
      <c r="T1036" s="200" t="s">
        <v>945</v>
      </c>
      <c r="U1036" s="214"/>
      <c r="V1036" s="8942"/>
      <c r="W1036" s="8943"/>
      <c r="X1036" s="8943"/>
      <c r="Y1036" s="8943"/>
      <c r="Z1036" s="8943"/>
      <c r="AA1036" s="8943"/>
      <c r="AB1036" s="8944"/>
      <c r="AC1036" s="8945"/>
      <c r="AD1036" s="8946"/>
      <c r="AE1036" s="8946"/>
      <c r="AF1036" s="8946"/>
      <c r="AG1036" s="8946"/>
      <c r="AH1036" s="8946"/>
      <c r="AI1036" s="8946"/>
      <c r="AJ1036" s="8947"/>
      <c r="AK1036" s="1182" t="s">
        <v>946</v>
      </c>
      <c r="AL1036" s="1562"/>
      <c r="AM1036" s="1544"/>
      <c r="AN1036" s="1544" t="str">
        <f t="shared" si="16"/>
        <v>Наименование признака дифференциации</v>
      </c>
      <c r="AO1036" s="1544"/>
      <c r="AP1036" s="1544"/>
    </row>
    <row r="1037" spans="1:42" s="1818" customFormat="1" ht="23.25" customHeight="1">
      <c r="A1037" s="1284"/>
      <c r="B1037" s="1284"/>
      <c r="C1037" s="1284"/>
      <c r="D1037" s="1284"/>
      <c r="E1037" s="8884" t="s">
        <v>653</v>
      </c>
      <c r="F1037" s="8884"/>
      <c r="G1037" s="8884"/>
      <c r="H1037" s="8884"/>
      <c r="I1037" s="8904"/>
      <c r="J1037" s="8881" t="str">
        <f>I1036&amp;".1"</f>
        <v>63.1.1.1.1</v>
      </c>
      <c r="K1037" s="1284"/>
      <c r="L1037" s="1290" t="s">
        <v>871</v>
      </c>
      <c r="M1037" s="1696"/>
      <c r="N1037" s="1696"/>
      <c r="O1037" s="1696"/>
      <c r="P1037" s="8882"/>
      <c r="Q1037" s="8882">
        <v>1</v>
      </c>
      <c r="R1037" s="278"/>
      <c r="S1037" s="1810" t="str">
        <f>$J1037</f>
        <v>63.1.1.1.1</v>
      </c>
      <c r="T1037" s="201" t="s">
        <v>872</v>
      </c>
      <c r="U1037" s="214"/>
      <c r="V1037" s="8872"/>
      <c r="W1037" s="8873"/>
      <c r="X1037" s="8873"/>
      <c r="Y1037" s="8873"/>
      <c r="Z1037" s="8873"/>
      <c r="AA1037" s="8873"/>
      <c r="AB1037" s="8874"/>
      <c r="AC1037" s="8872" t="s">
        <v>961</v>
      </c>
      <c r="AD1037" s="8873"/>
      <c r="AE1037" s="8873"/>
      <c r="AF1037" s="8873"/>
      <c r="AG1037" s="8873"/>
      <c r="AH1037" s="8873"/>
      <c r="AI1037" s="8873"/>
      <c r="AJ1037" s="8874"/>
      <c r="AK1037" s="1231" t="s">
        <v>947</v>
      </c>
      <c r="AL1037" s="1562"/>
      <c r="AM1037" s="1544"/>
      <c r="AN1037" s="1544" t="str">
        <f t="shared" si="16"/>
        <v>Группа потребителей</v>
      </c>
      <c r="AO1037" s="1544"/>
      <c r="AP1037" s="1544"/>
    </row>
    <row r="1038" spans="1:42" s="1818" customFormat="1" ht="23.25" customHeight="1">
      <c r="A1038" s="1284"/>
      <c r="B1038" s="1284"/>
      <c r="C1038" s="1284"/>
      <c r="D1038" s="1284"/>
      <c r="E1038" s="8884" t="s">
        <v>653</v>
      </c>
      <c r="F1038" s="8884"/>
      <c r="G1038" s="8884"/>
      <c r="H1038" s="8884"/>
      <c r="I1038" s="8904"/>
      <c r="J1038" s="8904"/>
      <c r="K1038" s="8881" t="str">
        <f>J1037&amp;".1"</f>
        <v>63.1.1.1.1.1</v>
      </c>
      <c r="L1038" s="1290"/>
      <c r="M1038" s="1696"/>
      <c r="N1038" s="1696"/>
      <c r="O1038" s="1696"/>
      <c r="P1038" s="8882"/>
      <c r="Q1038" s="8882"/>
      <c r="R1038" s="278">
        <v>1</v>
      </c>
      <c r="S1038" s="1810" t="str">
        <f>$K1038</f>
        <v>63.1.1.1.1.1</v>
      </c>
      <c r="T1038" s="1357" t="s">
        <v>962</v>
      </c>
      <c r="U1038" s="214"/>
      <c r="V1038" s="666"/>
      <c r="W1038" s="666"/>
      <c r="X1038" s="1181"/>
      <c r="Y1038" s="8886"/>
      <c r="Z1038" s="8734" t="s">
        <v>63</v>
      </c>
      <c r="AA1038" s="8886"/>
      <c r="AB1038" s="8734" t="s">
        <v>63</v>
      </c>
      <c r="AC1038" s="666">
        <v>705.89</v>
      </c>
      <c r="AD1038" s="666"/>
      <c r="AE1038" s="1181"/>
      <c r="AF1038" s="8886">
        <v>45292</v>
      </c>
      <c r="AG1038" s="8734" t="s">
        <v>63</v>
      </c>
      <c r="AH1038" s="8905">
        <v>45657</v>
      </c>
      <c r="AI1038" s="8734" t="s">
        <v>63</v>
      </c>
      <c r="AJ1038" s="1358"/>
      <c r="AK103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38" s="1562" t="e">
        <f ca="1">STRCHECKDATE(V1039:AJ1039)</f>
        <v>#NAME?</v>
      </c>
      <c r="AM1038" s="1544"/>
      <c r="AN1038" s="1544" t="str">
        <f t="shared" si="16"/>
        <v>Тариф для населения, руб. за 1 куб. метр с НДС</v>
      </c>
      <c r="AO1038" s="1544"/>
      <c r="AP1038" s="1544"/>
    </row>
    <row r="1039" spans="1:42" s="1818" customFormat="1" ht="14.25" customHeight="1">
      <c r="A1039" s="1284"/>
      <c r="B1039" s="1284"/>
      <c r="C1039" s="1284"/>
      <c r="D1039" s="1284"/>
      <c r="E1039" s="8884" t="s">
        <v>653</v>
      </c>
      <c r="F1039" s="8884"/>
      <c r="G1039" s="8884"/>
      <c r="H1039" s="8884"/>
      <c r="I1039" s="8904"/>
      <c r="J1039" s="8904"/>
      <c r="K1039" s="8881"/>
      <c r="L1039" s="1290"/>
      <c r="M1039" s="1696"/>
      <c r="N1039" s="1696"/>
      <c r="O1039" s="1696"/>
      <c r="P1039" s="8882"/>
      <c r="Q1039" s="8882"/>
      <c r="R1039" s="278"/>
      <c r="S1039" s="1815"/>
      <c r="T1039" s="214"/>
      <c r="U1039" s="214"/>
      <c r="V1039" s="246"/>
      <c r="W1039" s="246"/>
      <c r="X1039" s="250" t="str">
        <f>Y1038&amp;"-"&amp;AA1038</f>
        <v>-</v>
      </c>
      <c r="Y1039" s="8887"/>
      <c r="Z1039" s="8734"/>
      <c r="AA1039" s="8887"/>
      <c r="AB1039" s="8734"/>
      <c r="AC1039" s="246"/>
      <c r="AD1039" s="246"/>
      <c r="AE1039" s="250" t="str">
        <f>AF1038&amp;"-"&amp;AH1038</f>
        <v>45292-45657</v>
      </c>
      <c r="AF1039" s="8887"/>
      <c r="AG1039" s="8734"/>
      <c r="AH1039" s="8906"/>
      <c r="AI1039" s="8734"/>
      <c r="AJ1039" s="1359"/>
      <c r="AK1039" s="8941"/>
      <c r="AL1039" s="1562"/>
      <c r="AM1039" s="1544"/>
      <c r="AN1039" s="1544" t="str">
        <f t="shared" si="16"/>
        <v/>
      </c>
      <c r="AO1039" s="1544"/>
      <c r="AP1039" s="1544"/>
    </row>
    <row r="1040" spans="1:42" s="1818" customFormat="1" ht="21" customHeight="1">
      <c r="A1040" s="1284"/>
      <c r="B1040" s="1284"/>
      <c r="C1040" s="1284"/>
      <c r="D1040" s="1284"/>
      <c r="E1040" s="8884" t="s">
        <v>653</v>
      </c>
      <c r="F1040" s="8884"/>
      <c r="G1040" s="8884"/>
      <c r="H1040" s="8884"/>
      <c r="I1040" s="8904"/>
      <c r="J1040" s="8881"/>
      <c r="K1040" s="1284"/>
      <c r="L1040" s="1290"/>
      <c r="M1040" s="1696"/>
      <c r="N1040" s="1696"/>
      <c r="O1040" s="1696"/>
      <c r="P1040" s="8882"/>
      <c r="Q1040" s="8882"/>
      <c r="R1040" s="277"/>
      <c r="S1040" s="6387"/>
      <c r="T1040" s="6388" t="s">
        <v>948</v>
      </c>
      <c r="U1040" s="6389"/>
      <c r="V1040" s="6390"/>
      <c r="W1040" s="6391"/>
      <c r="X1040" s="6392"/>
      <c r="Y1040" s="6393"/>
      <c r="Z1040" s="6394"/>
      <c r="AA1040" s="6395"/>
      <c r="AB1040" s="6396"/>
      <c r="AC1040" s="6397"/>
      <c r="AD1040" s="6398"/>
      <c r="AE1040" s="6399"/>
      <c r="AF1040" s="6400"/>
      <c r="AG1040" s="6401"/>
      <c r="AH1040" s="6402"/>
      <c r="AI1040" s="6403"/>
      <c r="AJ1040" s="6404"/>
      <c r="AK1040" s="1182" t="s">
        <v>949</v>
      </c>
      <c r="AL1040" s="1562"/>
      <c r="AM1040" s="1544"/>
      <c r="AN1040" s="1544" t="str">
        <f t="shared" si="16"/>
        <v>Добавить значение признака дифференциации</v>
      </c>
      <c r="AO1040" s="1544"/>
      <c r="AP1040" s="1544"/>
    </row>
    <row r="1041" spans="1:42" s="1818" customFormat="1" ht="23.25" customHeight="1">
      <c r="A1041" s="1284"/>
      <c r="B1041" s="1284"/>
      <c r="C1041" s="1284"/>
      <c r="D1041" s="1284"/>
      <c r="E1041" s="8884"/>
      <c r="F1041" s="8884"/>
      <c r="G1041" s="8884"/>
      <c r="H1041" s="8884"/>
      <c r="I1041" s="8904"/>
      <c r="J1041" s="8881" t="str">
        <f>I1036&amp;".2"</f>
        <v>63.1.1.1.2</v>
      </c>
      <c r="K1041" s="1284"/>
      <c r="L1041" s="1290" t="s">
        <v>871</v>
      </c>
      <c r="M1041" s="1696"/>
      <c r="N1041" s="1696"/>
      <c r="O1041" s="1696"/>
      <c r="P1041" s="8882"/>
      <c r="Q1041" s="8948" t="s">
        <v>100</v>
      </c>
      <c r="R1041" s="278"/>
      <c r="S1041" s="1810" t="str">
        <f>$J1041</f>
        <v>63.1.1.1.2</v>
      </c>
      <c r="T1041" s="201" t="s">
        <v>872</v>
      </c>
      <c r="U1041" s="214"/>
      <c r="V1041" s="8872"/>
      <c r="W1041" s="8873"/>
      <c r="X1041" s="8873"/>
      <c r="Y1041" s="8873"/>
      <c r="Z1041" s="8873"/>
      <c r="AA1041" s="8873"/>
      <c r="AB1041" s="8874"/>
      <c r="AC1041" s="8872" t="s">
        <v>963</v>
      </c>
      <c r="AD1041" s="8873"/>
      <c r="AE1041" s="8873"/>
      <c r="AF1041" s="8873"/>
      <c r="AG1041" s="8873"/>
      <c r="AH1041" s="8873"/>
      <c r="AI1041" s="8873"/>
      <c r="AJ1041" s="8874"/>
      <c r="AK1041" s="1231" t="s">
        <v>947</v>
      </c>
      <c r="AL1041" s="1562"/>
      <c r="AM1041" s="1544"/>
      <c r="AN1041" s="1544" t="str">
        <f t="shared" si="16"/>
        <v>Группа потребителей</v>
      </c>
      <c r="AO1041" s="1544"/>
      <c r="AP1041" s="1544"/>
    </row>
    <row r="1042" spans="1:42" s="1818" customFormat="1" ht="23.25" customHeight="1">
      <c r="A1042" s="1284"/>
      <c r="B1042" s="1284"/>
      <c r="C1042" s="1284"/>
      <c r="D1042" s="1284"/>
      <c r="E1042" s="8884"/>
      <c r="F1042" s="8884"/>
      <c r="G1042" s="8884"/>
      <c r="H1042" s="8884"/>
      <c r="I1042" s="8904"/>
      <c r="J1042" s="8904" t="str">
        <f>I1036&amp;".1"</f>
        <v>63.1.1.1.1</v>
      </c>
      <c r="K1042" s="8881" t="str">
        <f>J1041&amp;".1"</f>
        <v>63.1.1.1.2.1</v>
      </c>
      <c r="L1042" s="1290"/>
      <c r="M1042" s="1696"/>
      <c r="N1042" s="1696"/>
      <c r="O1042" s="1696"/>
      <c r="P1042" s="8882"/>
      <c r="Q1042" s="8882"/>
      <c r="R1042" s="278">
        <v>1</v>
      </c>
      <c r="S1042" s="1810" t="str">
        <f>$K1042</f>
        <v>63.1.1.1.2.1</v>
      </c>
      <c r="T1042" s="1357" t="s">
        <v>964</v>
      </c>
      <c r="U1042" s="214"/>
      <c r="V1042" s="666"/>
      <c r="W1042" s="666"/>
      <c r="X1042" s="1181"/>
      <c r="Y1042" s="8886"/>
      <c r="Z1042" s="8734" t="s">
        <v>63</v>
      </c>
      <c r="AA1042" s="8886"/>
      <c r="AB1042" s="8734" t="s">
        <v>63</v>
      </c>
      <c r="AC1042" s="666">
        <v>588.24</v>
      </c>
      <c r="AD1042" s="666"/>
      <c r="AE1042" s="1181"/>
      <c r="AF1042" s="8886">
        <v>45292</v>
      </c>
      <c r="AG1042" s="8734" t="s">
        <v>63</v>
      </c>
      <c r="AH1042" s="8905">
        <v>45657</v>
      </c>
      <c r="AI1042" s="8734" t="s">
        <v>63</v>
      </c>
      <c r="AJ1042" s="1358"/>
      <c r="AK104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42" s="1562" t="e">
        <f ca="1">STRCHECKDATE(V1043:AJ1043)</f>
        <v>#NAME?</v>
      </c>
      <c r="AM1042" s="1544"/>
      <c r="AN1042" s="1544" t="str">
        <f t="shared" si="16"/>
        <v>Тариф, руб. за 1 куб. метр без НДС</v>
      </c>
      <c r="AO1042" s="1544"/>
      <c r="AP1042" s="1544"/>
    </row>
    <row r="1043" spans="1:42" s="1818" customFormat="1" ht="14.25" customHeight="1">
      <c r="A1043" s="1284"/>
      <c r="B1043" s="1284"/>
      <c r="C1043" s="1284"/>
      <c r="D1043" s="1284"/>
      <c r="E1043" s="8884"/>
      <c r="F1043" s="8884"/>
      <c r="G1043" s="8884"/>
      <c r="H1043" s="8884"/>
      <c r="I1043" s="8904"/>
      <c r="J1043" s="8904" t="str">
        <f>I1036&amp;".1"</f>
        <v>63.1.1.1.1</v>
      </c>
      <c r="K1043" s="8881"/>
      <c r="L1043" s="1290"/>
      <c r="M1043" s="1696"/>
      <c r="N1043" s="1696"/>
      <c r="O1043" s="1696"/>
      <c r="P1043" s="8882"/>
      <c r="Q1043" s="8882"/>
      <c r="R1043" s="278"/>
      <c r="S1043" s="1815"/>
      <c r="T1043" s="214"/>
      <c r="U1043" s="214"/>
      <c r="V1043" s="246"/>
      <c r="W1043" s="246"/>
      <c r="X1043" s="250" t="str">
        <f>Y1042&amp;"-"&amp;AA1042</f>
        <v>-</v>
      </c>
      <c r="Y1043" s="8887"/>
      <c r="Z1043" s="8734"/>
      <c r="AA1043" s="8887"/>
      <c r="AB1043" s="8734"/>
      <c r="AC1043" s="246"/>
      <c r="AD1043" s="246"/>
      <c r="AE1043" s="250" t="str">
        <f>AF1042&amp;"-"&amp;AH1042</f>
        <v>45292-45657</v>
      </c>
      <c r="AF1043" s="8887"/>
      <c r="AG1043" s="8734"/>
      <c r="AH1043" s="8906"/>
      <c r="AI1043" s="8734"/>
      <c r="AJ1043" s="1359"/>
      <c r="AK1043" s="8941"/>
      <c r="AL1043" s="1562"/>
      <c r="AM1043" s="1544"/>
      <c r="AN1043" s="1544" t="str">
        <f t="shared" si="16"/>
        <v/>
      </c>
      <c r="AO1043" s="1544"/>
      <c r="AP1043" s="1544"/>
    </row>
    <row r="1044" spans="1:42" s="1818" customFormat="1" ht="21" customHeight="1">
      <c r="A1044" s="1284"/>
      <c r="B1044" s="1284"/>
      <c r="C1044" s="1284"/>
      <c r="D1044" s="1284"/>
      <c r="E1044" s="8884"/>
      <c r="F1044" s="8884"/>
      <c r="G1044" s="8884"/>
      <c r="H1044" s="8884"/>
      <c r="I1044" s="8904"/>
      <c r="J1044" s="8881" t="str">
        <f>I1036&amp;".1"</f>
        <v>63.1.1.1.1</v>
      </c>
      <c r="K1044" s="1284"/>
      <c r="L1044" s="1290"/>
      <c r="M1044" s="1696"/>
      <c r="N1044" s="1696"/>
      <c r="O1044" s="1696"/>
      <c r="P1044" s="8882"/>
      <c r="Q1044" s="8882"/>
      <c r="R1044" s="277"/>
      <c r="S1044" s="6405"/>
      <c r="T1044" s="6406" t="s">
        <v>948</v>
      </c>
      <c r="U1044" s="6407"/>
      <c r="V1044" s="6408"/>
      <c r="W1044" s="6409"/>
      <c r="X1044" s="6410"/>
      <c r="Y1044" s="6411"/>
      <c r="Z1044" s="6412"/>
      <c r="AA1044" s="6413"/>
      <c r="AB1044" s="6414"/>
      <c r="AC1044" s="6415"/>
      <c r="AD1044" s="6416"/>
      <c r="AE1044" s="6417"/>
      <c r="AF1044" s="6418"/>
      <c r="AG1044" s="6419"/>
      <c r="AH1044" s="6420"/>
      <c r="AI1044" s="6421"/>
      <c r="AJ1044" s="6422"/>
      <c r="AK1044" s="1182" t="s">
        <v>949</v>
      </c>
      <c r="AL1044" s="1562"/>
      <c r="AM1044" s="1544"/>
      <c r="AN1044" s="1544" t="str">
        <f t="shared" si="16"/>
        <v>Добавить значение признака дифференциации</v>
      </c>
      <c r="AO1044" s="1544"/>
      <c r="AP1044" s="1544"/>
    </row>
    <row r="1045" spans="1:42" s="1818" customFormat="1" ht="21" customHeight="1">
      <c r="A1045" s="1284"/>
      <c r="B1045" s="1284"/>
      <c r="C1045" s="1284"/>
      <c r="D1045" s="1284"/>
      <c r="E1045" s="8884" t="s">
        <v>653</v>
      </c>
      <c r="F1045" s="8884"/>
      <c r="G1045" s="8884"/>
      <c r="H1045" s="8884"/>
      <c r="I1045" s="8881"/>
      <c r="J1045" s="1284"/>
      <c r="K1045" s="1284"/>
      <c r="L1045" s="1290"/>
      <c r="M1045" s="1696"/>
      <c r="N1045" s="1696"/>
      <c r="O1045" s="1696"/>
      <c r="P1045" s="8882"/>
      <c r="Q1045" s="1811"/>
      <c r="R1045" s="277"/>
      <c r="S1045" s="6423"/>
      <c r="T1045" s="6424" t="s">
        <v>877</v>
      </c>
      <c r="U1045" s="6425"/>
      <c r="V1045" s="6426"/>
      <c r="W1045" s="6427"/>
      <c r="X1045" s="6428"/>
      <c r="Y1045" s="6429"/>
      <c r="Z1045" s="6430"/>
      <c r="AA1045" s="6431"/>
      <c r="AB1045" s="6432"/>
      <c r="AC1045" s="6433"/>
      <c r="AD1045" s="6434"/>
      <c r="AE1045" s="6435"/>
      <c r="AF1045" s="6436"/>
      <c r="AG1045" s="6437"/>
      <c r="AH1045" s="6438"/>
      <c r="AI1045" s="6439"/>
      <c r="AJ1045" s="6440"/>
      <c r="AK1045" s="6441"/>
      <c r="AL1045" s="1562"/>
      <c r="AM1045" s="1544"/>
      <c r="AN1045" s="1544" t="str">
        <f t="shared" si="16"/>
        <v>Добавить группу потребителей</v>
      </c>
      <c r="AO1045" s="1544"/>
      <c r="AP1045" s="1544"/>
    </row>
    <row r="1046" spans="1:42" s="1818" customFormat="1" ht="21" customHeight="1">
      <c r="A1046" s="1284"/>
      <c r="B1046" s="1284"/>
      <c r="C1046" s="1284"/>
      <c r="D1046" s="1284"/>
      <c r="E1046" s="8884" t="s">
        <v>653</v>
      </c>
      <c r="F1046" s="8884"/>
      <c r="G1046" s="8884"/>
      <c r="H1046" s="8883"/>
      <c r="I1046" s="1284"/>
      <c r="J1046" s="1284"/>
      <c r="K1046" s="1284"/>
      <c r="L1046" s="1290"/>
      <c r="M1046" s="1286"/>
      <c r="N1046" s="1286"/>
      <c r="O1046" s="1287"/>
      <c r="P1046" s="1742"/>
      <c r="Q1046" s="299"/>
      <c r="R1046" s="276"/>
      <c r="S1046" s="6442"/>
      <c r="T1046" s="6443" t="s">
        <v>950</v>
      </c>
      <c r="U1046" s="6444"/>
      <c r="V1046" s="6445"/>
      <c r="W1046" s="6446"/>
      <c r="X1046" s="6447"/>
      <c r="Y1046" s="6448"/>
      <c r="Z1046" s="6449"/>
      <c r="AA1046" s="6450"/>
      <c r="AB1046" s="6451"/>
      <c r="AC1046" s="6452"/>
      <c r="AD1046" s="6453"/>
      <c r="AE1046" s="6454"/>
      <c r="AF1046" s="6455"/>
      <c r="AG1046" s="6456"/>
      <c r="AH1046" s="6457"/>
      <c r="AI1046" s="6458"/>
      <c r="AJ1046" s="6459"/>
      <c r="AK1046" s="6460"/>
      <c r="AL1046" s="1562"/>
      <c r="AM1046" s="1544"/>
      <c r="AN1046" s="1544" t="str">
        <f t="shared" si="16"/>
        <v>Добавить наименование признака дифференциации</v>
      </c>
      <c r="AO1046" s="1544"/>
      <c r="AP1046" s="1544"/>
    </row>
    <row r="1047" spans="1:42" s="541" customFormat="1" ht="14.25" customHeight="1">
      <c r="A1047" s="1265"/>
      <c r="B1047" s="1265"/>
      <c r="C1047" s="1265"/>
      <c r="D1047" s="1265"/>
      <c r="E1047" s="8884" t="s">
        <v>653</v>
      </c>
      <c r="F1047" s="8883"/>
      <c r="G1047" s="1265"/>
      <c r="H1047" s="1265"/>
      <c r="I1047" s="1265"/>
      <c r="J1047" s="1265"/>
      <c r="K1047" s="1265"/>
      <c r="L1047" s="1466"/>
      <c r="M1047" s="1244"/>
      <c r="N1047" s="1244"/>
      <c r="O1047" s="1562"/>
      <c r="P1047" s="1239"/>
      <c r="Q1047" s="1266"/>
      <c r="R1047" s="1239"/>
      <c r="S1047" s="1245"/>
      <c r="T1047" s="1248" t="s">
        <v>314</v>
      </c>
      <c r="U1047" s="1247"/>
      <c r="V1047" s="1247"/>
      <c r="W1047" s="1247"/>
      <c r="X1047" s="1247"/>
      <c r="Y1047" s="1247"/>
      <c r="Z1047" s="1247"/>
      <c r="AA1047" s="1247"/>
      <c r="AB1047" s="1247"/>
      <c r="AC1047" s="1247"/>
      <c r="AD1047" s="1247"/>
      <c r="AE1047" s="1247"/>
      <c r="AF1047" s="1247"/>
      <c r="AG1047" s="1247"/>
      <c r="AH1047" s="1247"/>
      <c r="AI1047" s="1247"/>
      <c r="AJ1047" s="1247"/>
      <c r="AK1047" s="1247"/>
      <c r="AL1047" s="1562"/>
      <c r="AM1047" s="1544"/>
      <c r="AN1047" s="1544" t="str">
        <f t="shared" si="16"/>
        <v>Добавить централизованную систему для дифференциации</v>
      </c>
      <c r="AO1047" s="1544"/>
      <c r="AP1047" s="1544"/>
    </row>
    <row r="1048" spans="1:42" s="541" customFormat="1" ht="14.25" customHeight="1">
      <c r="A1048" s="1265"/>
      <c r="B1048" s="1265"/>
      <c r="C1048" s="1265"/>
      <c r="D1048" s="1265"/>
      <c r="E1048" s="8883" t="s">
        <v>653</v>
      </c>
      <c r="F1048" s="1265"/>
      <c r="G1048" s="1265"/>
      <c r="H1048" s="1265"/>
      <c r="I1048" s="1265"/>
      <c r="J1048" s="1265"/>
      <c r="K1048" s="1265"/>
      <c r="L1048" s="1466"/>
      <c r="M1048" s="1244"/>
      <c r="N1048" s="1244"/>
      <c r="O1048" s="1562"/>
      <c r="P1048" s="1239"/>
      <c r="Q1048" s="1266"/>
      <c r="R1048" s="1239"/>
      <c r="S1048" s="1245"/>
      <c r="T1048" s="1248" t="s">
        <v>315</v>
      </c>
      <c r="U1048" s="1247"/>
      <c r="V1048" s="1247"/>
      <c r="W1048" s="1247"/>
      <c r="X1048" s="1247"/>
      <c r="Y1048" s="1247"/>
      <c r="Z1048" s="1247"/>
      <c r="AA1048" s="1247"/>
      <c r="AB1048" s="1247"/>
      <c r="AC1048" s="1247"/>
      <c r="AD1048" s="1247"/>
      <c r="AE1048" s="1247"/>
      <c r="AF1048" s="1247"/>
      <c r="AG1048" s="1247"/>
      <c r="AH1048" s="1247"/>
      <c r="AI1048" s="1247"/>
      <c r="AJ1048" s="1247"/>
      <c r="AK1048" s="1247"/>
      <c r="AL1048" s="1562"/>
      <c r="AM1048" s="1544"/>
      <c r="AN1048" s="1544" t="str">
        <f t="shared" si="16"/>
        <v>Добавить территорию для дифференциации</v>
      </c>
      <c r="AO1048" s="1544"/>
      <c r="AP1048" s="1544"/>
    </row>
    <row r="1049" spans="1:42" s="1818" customFormat="1" ht="23.25" customHeight="1">
      <c r="A1049" s="1284" t="s">
        <v>666</v>
      </c>
      <c r="B1049" s="1284"/>
      <c r="C1049" s="1284"/>
      <c r="D1049" s="1284"/>
      <c r="E1049" s="8883" t="s">
        <v>115</v>
      </c>
      <c r="F1049" s="1284"/>
      <c r="G1049" s="1284"/>
      <c r="H1049" s="1284"/>
      <c r="I1049" s="1284"/>
      <c r="J1049" s="1284"/>
      <c r="K1049" s="1284"/>
      <c r="L1049" s="1290"/>
      <c r="M1049" s="1286"/>
      <c r="N1049" s="1286"/>
      <c r="O1049" s="1286"/>
      <c r="P1049" s="1812"/>
      <c r="Q1049" s="1742"/>
      <c r="R1049" s="276"/>
      <c r="S1049" s="1810" t="str">
        <f>INDEX(PT_DIFFERENTIATION_NUM_NTAR,MATCH(A1049,PT_DIFFERENTIATION_NTAR_ID,0))</f>
        <v>64</v>
      </c>
      <c r="T1049" s="1440" t="s">
        <v>211</v>
      </c>
      <c r="U1049" s="214"/>
      <c r="V1049" s="8869"/>
      <c r="W1049" s="8870"/>
      <c r="X1049" s="8870"/>
      <c r="Y1049" s="8870"/>
      <c r="Z1049" s="8870"/>
      <c r="AA1049" s="8870"/>
      <c r="AB1049" s="8871"/>
      <c r="AC1049" s="8869" t="str">
        <f>INDEX(PT_DIFFERENTIATION_NTAR,MATCH(A1049,PT_DIFFERENTIATION_NTAR_ID,0))</f>
        <v>Подвоз воды потребителям аула Кунай</v>
      </c>
      <c r="AD1049" s="8870"/>
      <c r="AE1049" s="8870"/>
      <c r="AF1049" s="8870"/>
      <c r="AG1049" s="8870"/>
      <c r="AH1049" s="8870"/>
      <c r="AI1049" s="8870"/>
      <c r="AJ1049" s="8871"/>
      <c r="AK104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049" s="1562"/>
      <c r="AM1049" s="1544"/>
      <c r="AN1049" s="1544" t="str">
        <f t="shared" si="16"/>
        <v>Наименование тарифа</v>
      </c>
      <c r="AO1049" s="1544"/>
      <c r="AP1049" s="1544"/>
    </row>
    <row r="1050" spans="1:42" s="1818" customFormat="1" ht="23.25" customHeight="1">
      <c r="A1050" s="1284"/>
      <c r="B1050" s="1284" t="s">
        <v>667</v>
      </c>
      <c r="C1050" s="1284"/>
      <c r="D1050" s="1284"/>
      <c r="E1050" s="8884" t="s">
        <v>659</v>
      </c>
      <c r="F1050" s="8883">
        <v>1</v>
      </c>
      <c r="G1050" s="1284"/>
      <c r="H1050" s="1284"/>
      <c r="I1050" s="1284"/>
      <c r="J1050" s="1284"/>
      <c r="K1050" s="1284"/>
      <c r="L1050" s="1290"/>
      <c r="M1050" s="1286"/>
      <c r="N1050" s="1286"/>
      <c r="O1050" s="1286"/>
      <c r="P1050" s="1807"/>
      <c r="Q1050" s="273"/>
      <c r="R1050" s="274"/>
      <c r="S1050" s="1810" t="str">
        <f>INDEX(PT_DIFFERENTIATION_NUM_TER,MATCH(B1050,PT_DIFFERENTIATION_TER_ID,0))</f>
        <v>64.1</v>
      </c>
      <c r="T1050" s="1437" t="s">
        <v>862</v>
      </c>
      <c r="U1050" s="214"/>
      <c r="V1050" s="8869"/>
      <c r="W1050" s="8870"/>
      <c r="X1050" s="8870"/>
      <c r="Y1050" s="8870"/>
      <c r="Z1050" s="8870"/>
      <c r="AA1050" s="8870"/>
      <c r="AB1050" s="8871"/>
      <c r="AC1050" s="8869" t="str">
        <f>INDEX(PT_DIFFERENTIATION_TER,MATCH(B1050,PT_DIFFERENTIATION_TER_ID,0))</f>
        <v>Территория 18</v>
      </c>
      <c r="AD1050" s="8870"/>
      <c r="AE1050" s="8870"/>
      <c r="AF1050" s="8870"/>
      <c r="AG1050" s="8870"/>
      <c r="AH1050" s="8870"/>
      <c r="AI1050" s="8870"/>
      <c r="AJ1050" s="8871"/>
      <c r="AK1050" s="1182" t="s">
        <v>863</v>
      </c>
      <c r="AL1050" s="1562"/>
      <c r="AM1050" s="1544"/>
      <c r="AN1050" s="1544" t="str">
        <f t="shared" si="16"/>
        <v>Территория действия тарифа</v>
      </c>
      <c r="AO1050" s="1544"/>
      <c r="AP1050" s="1544"/>
    </row>
    <row r="1051" spans="1:42" s="1818" customFormat="1" ht="23.25" customHeight="1">
      <c r="A1051" s="1284"/>
      <c r="B1051" s="1284"/>
      <c r="C1051" s="1284" t="s">
        <v>668</v>
      </c>
      <c r="D1051" s="1284"/>
      <c r="E1051" s="8884" t="s">
        <v>659</v>
      </c>
      <c r="F1051" s="8884"/>
      <c r="G1051" s="8883">
        <v>1</v>
      </c>
      <c r="H1051" s="1284"/>
      <c r="I1051" s="1284"/>
      <c r="J1051" s="1284"/>
      <c r="K1051" s="1284"/>
      <c r="L1051" s="1290"/>
      <c r="M1051" s="1286"/>
      <c r="N1051" s="1286"/>
      <c r="O1051" s="1286"/>
      <c r="P1051" s="275"/>
      <c r="Q1051" s="273"/>
      <c r="R1051" s="274"/>
      <c r="S1051" s="1810" t="str">
        <f>INDEX(PT_DIFFERENTIATION_NUM_CS,MATCH(C1051,PT_DIFFERENTIATION_CS_ID,0))</f>
        <v>64.1.1</v>
      </c>
      <c r="T1051" s="225" t="s">
        <v>943</v>
      </c>
      <c r="U1051" s="214"/>
      <c r="V1051" s="8869"/>
      <c r="W1051" s="8870"/>
      <c r="X1051" s="8870"/>
      <c r="Y1051" s="8870"/>
      <c r="Z1051" s="8870"/>
      <c r="AA1051" s="8870"/>
      <c r="AB1051" s="8871"/>
      <c r="AC1051" s="8869" t="str">
        <f>INDEX(PT_DIFFERENTIATION_CS,MATCH(C1051,PT_DIFFERENTIATION_CS_ID,0))</f>
        <v>без дифференциации</v>
      </c>
      <c r="AD1051" s="8870"/>
      <c r="AE1051" s="8870"/>
      <c r="AF1051" s="8870"/>
      <c r="AG1051" s="8870"/>
      <c r="AH1051" s="8870"/>
      <c r="AI1051" s="8870"/>
      <c r="AJ1051" s="8871"/>
      <c r="AK1051" s="1182" t="s">
        <v>944</v>
      </c>
      <c r="AL1051" s="1562"/>
      <c r="AM1051" s="1544"/>
      <c r="AN1051" s="1544" t="str">
        <f t="shared" si="16"/>
        <v>Наименование централизованной системы холодного водоснабжения</v>
      </c>
      <c r="AO1051" s="1544"/>
      <c r="AP1051" s="1544"/>
    </row>
    <row r="1052" spans="1:42" s="1818" customFormat="1" ht="23.25" customHeight="1">
      <c r="A1052" s="1284"/>
      <c r="B1052" s="1284"/>
      <c r="C1052" s="1284"/>
      <c r="D1052" s="1284"/>
      <c r="E1052" s="8884" t="s">
        <v>659</v>
      </c>
      <c r="F1052" s="8884"/>
      <c r="G1052" s="8884"/>
      <c r="H1052" s="8884"/>
      <c r="I1052" s="8881" t="str">
        <f>S1051&amp;".1"</f>
        <v>64.1.1.1</v>
      </c>
      <c r="J1052" s="1284"/>
      <c r="K1052" s="1284"/>
      <c r="L1052" s="1290"/>
      <c r="M1052" s="1696"/>
      <c r="N1052" s="1696"/>
      <c r="O1052" s="1696"/>
      <c r="P1052" s="8882">
        <v>1</v>
      </c>
      <c r="Q1052" s="1811"/>
      <c r="R1052" s="277"/>
      <c r="S1052" s="1810" t="str">
        <f>$I1052</f>
        <v>64.1.1.1</v>
      </c>
      <c r="T1052" s="200" t="s">
        <v>945</v>
      </c>
      <c r="U1052" s="214"/>
      <c r="V1052" s="8942"/>
      <c r="W1052" s="8943"/>
      <c r="X1052" s="8943"/>
      <c r="Y1052" s="8943"/>
      <c r="Z1052" s="8943"/>
      <c r="AA1052" s="8943"/>
      <c r="AB1052" s="8944"/>
      <c r="AC1052" s="8945"/>
      <c r="AD1052" s="8946"/>
      <c r="AE1052" s="8946"/>
      <c r="AF1052" s="8946"/>
      <c r="AG1052" s="8946"/>
      <c r="AH1052" s="8946"/>
      <c r="AI1052" s="8946"/>
      <c r="AJ1052" s="8947"/>
      <c r="AK1052" s="1182" t="s">
        <v>946</v>
      </c>
      <c r="AL1052" s="1562"/>
      <c r="AM1052" s="1544"/>
      <c r="AN1052" s="1544" t="str">
        <f t="shared" si="16"/>
        <v>Наименование признака дифференциации</v>
      </c>
      <c r="AO1052" s="1544"/>
      <c r="AP1052" s="1544"/>
    </row>
    <row r="1053" spans="1:42" s="1818" customFormat="1" ht="23.25" customHeight="1">
      <c r="A1053" s="1284"/>
      <c r="B1053" s="1284"/>
      <c r="C1053" s="1284"/>
      <c r="D1053" s="1284"/>
      <c r="E1053" s="8884" t="s">
        <v>659</v>
      </c>
      <c r="F1053" s="8884"/>
      <c r="G1053" s="8884"/>
      <c r="H1053" s="8884"/>
      <c r="I1053" s="8904"/>
      <c r="J1053" s="8881" t="str">
        <f>I1052&amp;".1"</f>
        <v>64.1.1.1.1</v>
      </c>
      <c r="K1053" s="1284"/>
      <c r="L1053" s="1290" t="s">
        <v>871</v>
      </c>
      <c r="M1053" s="1696"/>
      <c r="N1053" s="1696"/>
      <c r="O1053" s="1696"/>
      <c r="P1053" s="8882"/>
      <c r="Q1053" s="8882">
        <v>1</v>
      </c>
      <c r="R1053" s="278"/>
      <c r="S1053" s="1810" t="str">
        <f>$J1053</f>
        <v>64.1.1.1.1</v>
      </c>
      <c r="T1053" s="201" t="s">
        <v>872</v>
      </c>
      <c r="U1053" s="214"/>
      <c r="V1053" s="8872"/>
      <c r="W1053" s="8873"/>
      <c r="X1053" s="8873"/>
      <c r="Y1053" s="8873"/>
      <c r="Z1053" s="8873"/>
      <c r="AA1053" s="8873"/>
      <c r="AB1053" s="8874"/>
      <c r="AC1053" s="8872" t="s">
        <v>961</v>
      </c>
      <c r="AD1053" s="8873"/>
      <c r="AE1053" s="8873"/>
      <c r="AF1053" s="8873"/>
      <c r="AG1053" s="8873"/>
      <c r="AH1053" s="8873"/>
      <c r="AI1053" s="8873"/>
      <c r="AJ1053" s="8874"/>
      <c r="AK1053" s="1231" t="s">
        <v>947</v>
      </c>
      <c r="AL1053" s="1562"/>
      <c r="AM1053" s="1544"/>
      <c r="AN1053" s="1544" t="str">
        <f t="shared" si="16"/>
        <v>Группа потребителей</v>
      </c>
      <c r="AO1053" s="1544"/>
      <c r="AP1053" s="1544"/>
    </row>
    <row r="1054" spans="1:42" s="1818" customFormat="1" ht="23.25" customHeight="1">
      <c r="A1054" s="1284"/>
      <c r="B1054" s="1284"/>
      <c r="C1054" s="1284"/>
      <c r="D1054" s="1284"/>
      <c r="E1054" s="8884" t="s">
        <v>659</v>
      </c>
      <c r="F1054" s="8884"/>
      <c r="G1054" s="8884"/>
      <c r="H1054" s="8884"/>
      <c r="I1054" s="8904"/>
      <c r="J1054" s="8904"/>
      <c r="K1054" s="8881" t="str">
        <f>J1053&amp;".1"</f>
        <v>64.1.1.1.1.1</v>
      </c>
      <c r="L1054" s="1290"/>
      <c r="M1054" s="1696"/>
      <c r="N1054" s="1696"/>
      <c r="O1054" s="1696"/>
      <c r="P1054" s="8882"/>
      <c r="Q1054" s="8882"/>
      <c r="R1054" s="278">
        <v>1</v>
      </c>
      <c r="S1054" s="1810" t="str">
        <f>$K1054</f>
        <v>64.1.1.1.1.1</v>
      </c>
      <c r="T1054" s="1357" t="s">
        <v>962</v>
      </c>
      <c r="U1054" s="214"/>
      <c r="V1054" s="666"/>
      <c r="W1054" s="666"/>
      <c r="X1054" s="1181"/>
      <c r="Y1054" s="8886"/>
      <c r="Z1054" s="8734" t="s">
        <v>63</v>
      </c>
      <c r="AA1054" s="8886"/>
      <c r="AB1054" s="8734" t="s">
        <v>63</v>
      </c>
      <c r="AC1054" s="666">
        <v>717.76</v>
      </c>
      <c r="AD1054" s="666"/>
      <c r="AE1054" s="1181"/>
      <c r="AF1054" s="8886">
        <v>45292</v>
      </c>
      <c r="AG1054" s="8734" t="s">
        <v>63</v>
      </c>
      <c r="AH1054" s="8905">
        <v>45657</v>
      </c>
      <c r="AI1054" s="8734" t="s">
        <v>63</v>
      </c>
      <c r="AJ1054" s="1358"/>
      <c r="AK105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54" s="1562" t="e">
        <f ca="1">STRCHECKDATE(V1055:AJ1055)</f>
        <v>#NAME?</v>
      </c>
      <c r="AM1054" s="1544"/>
      <c r="AN1054" s="1544" t="str">
        <f t="shared" si="16"/>
        <v>Тариф для населения, руб. за 1 куб. метр с НДС</v>
      </c>
      <c r="AO1054" s="1544"/>
      <c r="AP1054" s="1544"/>
    </row>
    <row r="1055" spans="1:42" s="1818" customFormat="1" ht="14.25" customHeight="1">
      <c r="A1055" s="1284"/>
      <c r="B1055" s="1284"/>
      <c r="C1055" s="1284"/>
      <c r="D1055" s="1284"/>
      <c r="E1055" s="8884" t="s">
        <v>659</v>
      </c>
      <c r="F1055" s="8884"/>
      <c r="G1055" s="8884"/>
      <c r="H1055" s="8884"/>
      <c r="I1055" s="8904"/>
      <c r="J1055" s="8904"/>
      <c r="K1055" s="8881"/>
      <c r="L1055" s="1290"/>
      <c r="M1055" s="1696"/>
      <c r="N1055" s="1696"/>
      <c r="O1055" s="1696"/>
      <c r="P1055" s="8882"/>
      <c r="Q1055" s="8882"/>
      <c r="R1055" s="278"/>
      <c r="S1055" s="1815"/>
      <c r="T1055" s="214"/>
      <c r="U1055" s="214"/>
      <c r="V1055" s="246"/>
      <c r="W1055" s="246"/>
      <c r="X1055" s="250" t="str">
        <f>Y1054&amp;"-"&amp;AA1054</f>
        <v>-</v>
      </c>
      <c r="Y1055" s="8887"/>
      <c r="Z1055" s="8734"/>
      <c r="AA1055" s="8887"/>
      <c r="AB1055" s="8734"/>
      <c r="AC1055" s="246"/>
      <c r="AD1055" s="246"/>
      <c r="AE1055" s="250" t="str">
        <f>AF1054&amp;"-"&amp;AH1054</f>
        <v>45292-45657</v>
      </c>
      <c r="AF1055" s="8887"/>
      <c r="AG1055" s="8734"/>
      <c r="AH1055" s="8906"/>
      <c r="AI1055" s="8734"/>
      <c r="AJ1055" s="1359"/>
      <c r="AK1055" s="8941"/>
      <c r="AL1055" s="1562"/>
      <c r="AM1055" s="1544"/>
      <c r="AN1055" s="1544" t="str">
        <f t="shared" si="16"/>
        <v/>
      </c>
      <c r="AO1055" s="1544"/>
      <c r="AP1055" s="1544"/>
    </row>
    <row r="1056" spans="1:42" s="1818" customFormat="1" ht="21" customHeight="1">
      <c r="A1056" s="1284"/>
      <c r="B1056" s="1284"/>
      <c r="C1056" s="1284"/>
      <c r="D1056" s="1284"/>
      <c r="E1056" s="8884" t="s">
        <v>659</v>
      </c>
      <c r="F1056" s="8884"/>
      <c r="G1056" s="8884"/>
      <c r="H1056" s="8884"/>
      <c r="I1056" s="8904"/>
      <c r="J1056" s="8881"/>
      <c r="K1056" s="1284"/>
      <c r="L1056" s="1290"/>
      <c r="M1056" s="1696"/>
      <c r="N1056" s="1696"/>
      <c r="O1056" s="1696"/>
      <c r="P1056" s="8882"/>
      <c r="Q1056" s="8882"/>
      <c r="R1056" s="277"/>
      <c r="S1056" s="6461"/>
      <c r="T1056" s="6462" t="s">
        <v>948</v>
      </c>
      <c r="U1056" s="6463"/>
      <c r="V1056" s="6464"/>
      <c r="W1056" s="6465"/>
      <c r="X1056" s="6466"/>
      <c r="Y1056" s="6467"/>
      <c r="Z1056" s="6468"/>
      <c r="AA1056" s="6469"/>
      <c r="AB1056" s="6470"/>
      <c r="AC1056" s="6471"/>
      <c r="AD1056" s="6472"/>
      <c r="AE1056" s="6473"/>
      <c r="AF1056" s="6474"/>
      <c r="AG1056" s="6475"/>
      <c r="AH1056" s="6476"/>
      <c r="AI1056" s="6477"/>
      <c r="AJ1056" s="6478"/>
      <c r="AK1056" s="1182" t="s">
        <v>949</v>
      </c>
      <c r="AL1056" s="1562"/>
      <c r="AM1056" s="1544"/>
      <c r="AN1056" s="1544" t="str">
        <f t="shared" si="16"/>
        <v>Добавить значение признака дифференциации</v>
      </c>
      <c r="AO1056" s="1544"/>
      <c r="AP1056" s="1544"/>
    </row>
    <row r="1057" spans="1:42" s="1818" customFormat="1" ht="23.25" customHeight="1">
      <c r="A1057" s="1284"/>
      <c r="B1057" s="1284"/>
      <c r="C1057" s="1284"/>
      <c r="D1057" s="1284"/>
      <c r="E1057" s="8884"/>
      <c r="F1057" s="8884"/>
      <c r="G1057" s="8884"/>
      <c r="H1057" s="8884"/>
      <c r="I1057" s="8904"/>
      <c r="J1057" s="8881" t="str">
        <f>I1052&amp;".2"</f>
        <v>64.1.1.1.2</v>
      </c>
      <c r="K1057" s="1284"/>
      <c r="L1057" s="1290" t="s">
        <v>871</v>
      </c>
      <c r="M1057" s="1696"/>
      <c r="N1057" s="1696"/>
      <c r="O1057" s="1696"/>
      <c r="P1057" s="8882"/>
      <c r="Q1057" s="8948" t="s">
        <v>100</v>
      </c>
      <c r="R1057" s="278"/>
      <c r="S1057" s="1810" t="str">
        <f>$J1057</f>
        <v>64.1.1.1.2</v>
      </c>
      <c r="T1057" s="201" t="s">
        <v>872</v>
      </c>
      <c r="U1057" s="214"/>
      <c r="V1057" s="8872"/>
      <c r="W1057" s="8873"/>
      <c r="X1057" s="8873"/>
      <c r="Y1057" s="8873"/>
      <c r="Z1057" s="8873"/>
      <c r="AA1057" s="8873"/>
      <c r="AB1057" s="8874"/>
      <c r="AC1057" s="8872" t="s">
        <v>963</v>
      </c>
      <c r="AD1057" s="8873"/>
      <c r="AE1057" s="8873"/>
      <c r="AF1057" s="8873"/>
      <c r="AG1057" s="8873"/>
      <c r="AH1057" s="8873"/>
      <c r="AI1057" s="8873"/>
      <c r="AJ1057" s="8874"/>
      <c r="AK1057" s="1231" t="s">
        <v>947</v>
      </c>
      <c r="AL1057" s="1562"/>
      <c r="AM1057" s="1544"/>
      <c r="AN1057" s="1544" t="str">
        <f t="shared" si="16"/>
        <v>Группа потребителей</v>
      </c>
      <c r="AO1057" s="1544"/>
      <c r="AP1057" s="1544"/>
    </row>
    <row r="1058" spans="1:42" s="1818" customFormat="1" ht="23.25" customHeight="1">
      <c r="A1058" s="1284"/>
      <c r="B1058" s="1284"/>
      <c r="C1058" s="1284"/>
      <c r="D1058" s="1284"/>
      <c r="E1058" s="8884"/>
      <c r="F1058" s="8884"/>
      <c r="G1058" s="8884"/>
      <c r="H1058" s="8884"/>
      <c r="I1058" s="8904"/>
      <c r="J1058" s="8904" t="str">
        <f>I1052&amp;".1"</f>
        <v>64.1.1.1.1</v>
      </c>
      <c r="K1058" s="8881" t="str">
        <f>J1057&amp;".1"</f>
        <v>64.1.1.1.2.1</v>
      </c>
      <c r="L1058" s="1290"/>
      <c r="M1058" s="1696"/>
      <c r="N1058" s="1696"/>
      <c r="O1058" s="1696"/>
      <c r="P1058" s="8882"/>
      <c r="Q1058" s="8882"/>
      <c r="R1058" s="278">
        <v>1</v>
      </c>
      <c r="S1058" s="1810" t="str">
        <f>$K1058</f>
        <v>64.1.1.1.2.1</v>
      </c>
      <c r="T1058" s="1357" t="s">
        <v>964</v>
      </c>
      <c r="U1058" s="214"/>
      <c r="V1058" s="666"/>
      <c r="W1058" s="666"/>
      <c r="X1058" s="1181"/>
      <c r="Y1058" s="8886"/>
      <c r="Z1058" s="8734" t="s">
        <v>63</v>
      </c>
      <c r="AA1058" s="8886"/>
      <c r="AB1058" s="8734" t="s">
        <v>63</v>
      </c>
      <c r="AC1058" s="666">
        <v>598.13</v>
      </c>
      <c r="AD1058" s="666"/>
      <c r="AE1058" s="1181"/>
      <c r="AF1058" s="8886">
        <v>45292</v>
      </c>
      <c r="AG1058" s="8734" t="s">
        <v>63</v>
      </c>
      <c r="AH1058" s="8905">
        <v>45657</v>
      </c>
      <c r="AI1058" s="8734" t="s">
        <v>63</v>
      </c>
      <c r="AJ1058" s="1358"/>
      <c r="AK105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58" s="1562" t="e">
        <f ca="1">STRCHECKDATE(V1059:AJ1059)</f>
        <v>#NAME?</v>
      </c>
      <c r="AM1058" s="1544"/>
      <c r="AN1058" s="1544" t="str">
        <f t="shared" si="16"/>
        <v>Тариф, руб. за 1 куб. метр без НДС</v>
      </c>
      <c r="AO1058" s="1544"/>
      <c r="AP1058" s="1544"/>
    </row>
    <row r="1059" spans="1:42" s="1818" customFormat="1" ht="14.25" customHeight="1">
      <c r="A1059" s="1284"/>
      <c r="B1059" s="1284"/>
      <c r="C1059" s="1284"/>
      <c r="D1059" s="1284"/>
      <c r="E1059" s="8884"/>
      <c r="F1059" s="8884"/>
      <c r="G1059" s="8884"/>
      <c r="H1059" s="8884"/>
      <c r="I1059" s="8904"/>
      <c r="J1059" s="8904" t="str">
        <f>I1052&amp;".1"</f>
        <v>64.1.1.1.1</v>
      </c>
      <c r="K1059" s="8881"/>
      <c r="L1059" s="1290"/>
      <c r="M1059" s="1696"/>
      <c r="N1059" s="1696"/>
      <c r="O1059" s="1696"/>
      <c r="P1059" s="8882"/>
      <c r="Q1059" s="8882"/>
      <c r="R1059" s="278"/>
      <c r="S1059" s="1815"/>
      <c r="T1059" s="214"/>
      <c r="U1059" s="214"/>
      <c r="V1059" s="246"/>
      <c r="W1059" s="246"/>
      <c r="X1059" s="250" t="str">
        <f>Y1058&amp;"-"&amp;AA1058</f>
        <v>-</v>
      </c>
      <c r="Y1059" s="8887"/>
      <c r="Z1059" s="8734"/>
      <c r="AA1059" s="8887"/>
      <c r="AB1059" s="8734"/>
      <c r="AC1059" s="246"/>
      <c r="AD1059" s="246"/>
      <c r="AE1059" s="250" t="str">
        <f>AF1058&amp;"-"&amp;AH1058</f>
        <v>45292-45657</v>
      </c>
      <c r="AF1059" s="8887"/>
      <c r="AG1059" s="8734"/>
      <c r="AH1059" s="8906"/>
      <c r="AI1059" s="8734"/>
      <c r="AJ1059" s="1359"/>
      <c r="AK1059" s="8941"/>
      <c r="AL1059" s="1562"/>
      <c r="AM1059" s="1544"/>
      <c r="AN1059" s="1544" t="str">
        <f t="shared" si="16"/>
        <v/>
      </c>
      <c r="AO1059" s="1544"/>
      <c r="AP1059" s="1544"/>
    </row>
    <row r="1060" spans="1:42" s="1818" customFormat="1" ht="21" customHeight="1">
      <c r="A1060" s="1284"/>
      <c r="B1060" s="1284"/>
      <c r="C1060" s="1284"/>
      <c r="D1060" s="1284"/>
      <c r="E1060" s="8884"/>
      <c r="F1060" s="8884"/>
      <c r="G1060" s="8884"/>
      <c r="H1060" s="8884"/>
      <c r="I1060" s="8904"/>
      <c r="J1060" s="8881" t="str">
        <f>I1052&amp;".1"</f>
        <v>64.1.1.1.1</v>
      </c>
      <c r="K1060" s="1284"/>
      <c r="L1060" s="1290"/>
      <c r="M1060" s="1696"/>
      <c r="N1060" s="1696"/>
      <c r="O1060" s="1696"/>
      <c r="P1060" s="8882"/>
      <c r="Q1060" s="8882"/>
      <c r="R1060" s="277"/>
      <c r="S1060" s="6479"/>
      <c r="T1060" s="6480" t="s">
        <v>948</v>
      </c>
      <c r="U1060" s="6481"/>
      <c r="V1060" s="6482"/>
      <c r="W1060" s="6483"/>
      <c r="X1060" s="6484"/>
      <c r="Y1060" s="6485"/>
      <c r="Z1060" s="6486"/>
      <c r="AA1060" s="6487"/>
      <c r="AB1060" s="6488"/>
      <c r="AC1060" s="6489"/>
      <c r="AD1060" s="6490"/>
      <c r="AE1060" s="6491"/>
      <c r="AF1060" s="6492"/>
      <c r="AG1060" s="6493"/>
      <c r="AH1060" s="6494"/>
      <c r="AI1060" s="6495"/>
      <c r="AJ1060" s="6496"/>
      <c r="AK1060" s="1182" t="s">
        <v>949</v>
      </c>
      <c r="AL1060" s="1562"/>
      <c r="AM1060" s="1544"/>
      <c r="AN1060" s="1544" t="str">
        <f t="shared" si="16"/>
        <v>Добавить значение признака дифференциации</v>
      </c>
      <c r="AO1060" s="1544"/>
      <c r="AP1060" s="1544"/>
    </row>
    <row r="1061" spans="1:42" s="1818" customFormat="1" ht="21" customHeight="1">
      <c r="A1061" s="1284"/>
      <c r="B1061" s="1284"/>
      <c r="C1061" s="1284"/>
      <c r="D1061" s="1284"/>
      <c r="E1061" s="8884" t="s">
        <v>659</v>
      </c>
      <c r="F1061" s="8884"/>
      <c r="G1061" s="8884"/>
      <c r="H1061" s="8884"/>
      <c r="I1061" s="8881"/>
      <c r="J1061" s="1284"/>
      <c r="K1061" s="1284"/>
      <c r="L1061" s="1290"/>
      <c r="M1061" s="1696"/>
      <c r="N1061" s="1696"/>
      <c r="O1061" s="1696"/>
      <c r="P1061" s="8882"/>
      <c r="Q1061" s="1811"/>
      <c r="R1061" s="277"/>
      <c r="S1061" s="6497"/>
      <c r="T1061" s="6498" t="s">
        <v>877</v>
      </c>
      <c r="U1061" s="6499"/>
      <c r="V1061" s="6500"/>
      <c r="W1061" s="6501"/>
      <c r="X1061" s="6502"/>
      <c r="Y1061" s="6503"/>
      <c r="Z1061" s="6504"/>
      <c r="AA1061" s="6505"/>
      <c r="AB1061" s="6506"/>
      <c r="AC1061" s="6507"/>
      <c r="AD1061" s="6508"/>
      <c r="AE1061" s="6509"/>
      <c r="AF1061" s="6510"/>
      <c r="AG1061" s="6511"/>
      <c r="AH1061" s="6512"/>
      <c r="AI1061" s="6513"/>
      <c r="AJ1061" s="6514"/>
      <c r="AK1061" s="6515"/>
      <c r="AL1061" s="1562"/>
      <c r="AM1061" s="1544"/>
      <c r="AN1061" s="1544" t="str">
        <f t="shared" si="16"/>
        <v>Добавить группу потребителей</v>
      </c>
      <c r="AO1061" s="1544"/>
      <c r="AP1061" s="1544"/>
    </row>
    <row r="1062" spans="1:42" s="1818" customFormat="1" ht="21" customHeight="1">
      <c r="A1062" s="1284"/>
      <c r="B1062" s="1284"/>
      <c r="C1062" s="1284"/>
      <c r="D1062" s="1284"/>
      <c r="E1062" s="8884" t="s">
        <v>659</v>
      </c>
      <c r="F1062" s="8884"/>
      <c r="G1062" s="8884"/>
      <c r="H1062" s="8883"/>
      <c r="I1062" s="1284"/>
      <c r="J1062" s="1284"/>
      <c r="K1062" s="1284"/>
      <c r="L1062" s="1290"/>
      <c r="M1062" s="1286"/>
      <c r="N1062" s="1286"/>
      <c r="O1062" s="1287"/>
      <c r="P1062" s="1742"/>
      <c r="Q1062" s="299"/>
      <c r="R1062" s="276"/>
      <c r="S1062" s="6516"/>
      <c r="T1062" s="6517" t="s">
        <v>950</v>
      </c>
      <c r="U1062" s="6518"/>
      <c r="V1062" s="6519"/>
      <c r="W1062" s="6520"/>
      <c r="X1062" s="6521"/>
      <c r="Y1062" s="6522"/>
      <c r="Z1062" s="6523"/>
      <c r="AA1062" s="6524"/>
      <c r="AB1062" s="6525"/>
      <c r="AC1062" s="6526"/>
      <c r="AD1062" s="6527"/>
      <c r="AE1062" s="6528"/>
      <c r="AF1062" s="6529"/>
      <c r="AG1062" s="6530"/>
      <c r="AH1062" s="6531"/>
      <c r="AI1062" s="6532"/>
      <c r="AJ1062" s="6533"/>
      <c r="AK1062" s="6534"/>
      <c r="AL1062" s="1562"/>
      <c r="AM1062" s="1544"/>
      <c r="AN1062" s="1544" t="str">
        <f t="shared" si="16"/>
        <v>Добавить наименование признака дифференциации</v>
      </c>
      <c r="AO1062" s="1544"/>
      <c r="AP1062" s="1544"/>
    </row>
    <row r="1063" spans="1:42" s="541" customFormat="1" ht="14.25" customHeight="1">
      <c r="A1063" s="1265"/>
      <c r="B1063" s="1265"/>
      <c r="C1063" s="1265"/>
      <c r="D1063" s="1265"/>
      <c r="E1063" s="8884" t="s">
        <v>659</v>
      </c>
      <c r="F1063" s="8883"/>
      <c r="G1063" s="1265"/>
      <c r="H1063" s="1265"/>
      <c r="I1063" s="1265"/>
      <c r="J1063" s="1265"/>
      <c r="K1063" s="1265"/>
      <c r="L1063" s="1466"/>
      <c r="M1063" s="1244"/>
      <c r="N1063" s="1244"/>
      <c r="O1063" s="1562"/>
      <c r="P1063" s="1239"/>
      <c r="Q1063" s="1266"/>
      <c r="R1063" s="1239"/>
      <c r="S1063" s="1245"/>
      <c r="T1063" s="1248" t="s">
        <v>314</v>
      </c>
      <c r="U1063" s="1247"/>
      <c r="V1063" s="1247"/>
      <c r="W1063" s="1247"/>
      <c r="X1063" s="1247"/>
      <c r="Y1063" s="1247"/>
      <c r="Z1063" s="1247"/>
      <c r="AA1063" s="1247"/>
      <c r="AB1063" s="1247"/>
      <c r="AC1063" s="1247"/>
      <c r="AD1063" s="1247"/>
      <c r="AE1063" s="1247"/>
      <c r="AF1063" s="1247"/>
      <c r="AG1063" s="1247"/>
      <c r="AH1063" s="1247"/>
      <c r="AI1063" s="1247"/>
      <c r="AJ1063" s="1247"/>
      <c r="AK1063" s="1247"/>
      <c r="AL1063" s="1562"/>
      <c r="AM1063" s="1544"/>
      <c r="AN1063" s="1544" t="str">
        <f t="shared" si="16"/>
        <v>Добавить централизованную систему для дифференциации</v>
      </c>
      <c r="AO1063" s="1544"/>
      <c r="AP1063" s="1544"/>
    </row>
    <row r="1064" spans="1:42" s="541" customFormat="1" ht="14.25" customHeight="1">
      <c r="A1064" s="1265"/>
      <c r="B1064" s="1265"/>
      <c r="C1064" s="1265"/>
      <c r="D1064" s="1265"/>
      <c r="E1064" s="8883" t="s">
        <v>659</v>
      </c>
      <c r="F1064" s="1265"/>
      <c r="G1064" s="1265"/>
      <c r="H1064" s="1265"/>
      <c r="I1064" s="1265"/>
      <c r="J1064" s="1265"/>
      <c r="K1064" s="1265"/>
      <c r="L1064" s="1466"/>
      <c r="M1064" s="1244"/>
      <c r="N1064" s="1244"/>
      <c r="O1064" s="1562"/>
      <c r="P1064" s="1239"/>
      <c r="Q1064" s="1266"/>
      <c r="R1064" s="1239"/>
      <c r="S1064" s="1245"/>
      <c r="T1064" s="1248" t="s">
        <v>315</v>
      </c>
      <c r="U1064" s="1247"/>
      <c r="V1064" s="1247"/>
      <c r="W1064" s="1247"/>
      <c r="X1064" s="1247"/>
      <c r="Y1064" s="1247"/>
      <c r="Z1064" s="1247"/>
      <c r="AA1064" s="1247"/>
      <c r="AB1064" s="1247"/>
      <c r="AC1064" s="1247"/>
      <c r="AD1064" s="1247"/>
      <c r="AE1064" s="1247"/>
      <c r="AF1064" s="1247"/>
      <c r="AG1064" s="1247"/>
      <c r="AH1064" s="1247"/>
      <c r="AI1064" s="1247"/>
      <c r="AJ1064" s="1247"/>
      <c r="AK1064" s="1247"/>
      <c r="AL1064" s="1562"/>
      <c r="AM1064" s="1544"/>
      <c r="AN1064" s="1544" t="str">
        <f t="shared" si="16"/>
        <v>Добавить территорию для дифференциации</v>
      </c>
      <c r="AO1064" s="1544"/>
      <c r="AP1064" s="1544"/>
    </row>
    <row r="1065" spans="1:42" s="1818" customFormat="1" ht="23.25" customHeight="1">
      <c r="A1065" s="1284" t="s">
        <v>672</v>
      </c>
      <c r="B1065" s="1284"/>
      <c r="C1065" s="1284"/>
      <c r="D1065" s="1284"/>
      <c r="E1065" s="8883" t="s">
        <v>670</v>
      </c>
      <c r="F1065" s="1284"/>
      <c r="G1065" s="1284"/>
      <c r="H1065" s="1284"/>
      <c r="I1065" s="1284"/>
      <c r="J1065" s="1284"/>
      <c r="K1065" s="1284"/>
      <c r="L1065" s="1290"/>
      <c r="M1065" s="1286"/>
      <c r="N1065" s="1286"/>
      <c r="O1065" s="1286"/>
      <c r="P1065" s="1812"/>
      <c r="Q1065" s="1742"/>
      <c r="R1065" s="276"/>
      <c r="S1065" s="1810" t="str">
        <f>INDEX(PT_DIFFERENTIATION_NUM_NTAR,MATCH(A1065,PT_DIFFERENTIATION_NTAR_ID,0))</f>
        <v>65</v>
      </c>
      <c r="T1065" s="1440" t="s">
        <v>211</v>
      </c>
      <c r="U1065" s="214"/>
      <c r="V1065" s="8869"/>
      <c r="W1065" s="8870"/>
      <c r="X1065" s="8870"/>
      <c r="Y1065" s="8870"/>
      <c r="Z1065" s="8870"/>
      <c r="AA1065" s="8870"/>
      <c r="AB1065" s="8871"/>
      <c r="AC1065" s="8869" t="str">
        <f>INDEX(PT_DIFFERENTIATION_NTAR,MATCH(A1065,PT_DIFFERENTIATION_NTAR_ID,0))</f>
        <v>Подвоз воды потребителям аула Артезиан-Мангит</v>
      </c>
      <c r="AD1065" s="8870"/>
      <c r="AE1065" s="8870"/>
      <c r="AF1065" s="8870"/>
      <c r="AG1065" s="8870"/>
      <c r="AH1065" s="8870"/>
      <c r="AI1065" s="8870"/>
      <c r="AJ1065" s="8871"/>
      <c r="AK106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065" s="1562"/>
      <c r="AM1065" s="1544"/>
      <c r="AN1065" s="1544" t="str">
        <f t="shared" ref="AN1065:AN1128" si="17">IF(T1065="","",T1065)</f>
        <v>Наименование тарифа</v>
      </c>
      <c r="AO1065" s="1544"/>
      <c r="AP1065" s="1544"/>
    </row>
    <row r="1066" spans="1:42" s="1818" customFormat="1" ht="23.25" customHeight="1">
      <c r="A1066" s="1284"/>
      <c r="B1066" s="1284" t="s">
        <v>673</v>
      </c>
      <c r="C1066" s="1284"/>
      <c r="D1066" s="1284"/>
      <c r="E1066" s="8884" t="s">
        <v>115</v>
      </c>
      <c r="F1066" s="8883">
        <v>1</v>
      </c>
      <c r="G1066" s="1284"/>
      <c r="H1066" s="1284"/>
      <c r="I1066" s="1284"/>
      <c r="J1066" s="1284"/>
      <c r="K1066" s="1284"/>
      <c r="L1066" s="1290"/>
      <c r="M1066" s="1286"/>
      <c r="N1066" s="1286"/>
      <c r="O1066" s="1286"/>
      <c r="P1066" s="1807"/>
      <c r="Q1066" s="273"/>
      <c r="R1066" s="274"/>
      <c r="S1066" s="1810" t="str">
        <f>INDEX(PT_DIFFERENTIATION_NUM_TER,MATCH(B1066,PT_DIFFERENTIATION_TER_ID,0))</f>
        <v>65.1</v>
      </c>
      <c r="T1066" s="1437" t="s">
        <v>862</v>
      </c>
      <c r="U1066" s="214"/>
      <c r="V1066" s="8869"/>
      <c r="W1066" s="8870"/>
      <c r="X1066" s="8870"/>
      <c r="Y1066" s="8870"/>
      <c r="Z1066" s="8870"/>
      <c r="AA1066" s="8870"/>
      <c r="AB1066" s="8871"/>
      <c r="AC1066" s="8869" t="str">
        <f>INDEX(PT_DIFFERENTIATION_TER,MATCH(B1066,PT_DIFFERENTIATION_TER_ID,0))</f>
        <v>Территория 18</v>
      </c>
      <c r="AD1066" s="8870"/>
      <c r="AE1066" s="8870"/>
      <c r="AF1066" s="8870"/>
      <c r="AG1066" s="8870"/>
      <c r="AH1066" s="8870"/>
      <c r="AI1066" s="8870"/>
      <c r="AJ1066" s="8871"/>
      <c r="AK1066" s="1182" t="s">
        <v>863</v>
      </c>
      <c r="AL1066" s="1562"/>
      <c r="AM1066" s="1544"/>
      <c r="AN1066" s="1544" t="str">
        <f t="shared" si="17"/>
        <v>Территория действия тарифа</v>
      </c>
      <c r="AO1066" s="1544"/>
      <c r="AP1066" s="1544"/>
    </row>
    <row r="1067" spans="1:42" s="1818" customFormat="1" ht="23.25" customHeight="1">
      <c r="A1067" s="1284"/>
      <c r="B1067" s="1284"/>
      <c r="C1067" s="1284" t="s">
        <v>674</v>
      </c>
      <c r="D1067" s="1284"/>
      <c r="E1067" s="8884" t="s">
        <v>115</v>
      </c>
      <c r="F1067" s="8884"/>
      <c r="G1067" s="8883">
        <v>1</v>
      </c>
      <c r="H1067" s="1284"/>
      <c r="I1067" s="1284"/>
      <c r="J1067" s="1284"/>
      <c r="K1067" s="1284"/>
      <c r="L1067" s="1290"/>
      <c r="M1067" s="1286"/>
      <c r="N1067" s="1286"/>
      <c r="O1067" s="1286"/>
      <c r="P1067" s="275"/>
      <c r="Q1067" s="273"/>
      <c r="R1067" s="274"/>
      <c r="S1067" s="1810" t="str">
        <f>INDEX(PT_DIFFERENTIATION_NUM_CS,MATCH(C1067,PT_DIFFERENTIATION_CS_ID,0))</f>
        <v>65.1.1</v>
      </c>
      <c r="T1067" s="225" t="s">
        <v>943</v>
      </c>
      <c r="U1067" s="214"/>
      <c r="V1067" s="8869"/>
      <c r="W1067" s="8870"/>
      <c r="X1067" s="8870"/>
      <c r="Y1067" s="8870"/>
      <c r="Z1067" s="8870"/>
      <c r="AA1067" s="8870"/>
      <c r="AB1067" s="8871"/>
      <c r="AC1067" s="8869" t="str">
        <f>INDEX(PT_DIFFERENTIATION_CS,MATCH(C1067,PT_DIFFERENTIATION_CS_ID,0))</f>
        <v>без дифференциации</v>
      </c>
      <c r="AD1067" s="8870"/>
      <c r="AE1067" s="8870"/>
      <c r="AF1067" s="8870"/>
      <c r="AG1067" s="8870"/>
      <c r="AH1067" s="8870"/>
      <c r="AI1067" s="8870"/>
      <c r="AJ1067" s="8871"/>
      <c r="AK1067" s="1182" t="s">
        <v>944</v>
      </c>
      <c r="AL1067" s="1562"/>
      <c r="AM1067" s="1544"/>
      <c r="AN1067" s="1544" t="str">
        <f t="shared" si="17"/>
        <v>Наименование централизованной системы холодного водоснабжения</v>
      </c>
      <c r="AO1067" s="1544"/>
      <c r="AP1067" s="1544"/>
    </row>
    <row r="1068" spans="1:42" s="1818" customFormat="1" ht="23.25" customHeight="1">
      <c r="A1068" s="1284"/>
      <c r="B1068" s="1284"/>
      <c r="C1068" s="1284"/>
      <c r="D1068" s="1284"/>
      <c r="E1068" s="8884" t="s">
        <v>115</v>
      </c>
      <c r="F1068" s="8884"/>
      <c r="G1068" s="8884"/>
      <c r="H1068" s="8884"/>
      <c r="I1068" s="8881" t="str">
        <f>S1067&amp;".1"</f>
        <v>65.1.1.1</v>
      </c>
      <c r="J1068" s="1284"/>
      <c r="K1068" s="1284"/>
      <c r="L1068" s="1290"/>
      <c r="M1068" s="1696"/>
      <c r="N1068" s="1696"/>
      <c r="O1068" s="1696"/>
      <c r="P1068" s="8882">
        <v>1</v>
      </c>
      <c r="Q1068" s="1811"/>
      <c r="R1068" s="277"/>
      <c r="S1068" s="1810" t="str">
        <f>$I1068</f>
        <v>65.1.1.1</v>
      </c>
      <c r="T1068" s="200" t="s">
        <v>945</v>
      </c>
      <c r="U1068" s="214"/>
      <c r="V1068" s="8942"/>
      <c r="W1068" s="8943"/>
      <c r="X1068" s="8943"/>
      <c r="Y1068" s="8943"/>
      <c r="Z1068" s="8943"/>
      <c r="AA1068" s="8943"/>
      <c r="AB1068" s="8944"/>
      <c r="AC1068" s="8945"/>
      <c r="AD1068" s="8946"/>
      <c r="AE1068" s="8946"/>
      <c r="AF1068" s="8946"/>
      <c r="AG1068" s="8946"/>
      <c r="AH1068" s="8946"/>
      <c r="AI1068" s="8946"/>
      <c r="AJ1068" s="8947"/>
      <c r="AK1068" s="1182" t="s">
        <v>946</v>
      </c>
      <c r="AL1068" s="1562"/>
      <c r="AM1068" s="1544"/>
      <c r="AN1068" s="1544" t="str">
        <f t="shared" si="17"/>
        <v>Наименование признака дифференциации</v>
      </c>
      <c r="AO1068" s="1544"/>
      <c r="AP1068" s="1544"/>
    </row>
    <row r="1069" spans="1:42" s="1818" customFormat="1" ht="23.25" customHeight="1">
      <c r="A1069" s="1284"/>
      <c r="B1069" s="1284"/>
      <c r="C1069" s="1284"/>
      <c r="D1069" s="1284"/>
      <c r="E1069" s="8884" t="s">
        <v>115</v>
      </c>
      <c r="F1069" s="8884"/>
      <c r="G1069" s="8884"/>
      <c r="H1069" s="8884"/>
      <c r="I1069" s="8904"/>
      <c r="J1069" s="8881" t="str">
        <f>I1068&amp;".1"</f>
        <v>65.1.1.1.1</v>
      </c>
      <c r="K1069" s="1284"/>
      <c r="L1069" s="1290" t="s">
        <v>871</v>
      </c>
      <c r="M1069" s="1696"/>
      <c r="N1069" s="1696"/>
      <c r="O1069" s="1696"/>
      <c r="P1069" s="8882"/>
      <c r="Q1069" s="8882">
        <v>1</v>
      </c>
      <c r="R1069" s="278"/>
      <c r="S1069" s="1810" t="str">
        <f>$J1069</f>
        <v>65.1.1.1.1</v>
      </c>
      <c r="T1069" s="201" t="s">
        <v>872</v>
      </c>
      <c r="U1069" s="214"/>
      <c r="V1069" s="8872"/>
      <c r="W1069" s="8873"/>
      <c r="X1069" s="8873"/>
      <c r="Y1069" s="8873"/>
      <c r="Z1069" s="8873"/>
      <c r="AA1069" s="8873"/>
      <c r="AB1069" s="8874"/>
      <c r="AC1069" s="8872" t="s">
        <v>961</v>
      </c>
      <c r="AD1069" s="8873"/>
      <c r="AE1069" s="8873"/>
      <c r="AF1069" s="8873"/>
      <c r="AG1069" s="8873"/>
      <c r="AH1069" s="8873"/>
      <c r="AI1069" s="8873"/>
      <c r="AJ1069" s="8874"/>
      <c r="AK1069" s="1231" t="s">
        <v>947</v>
      </c>
      <c r="AL1069" s="1562"/>
      <c r="AM1069" s="1544"/>
      <c r="AN1069" s="1544" t="str">
        <f t="shared" si="17"/>
        <v>Группа потребителей</v>
      </c>
      <c r="AO1069" s="1544"/>
      <c r="AP1069" s="1544"/>
    </row>
    <row r="1070" spans="1:42" s="1818" customFormat="1" ht="23.25" customHeight="1">
      <c r="A1070" s="1284"/>
      <c r="B1070" s="1284"/>
      <c r="C1070" s="1284"/>
      <c r="D1070" s="1284"/>
      <c r="E1070" s="8884" t="s">
        <v>115</v>
      </c>
      <c r="F1070" s="8884"/>
      <c r="G1070" s="8884"/>
      <c r="H1070" s="8884"/>
      <c r="I1070" s="8904"/>
      <c r="J1070" s="8904"/>
      <c r="K1070" s="8881" t="str">
        <f>J1069&amp;".1"</f>
        <v>65.1.1.1.1.1</v>
      </c>
      <c r="L1070" s="1290"/>
      <c r="M1070" s="1696"/>
      <c r="N1070" s="1696"/>
      <c r="O1070" s="1696"/>
      <c r="P1070" s="8882"/>
      <c r="Q1070" s="8882"/>
      <c r="R1070" s="278">
        <v>1</v>
      </c>
      <c r="S1070" s="1810" t="str">
        <f>$K1070</f>
        <v>65.1.1.1.1.1</v>
      </c>
      <c r="T1070" s="1357" t="s">
        <v>962</v>
      </c>
      <c r="U1070" s="214"/>
      <c r="V1070" s="666"/>
      <c r="W1070" s="666"/>
      <c r="X1070" s="1181"/>
      <c r="Y1070" s="8886"/>
      <c r="Z1070" s="8734" t="s">
        <v>63</v>
      </c>
      <c r="AA1070" s="8886"/>
      <c r="AB1070" s="8734" t="s">
        <v>63</v>
      </c>
      <c r="AC1070" s="666">
        <v>499.84</v>
      </c>
      <c r="AD1070" s="666"/>
      <c r="AE1070" s="1181"/>
      <c r="AF1070" s="8886">
        <v>45292</v>
      </c>
      <c r="AG1070" s="8734" t="s">
        <v>63</v>
      </c>
      <c r="AH1070" s="8905">
        <v>45657</v>
      </c>
      <c r="AI1070" s="8734" t="s">
        <v>63</v>
      </c>
      <c r="AJ1070" s="1358"/>
      <c r="AK107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70" s="1562" t="e">
        <f ca="1">STRCHECKDATE(V1071:AJ1071)</f>
        <v>#NAME?</v>
      </c>
      <c r="AM1070" s="1544"/>
      <c r="AN1070" s="1544" t="str">
        <f t="shared" si="17"/>
        <v>Тариф для населения, руб. за 1 куб. метр с НДС</v>
      </c>
      <c r="AO1070" s="1544"/>
      <c r="AP1070" s="1544"/>
    </row>
    <row r="1071" spans="1:42" s="1818" customFormat="1" ht="14.25" customHeight="1">
      <c r="A1071" s="1284"/>
      <c r="B1071" s="1284"/>
      <c r="C1071" s="1284"/>
      <c r="D1071" s="1284"/>
      <c r="E1071" s="8884" t="s">
        <v>115</v>
      </c>
      <c r="F1071" s="8884"/>
      <c r="G1071" s="8884"/>
      <c r="H1071" s="8884"/>
      <c r="I1071" s="8904"/>
      <c r="J1071" s="8904"/>
      <c r="K1071" s="8881"/>
      <c r="L1071" s="1290"/>
      <c r="M1071" s="1696"/>
      <c r="N1071" s="1696"/>
      <c r="O1071" s="1696"/>
      <c r="P1071" s="8882"/>
      <c r="Q1071" s="8882"/>
      <c r="R1071" s="278"/>
      <c r="S1071" s="1815"/>
      <c r="T1071" s="214"/>
      <c r="U1071" s="214"/>
      <c r="V1071" s="246"/>
      <c r="W1071" s="246"/>
      <c r="X1071" s="250" t="str">
        <f>Y1070&amp;"-"&amp;AA1070</f>
        <v>-</v>
      </c>
      <c r="Y1071" s="8887"/>
      <c r="Z1071" s="8734"/>
      <c r="AA1071" s="8887"/>
      <c r="AB1071" s="8734"/>
      <c r="AC1071" s="246"/>
      <c r="AD1071" s="246"/>
      <c r="AE1071" s="250" t="str">
        <f>AF1070&amp;"-"&amp;AH1070</f>
        <v>45292-45657</v>
      </c>
      <c r="AF1071" s="8887"/>
      <c r="AG1071" s="8734"/>
      <c r="AH1071" s="8906"/>
      <c r="AI1071" s="8734"/>
      <c r="AJ1071" s="1359"/>
      <c r="AK1071" s="8941"/>
      <c r="AL1071" s="1562"/>
      <c r="AM1071" s="1544"/>
      <c r="AN1071" s="1544" t="str">
        <f t="shared" si="17"/>
        <v/>
      </c>
      <c r="AO1071" s="1544"/>
      <c r="AP1071" s="1544"/>
    </row>
    <row r="1072" spans="1:42" s="1818" customFormat="1" ht="21" customHeight="1">
      <c r="A1072" s="1284"/>
      <c r="B1072" s="1284"/>
      <c r="C1072" s="1284"/>
      <c r="D1072" s="1284"/>
      <c r="E1072" s="8884" t="s">
        <v>115</v>
      </c>
      <c r="F1072" s="8884"/>
      <c r="G1072" s="8884"/>
      <c r="H1072" s="8884"/>
      <c r="I1072" s="8904"/>
      <c r="J1072" s="8881"/>
      <c r="K1072" s="1284"/>
      <c r="L1072" s="1290"/>
      <c r="M1072" s="1696"/>
      <c r="N1072" s="1696"/>
      <c r="O1072" s="1696"/>
      <c r="P1072" s="8882"/>
      <c r="Q1072" s="8882"/>
      <c r="R1072" s="277"/>
      <c r="S1072" s="6535"/>
      <c r="T1072" s="6536" t="s">
        <v>948</v>
      </c>
      <c r="U1072" s="6537"/>
      <c r="V1072" s="6538"/>
      <c r="W1072" s="6539"/>
      <c r="X1072" s="6540"/>
      <c r="Y1072" s="6541"/>
      <c r="Z1072" s="6542"/>
      <c r="AA1072" s="6543"/>
      <c r="AB1072" s="6544"/>
      <c r="AC1072" s="6545"/>
      <c r="AD1072" s="6546"/>
      <c r="AE1072" s="6547"/>
      <c r="AF1072" s="6548"/>
      <c r="AG1072" s="6549"/>
      <c r="AH1072" s="6550"/>
      <c r="AI1072" s="6551"/>
      <c r="AJ1072" s="6552"/>
      <c r="AK1072" s="1182" t="s">
        <v>949</v>
      </c>
      <c r="AL1072" s="1562"/>
      <c r="AM1072" s="1544"/>
      <c r="AN1072" s="1544" t="str">
        <f t="shared" si="17"/>
        <v>Добавить значение признака дифференциации</v>
      </c>
      <c r="AO1072" s="1544"/>
      <c r="AP1072" s="1544"/>
    </row>
    <row r="1073" spans="1:42" s="1818" customFormat="1" ht="23.25" customHeight="1">
      <c r="A1073" s="1284"/>
      <c r="B1073" s="1284"/>
      <c r="C1073" s="1284"/>
      <c r="D1073" s="1284"/>
      <c r="E1073" s="8884"/>
      <c r="F1073" s="8884"/>
      <c r="G1073" s="8884"/>
      <c r="H1073" s="8884"/>
      <c r="I1073" s="8904"/>
      <c r="J1073" s="8881" t="str">
        <f>I1068&amp;".2"</f>
        <v>65.1.1.1.2</v>
      </c>
      <c r="K1073" s="1284"/>
      <c r="L1073" s="1290" t="s">
        <v>871</v>
      </c>
      <c r="M1073" s="1696"/>
      <c r="N1073" s="1696"/>
      <c r="O1073" s="1696"/>
      <c r="P1073" s="8882"/>
      <c r="Q1073" s="8948" t="s">
        <v>100</v>
      </c>
      <c r="R1073" s="278"/>
      <c r="S1073" s="1810" t="str">
        <f>$J1073</f>
        <v>65.1.1.1.2</v>
      </c>
      <c r="T1073" s="201" t="s">
        <v>872</v>
      </c>
      <c r="U1073" s="214"/>
      <c r="V1073" s="8872"/>
      <c r="W1073" s="8873"/>
      <c r="X1073" s="8873"/>
      <c r="Y1073" s="8873"/>
      <c r="Z1073" s="8873"/>
      <c r="AA1073" s="8873"/>
      <c r="AB1073" s="8874"/>
      <c r="AC1073" s="8872" t="s">
        <v>963</v>
      </c>
      <c r="AD1073" s="8873"/>
      <c r="AE1073" s="8873"/>
      <c r="AF1073" s="8873"/>
      <c r="AG1073" s="8873"/>
      <c r="AH1073" s="8873"/>
      <c r="AI1073" s="8873"/>
      <c r="AJ1073" s="8874"/>
      <c r="AK1073" s="1231" t="s">
        <v>947</v>
      </c>
      <c r="AL1073" s="1562"/>
      <c r="AM1073" s="1544"/>
      <c r="AN1073" s="1544" t="str">
        <f t="shared" si="17"/>
        <v>Группа потребителей</v>
      </c>
      <c r="AO1073" s="1544"/>
      <c r="AP1073" s="1544"/>
    </row>
    <row r="1074" spans="1:42" s="1818" customFormat="1" ht="23.25" customHeight="1">
      <c r="A1074" s="1284"/>
      <c r="B1074" s="1284"/>
      <c r="C1074" s="1284"/>
      <c r="D1074" s="1284"/>
      <c r="E1074" s="8884"/>
      <c r="F1074" s="8884"/>
      <c r="G1074" s="8884"/>
      <c r="H1074" s="8884"/>
      <c r="I1074" s="8904"/>
      <c r="J1074" s="8904" t="str">
        <f>I1068&amp;".1"</f>
        <v>65.1.1.1.1</v>
      </c>
      <c r="K1074" s="8881" t="str">
        <f>J1073&amp;".1"</f>
        <v>65.1.1.1.2.1</v>
      </c>
      <c r="L1074" s="1290"/>
      <c r="M1074" s="1696"/>
      <c r="N1074" s="1696"/>
      <c r="O1074" s="1696"/>
      <c r="P1074" s="8882"/>
      <c r="Q1074" s="8882"/>
      <c r="R1074" s="278">
        <v>1</v>
      </c>
      <c r="S1074" s="1810" t="str">
        <f>$K1074</f>
        <v>65.1.1.1.2.1</v>
      </c>
      <c r="T1074" s="1357" t="s">
        <v>964</v>
      </c>
      <c r="U1074" s="214"/>
      <c r="V1074" s="666"/>
      <c r="W1074" s="666"/>
      <c r="X1074" s="1181"/>
      <c r="Y1074" s="8886"/>
      <c r="Z1074" s="8734" t="s">
        <v>63</v>
      </c>
      <c r="AA1074" s="8886"/>
      <c r="AB1074" s="8734" t="s">
        <v>63</v>
      </c>
      <c r="AC1074" s="666">
        <v>416.53</v>
      </c>
      <c r="AD1074" s="666"/>
      <c r="AE1074" s="1181"/>
      <c r="AF1074" s="8886">
        <v>45292</v>
      </c>
      <c r="AG1074" s="8734" t="s">
        <v>63</v>
      </c>
      <c r="AH1074" s="8905">
        <v>45657</v>
      </c>
      <c r="AI1074" s="8734" t="s">
        <v>63</v>
      </c>
      <c r="AJ1074" s="1358"/>
      <c r="AK107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74" s="1562" t="e">
        <f ca="1">STRCHECKDATE(V1075:AJ1075)</f>
        <v>#NAME?</v>
      </c>
      <c r="AM1074" s="1544"/>
      <c r="AN1074" s="1544" t="str">
        <f t="shared" si="17"/>
        <v>Тариф, руб. за 1 куб. метр без НДС</v>
      </c>
      <c r="AO1074" s="1544"/>
      <c r="AP1074" s="1544"/>
    </row>
    <row r="1075" spans="1:42" s="1818" customFormat="1" ht="14.25" customHeight="1">
      <c r="A1075" s="1284"/>
      <c r="B1075" s="1284"/>
      <c r="C1075" s="1284"/>
      <c r="D1075" s="1284"/>
      <c r="E1075" s="8884"/>
      <c r="F1075" s="8884"/>
      <c r="G1075" s="8884"/>
      <c r="H1075" s="8884"/>
      <c r="I1075" s="8904"/>
      <c r="J1075" s="8904" t="str">
        <f>I1068&amp;".1"</f>
        <v>65.1.1.1.1</v>
      </c>
      <c r="K1075" s="8881"/>
      <c r="L1075" s="1290"/>
      <c r="M1075" s="1696"/>
      <c r="N1075" s="1696"/>
      <c r="O1075" s="1696"/>
      <c r="P1075" s="8882"/>
      <c r="Q1075" s="8882"/>
      <c r="R1075" s="278"/>
      <c r="S1075" s="1815"/>
      <c r="T1075" s="214"/>
      <c r="U1075" s="214"/>
      <c r="V1075" s="246"/>
      <c r="W1075" s="246"/>
      <c r="X1075" s="250" t="str">
        <f>Y1074&amp;"-"&amp;AA1074</f>
        <v>-</v>
      </c>
      <c r="Y1075" s="8887"/>
      <c r="Z1075" s="8734"/>
      <c r="AA1075" s="8887"/>
      <c r="AB1075" s="8734"/>
      <c r="AC1075" s="246"/>
      <c r="AD1075" s="246"/>
      <c r="AE1075" s="250" t="str">
        <f>AF1074&amp;"-"&amp;AH1074</f>
        <v>45292-45657</v>
      </c>
      <c r="AF1075" s="8887"/>
      <c r="AG1075" s="8734"/>
      <c r="AH1075" s="8906"/>
      <c r="AI1075" s="8734"/>
      <c r="AJ1075" s="1359"/>
      <c r="AK1075" s="8941"/>
      <c r="AL1075" s="1562"/>
      <c r="AM1075" s="1544"/>
      <c r="AN1075" s="1544" t="str">
        <f t="shared" si="17"/>
        <v/>
      </c>
      <c r="AO1075" s="1544"/>
      <c r="AP1075" s="1544"/>
    </row>
    <row r="1076" spans="1:42" s="1818" customFormat="1" ht="21" customHeight="1">
      <c r="A1076" s="1284"/>
      <c r="B1076" s="1284"/>
      <c r="C1076" s="1284"/>
      <c r="D1076" s="1284"/>
      <c r="E1076" s="8884"/>
      <c r="F1076" s="8884"/>
      <c r="G1076" s="8884"/>
      <c r="H1076" s="8884"/>
      <c r="I1076" s="8904"/>
      <c r="J1076" s="8881" t="str">
        <f>I1068&amp;".1"</f>
        <v>65.1.1.1.1</v>
      </c>
      <c r="K1076" s="1284"/>
      <c r="L1076" s="1290"/>
      <c r="M1076" s="1696"/>
      <c r="N1076" s="1696"/>
      <c r="O1076" s="1696"/>
      <c r="P1076" s="8882"/>
      <c r="Q1076" s="8882"/>
      <c r="R1076" s="277"/>
      <c r="S1076" s="6553"/>
      <c r="T1076" s="6554" t="s">
        <v>948</v>
      </c>
      <c r="U1076" s="6555"/>
      <c r="V1076" s="6556"/>
      <c r="W1076" s="6557"/>
      <c r="X1076" s="6558"/>
      <c r="Y1076" s="6559"/>
      <c r="Z1076" s="6560"/>
      <c r="AA1076" s="6561"/>
      <c r="AB1076" s="6562"/>
      <c r="AC1076" s="6563"/>
      <c r="AD1076" s="6564"/>
      <c r="AE1076" s="6565"/>
      <c r="AF1076" s="6566"/>
      <c r="AG1076" s="6567"/>
      <c r="AH1076" s="6568"/>
      <c r="AI1076" s="6569"/>
      <c r="AJ1076" s="6570"/>
      <c r="AK1076" s="1182" t="s">
        <v>949</v>
      </c>
      <c r="AL1076" s="1562"/>
      <c r="AM1076" s="1544"/>
      <c r="AN1076" s="1544" t="str">
        <f t="shared" si="17"/>
        <v>Добавить значение признака дифференциации</v>
      </c>
      <c r="AO1076" s="1544"/>
      <c r="AP1076" s="1544"/>
    </row>
    <row r="1077" spans="1:42" s="1818" customFormat="1" ht="21" customHeight="1">
      <c r="A1077" s="1284"/>
      <c r="B1077" s="1284"/>
      <c r="C1077" s="1284"/>
      <c r="D1077" s="1284"/>
      <c r="E1077" s="8884" t="s">
        <v>115</v>
      </c>
      <c r="F1077" s="8884"/>
      <c r="G1077" s="8884"/>
      <c r="H1077" s="8884"/>
      <c r="I1077" s="8881"/>
      <c r="J1077" s="1284"/>
      <c r="K1077" s="1284"/>
      <c r="L1077" s="1290"/>
      <c r="M1077" s="1696"/>
      <c r="N1077" s="1696"/>
      <c r="O1077" s="1696"/>
      <c r="P1077" s="8882"/>
      <c r="Q1077" s="1811"/>
      <c r="R1077" s="277"/>
      <c r="S1077" s="6571"/>
      <c r="T1077" s="6572" t="s">
        <v>877</v>
      </c>
      <c r="U1077" s="6573"/>
      <c r="V1077" s="6574"/>
      <c r="W1077" s="6575"/>
      <c r="X1077" s="6576"/>
      <c r="Y1077" s="6577"/>
      <c r="Z1077" s="6578"/>
      <c r="AA1077" s="6579"/>
      <c r="AB1077" s="6580"/>
      <c r="AC1077" s="6581"/>
      <c r="AD1077" s="6582"/>
      <c r="AE1077" s="6583"/>
      <c r="AF1077" s="6584"/>
      <c r="AG1077" s="6585"/>
      <c r="AH1077" s="6586"/>
      <c r="AI1077" s="6587"/>
      <c r="AJ1077" s="6588"/>
      <c r="AK1077" s="6589"/>
      <c r="AL1077" s="1562"/>
      <c r="AM1077" s="1544"/>
      <c r="AN1077" s="1544" t="str">
        <f t="shared" si="17"/>
        <v>Добавить группу потребителей</v>
      </c>
      <c r="AO1077" s="1544"/>
      <c r="AP1077" s="1544"/>
    </row>
    <row r="1078" spans="1:42" s="1818" customFormat="1" ht="21" customHeight="1">
      <c r="A1078" s="1284"/>
      <c r="B1078" s="1284"/>
      <c r="C1078" s="1284"/>
      <c r="D1078" s="1284"/>
      <c r="E1078" s="8884" t="s">
        <v>115</v>
      </c>
      <c r="F1078" s="8884"/>
      <c r="G1078" s="8884"/>
      <c r="H1078" s="8883"/>
      <c r="I1078" s="1284"/>
      <c r="J1078" s="1284"/>
      <c r="K1078" s="1284"/>
      <c r="L1078" s="1290"/>
      <c r="M1078" s="1286"/>
      <c r="N1078" s="1286"/>
      <c r="O1078" s="1287"/>
      <c r="P1078" s="1742"/>
      <c r="Q1078" s="299"/>
      <c r="R1078" s="276"/>
      <c r="S1078" s="6590"/>
      <c r="T1078" s="6591" t="s">
        <v>950</v>
      </c>
      <c r="U1078" s="6592"/>
      <c r="V1078" s="6593"/>
      <c r="W1078" s="6594"/>
      <c r="X1078" s="6595"/>
      <c r="Y1078" s="6596"/>
      <c r="Z1078" s="6597"/>
      <c r="AA1078" s="6598"/>
      <c r="AB1078" s="6599"/>
      <c r="AC1078" s="6600"/>
      <c r="AD1078" s="6601"/>
      <c r="AE1078" s="6602"/>
      <c r="AF1078" s="6603"/>
      <c r="AG1078" s="6604"/>
      <c r="AH1078" s="6605"/>
      <c r="AI1078" s="6606"/>
      <c r="AJ1078" s="6607"/>
      <c r="AK1078" s="6608"/>
      <c r="AL1078" s="1562"/>
      <c r="AM1078" s="1544"/>
      <c r="AN1078" s="1544" t="str">
        <f t="shared" si="17"/>
        <v>Добавить наименование признака дифференциации</v>
      </c>
      <c r="AO1078" s="1544"/>
      <c r="AP1078" s="1544"/>
    </row>
    <row r="1079" spans="1:42" s="541" customFormat="1" ht="14.25" customHeight="1">
      <c r="A1079" s="1265"/>
      <c r="B1079" s="1265"/>
      <c r="C1079" s="1265"/>
      <c r="D1079" s="1265"/>
      <c r="E1079" s="8884" t="s">
        <v>115</v>
      </c>
      <c r="F1079" s="8883"/>
      <c r="G1079" s="1265"/>
      <c r="H1079" s="1265"/>
      <c r="I1079" s="1265"/>
      <c r="J1079" s="1265"/>
      <c r="K1079" s="1265"/>
      <c r="L1079" s="1466"/>
      <c r="M1079" s="1244"/>
      <c r="N1079" s="1244"/>
      <c r="O1079" s="1562"/>
      <c r="P1079" s="1239"/>
      <c r="Q1079" s="1266"/>
      <c r="R1079" s="1239"/>
      <c r="S1079" s="1245"/>
      <c r="T1079" s="1248" t="s">
        <v>314</v>
      </c>
      <c r="U1079" s="1247"/>
      <c r="V1079" s="1247"/>
      <c r="W1079" s="1247"/>
      <c r="X1079" s="1247"/>
      <c r="Y1079" s="1247"/>
      <c r="Z1079" s="1247"/>
      <c r="AA1079" s="1247"/>
      <c r="AB1079" s="1247"/>
      <c r="AC1079" s="1247"/>
      <c r="AD1079" s="1247"/>
      <c r="AE1079" s="1247"/>
      <c r="AF1079" s="1247"/>
      <c r="AG1079" s="1247"/>
      <c r="AH1079" s="1247"/>
      <c r="AI1079" s="1247"/>
      <c r="AJ1079" s="1247"/>
      <c r="AK1079" s="1247"/>
      <c r="AL1079" s="1562"/>
      <c r="AM1079" s="1544"/>
      <c r="AN1079" s="1544" t="str">
        <f t="shared" si="17"/>
        <v>Добавить централизованную систему для дифференциации</v>
      </c>
      <c r="AO1079" s="1544"/>
      <c r="AP1079" s="1544"/>
    </row>
    <row r="1080" spans="1:42" s="541" customFormat="1" ht="14.25" customHeight="1">
      <c r="A1080" s="1265"/>
      <c r="B1080" s="1265"/>
      <c r="C1080" s="1265"/>
      <c r="D1080" s="1265"/>
      <c r="E1080" s="8883" t="s">
        <v>115</v>
      </c>
      <c r="F1080" s="1265"/>
      <c r="G1080" s="1265"/>
      <c r="H1080" s="1265"/>
      <c r="I1080" s="1265"/>
      <c r="J1080" s="1265"/>
      <c r="K1080" s="1265"/>
      <c r="L1080" s="1466"/>
      <c r="M1080" s="1244"/>
      <c r="N1080" s="1244"/>
      <c r="O1080" s="1562"/>
      <c r="P1080" s="1239"/>
      <c r="Q1080" s="1266"/>
      <c r="R1080" s="1239"/>
      <c r="S1080" s="1245"/>
      <c r="T1080" s="1248" t="s">
        <v>315</v>
      </c>
      <c r="U1080" s="1247"/>
      <c r="V1080" s="1247"/>
      <c r="W1080" s="1247"/>
      <c r="X1080" s="1247"/>
      <c r="Y1080" s="1247"/>
      <c r="Z1080" s="1247"/>
      <c r="AA1080" s="1247"/>
      <c r="AB1080" s="1247"/>
      <c r="AC1080" s="1247"/>
      <c r="AD1080" s="1247"/>
      <c r="AE1080" s="1247"/>
      <c r="AF1080" s="1247"/>
      <c r="AG1080" s="1247"/>
      <c r="AH1080" s="1247"/>
      <c r="AI1080" s="1247"/>
      <c r="AJ1080" s="1247"/>
      <c r="AK1080" s="1247"/>
      <c r="AL1080" s="1562"/>
      <c r="AM1080" s="1544"/>
      <c r="AN1080" s="1544" t="str">
        <f t="shared" si="17"/>
        <v>Добавить территорию для дифференциации</v>
      </c>
      <c r="AO1080" s="1544"/>
      <c r="AP1080" s="1544"/>
    </row>
    <row r="1081" spans="1:42" s="1818" customFormat="1" ht="23.25" customHeight="1">
      <c r="A1081" s="1284" t="s">
        <v>678</v>
      </c>
      <c r="B1081" s="1284"/>
      <c r="C1081" s="1284"/>
      <c r="D1081" s="1284"/>
      <c r="E1081" s="8883" t="s">
        <v>676</v>
      </c>
      <c r="F1081" s="1284"/>
      <c r="G1081" s="1284"/>
      <c r="H1081" s="1284"/>
      <c r="I1081" s="1284"/>
      <c r="J1081" s="1284"/>
      <c r="K1081" s="1284"/>
      <c r="L1081" s="1290"/>
      <c r="M1081" s="1286"/>
      <c r="N1081" s="1286"/>
      <c r="O1081" s="1286"/>
      <c r="P1081" s="1812"/>
      <c r="Q1081" s="1742"/>
      <c r="R1081" s="276"/>
      <c r="S1081" s="1810" t="str">
        <f>INDEX(PT_DIFFERENTIATION_NUM_NTAR,MATCH(A1081,PT_DIFFERENTIATION_NTAR_ID,0))</f>
        <v>66</v>
      </c>
      <c r="T1081" s="1440" t="s">
        <v>211</v>
      </c>
      <c r="U1081" s="214"/>
      <c r="V1081" s="8869"/>
      <c r="W1081" s="8870"/>
      <c r="X1081" s="8870"/>
      <c r="Y1081" s="8870"/>
      <c r="Z1081" s="8870"/>
      <c r="AA1081" s="8870"/>
      <c r="AB1081" s="8871"/>
      <c r="AC1081" s="8869" t="str">
        <f>INDEX(PT_DIFFERENTIATION_NTAR,MATCH(A1081,PT_DIFFERENTIATION_NTAR_ID,0))</f>
        <v>Подвоз воды потребителям аула Кок-Бас</v>
      </c>
      <c r="AD1081" s="8870"/>
      <c r="AE1081" s="8870"/>
      <c r="AF1081" s="8870"/>
      <c r="AG1081" s="8870"/>
      <c r="AH1081" s="8870"/>
      <c r="AI1081" s="8870"/>
      <c r="AJ1081" s="8871"/>
      <c r="AK108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081" s="1562"/>
      <c r="AM1081" s="1544"/>
      <c r="AN1081" s="1544" t="str">
        <f t="shared" si="17"/>
        <v>Наименование тарифа</v>
      </c>
      <c r="AO1081" s="1544"/>
      <c r="AP1081" s="1544"/>
    </row>
    <row r="1082" spans="1:42" s="1818" customFormat="1" ht="23.25" customHeight="1">
      <c r="A1082" s="1284"/>
      <c r="B1082" s="1284" t="s">
        <v>679</v>
      </c>
      <c r="C1082" s="1284"/>
      <c r="D1082" s="1284"/>
      <c r="E1082" s="8884" t="s">
        <v>670</v>
      </c>
      <c r="F1082" s="8883">
        <v>1</v>
      </c>
      <c r="G1082" s="1284"/>
      <c r="H1082" s="1284"/>
      <c r="I1082" s="1284"/>
      <c r="J1082" s="1284"/>
      <c r="K1082" s="1284"/>
      <c r="L1082" s="1290"/>
      <c r="M1082" s="1286"/>
      <c r="N1082" s="1286"/>
      <c r="O1082" s="1286"/>
      <c r="P1082" s="1807"/>
      <c r="Q1082" s="273"/>
      <c r="R1082" s="274"/>
      <c r="S1082" s="1810" t="str">
        <f>INDEX(PT_DIFFERENTIATION_NUM_TER,MATCH(B1082,PT_DIFFERENTIATION_TER_ID,0))</f>
        <v>66.1</v>
      </c>
      <c r="T1082" s="1437" t="s">
        <v>862</v>
      </c>
      <c r="U1082" s="214"/>
      <c r="V1082" s="8869"/>
      <c r="W1082" s="8870"/>
      <c r="X1082" s="8870"/>
      <c r="Y1082" s="8870"/>
      <c r="Z1082" s="8870"/>
      <c r="AA1082" s="8870"/>
      <c r="AB1082" s="8871"/>
      <c r="AC1082" s="8869" t="str">
        <f>INDEX(PT_DIFFERENTIATION_TER,MATCH(B1082,PT_DIFFERENTIATION_TER_ID,0))</f>
        <v>Территория 18</v>
      </c>
      <c r="AD1082" s="8870"/>
      <c r="AE1082" s="8870"/>
      <c r="AF1082" s="8870"/>
      <c r="AG1082" s="8870"/>
      <c r="AH1082" s="8870"/>
      <c r="AI1082" s="8870"/>
      <c r="AJ1082" s="8871"/>
      <c r="AK1082" s="1182" t="s">
        <v>863</v>
      </c>
      <c r="AL1082" s="1562"/>
      <c r="AM1082" s="1544"/>
      <c r="AN1082" s="1544" t="str">
        <f t="shared" si="17"/>
        <v>Территория действия тарифа</v>
      </c>
      <c r="AO1082" s="1544"/>
      <c r="AP1082" s="1544"/>
    </row>
    <row r="1083" spans="1:42" s="1818" customFormat="1" ht="23.25" customHeight="1">
      <c r="A1083" s="1284"/>
      <c r="B1083" s="1284"/>
      <c r="C1083" s="1284" t="s">
        <v>680</v>
      </c>
      <c r="D1083" s="1284"/>
      <c r="E1083" s="8884" t="s">
        <v>670</v>
      </c>
      <c r="F1083" s="8884"/>
      <c r="G1083" s="8883">
        <v>1</v>
      </c>
      <c r="H1083" s="1284"/>
      <c r="I1083" s="1284"/>
      <c r="J1083" s="1284"/>
      <c r="K1083" s="1284"/>
      <c r="L1083" s="1290"/>
      <c r="M1083" s="1286"/>
      <c r="N1083" s="1286"/>
      <c r="O1083" s="1286"/>
      <c r="P1083" s="275"/>
      <c r="Q1083" s="273"/>
      <c r="R1083" s="274"/>
      <c r="S1083" s="1810" t="str">
        <f>INDEX(PT_DIFFERENTIATION_NUM_CS,MATCH(C1083,PT_DIFFERENTIATION_CS_ID,0))</f>
        <v>66.1.1</v>
      </c>
      <c r="T1083" s="225" t="s">
        <v>943</v>
      </c>
      <c r="U1083" s="214"/>
      <c r="V1083" s="8869"/>
      <c r="W1083" s="8870"/>
      <c r="X1083" s="8870"/>
      <c r="Y1083" s="8870"/>
      <c r="Z1083" s="8870"/>
      <c r="AA1083" s="8870"/>
      <c r="AB1083" s="8871"/>
      <c r="AC1083" s="8869" t="str">
        <f>INDEX(PT_DIFFERENTIATION_CS,MATCH(C1083,PT_DIFFERENTIATION_CS_ID,0))</f>
        <v>без дифференциации</v>
      </c>
      <c r="AD1083" s="8870"/>
      <c r="AE1083" s="8870"/>
      <c r="AF1083" s="8870"/>
      <c r="AG1083" s="8870"/>
      <c r="AH1083" s="8870"/>
      <c r="AI1083" s="8870"/>
      <c r="AJ1083" s="8871"/>
      <c r="AK1083" s="1182" t="s">
        <v>944</v>
      </c>
      <c r="AL1083" s="1562"/>
      <c r="AM1083" s="1544"/>
      <c r="AN1083" s="1544" t="str">
        <f t="shared" si="17"/>
        <v>Наименование централизованной системы холодного водоснабжения</v>
      </c>
      <c r="AO1083" s="1544"/>
      <c r="AP1083" s="1544"/>
    </row>
    <row r="1084" spans="1:42" s="1818" customFormat="1" ht="23.25" customHeight="1">
      <c r="A1084" s="1284"/>
      <c r="B1084" s="1284"/>
      <c r="C1084" s="1284"/>
      <c r="D1084" s="1284"/>
      <c r="E1084" s="8884" t="s">
        <v>670</v>
      </c>
      <c r="F1084" s="8884"/>
      <c r="G1084" s="8884"/>
      <c r="H1084" s="8884"/>
      <c r="I1084" s="8881" t="str">
        <f>S1083&amp;".1"</f>
        <v>66.1.1.1</v>
      </c>
      <c r="J1084" s="1284"/>
      <c r="K1084" s="1284"/>
      <c r="L1084" s="1290"/>
      <c r="M1084" s="1696"/>
      <c r="N1084" s="1696"/>
      <c r="O1084" s="1696"/>
      <c r="P1084" s="8882">
        <v>1</v>
      </c>
      <c r="Q1084" s="1811"/>
      <c r="R1084" s="277"/>
      <c r="S1084" s="1810" t="str">
        <f>$I1084</f>
        <v>66.1.1.1</v>
      </c>
      <c r="T1084" s="200" t="s">
        <v>945</v>
      </c>
      <c r="U1084" s="214"/>
      <c r="V1084" s="8942"/>
      <c r="W1084" s="8943"/>
      <c r="X1084" s="8943"/>
      <c r="Y1084" s="8943"/>
      <c r="Z1084" s="8943"/>
      <c r="AA1084" s="8943"/>
      <c r="AB1084" s="8944"/>
      <c r="AC1084" s="8945"/>
      <c r="AD1084" s="8946"/>
      <c r="AE1084" s="8946"/>
      <c r="AF1084" s="8946"/>
      <c r="AG1084" s="8946"/>
      <c r="AH1084" s="8946"/>
      <c r="AI1084" s="8946"/>
      <c r="AJ1084" s="8947"/>
      <c r="AK1084" s="1182" t="s">
        <v>946</v>
      </c>
      <c r="AL1084" s="1562"/>
      <c r="AM1084" s="1544"/>
      <c r="AN1084" s="1544" t="str">
        <f t="shared" si="17"/>
        <v>Наименование признака дифференциации</v>
      </c>
      <c r="AO1084" s="1544"/>
      <c r="AP1084" s="1544"/>
    </row>
    <row r="1085" spans="1:42" s="1818" customFormat="1" ht="23.25" customHeight="1">
      <c r="A1085" s="1284"/>
      <c r="B1085" s="1284"/>
      <c r="C1085" s="1284"/>
      <c r="D1085" s="1284"/>
      <c r="E1085" s="8884" t="s">
        <v>670</v>
      </c>
      <c r="F1085" s="8884"/>
      <c r="G1085" s="8884"/>
      <c r="H1085" s="8884"/>
      <c r="I1085" s="8904"/>
      <c r="J1085" s="8881" t="str">
        <f>I1084&amp;".1"</f>
        <v>66.1.1.1.1</v>
      </c>
      <c r="K1085" s="1284"/>
      <c r="L1085" s="1290" t="s">
        <v>871</v>
      </c>
      <c r="M1085" s="1696"/>
      <c r="N1085" s="1696"/>
      <c r="O1085" s="1696"/>
      <c r="P1085" s="8882"/>
      <c r="Q1085" s="8882">
        <v>1</v>
      </c>
      <c r="R1085" s="278"/>
      <c r="S1085" s="1810" t="str">
        <f>$J1085</f>
        <v>66.1.1.1.1</v>
      </c>
      <c r="T1085" s="201" t="s">
        <v>872</v>
      </c>
      <c r="U1085" s="214"/>
      <c r="V1085" s="8872"/>
      <c r="W1085" s="8873"/>
      <c r="X1085" s="8873"/>
      <c r="Y1085" s="8873"/>
      <c r="Z1085" s="8873"/>
      <c r="AA1085" s="8873"/>
      <c r="AB1085" s="8874"/>
      <c r="AC1085" s="8872" t="s">
        <v>961</v>
      </c>
      <c r="AD1085" s="8873"/>
      <c r="AE1085" s="8873"/>
      <c r="AF1085" s="8873"/>
      <c r="AG1085" s="8873"/>
      <c r="AH1085" s="8873"/>
      <c r="AI1085" s="8873"/>
      <c r="AJ1085" s="8874"/>
      <c r="AK1085" s="1231" t="s">
        <v>947</v>
      </c>
      <c r="AL1085" s="1562"/>
      <c r="AM1085" s="1544"/>
      <c r="AN1085" s="1544" t="str">
        <f t="shared" si="17"/>
        <v>Группа потребителей</v>
      </c>
      <c r="AO1085" s="1544"/>
      <c r="AP1085" s="1544"/>
    </row>
    <row r="1086" spans="1:42" s="1818" customFormat="1" ht="23.25" customHeight="1">
      <c r="A1086" s="1284"/>
      <c r="B1086" s="1284"/>
      <c r="C1086" s="1284"/>
      <c r="D1086" s="1284"/>
      <c r="E1086" s="8884" t="s">
        <v>670</v>
      </c>
      <c r="F1086" s="8884"/>
      <c r="G1086" s="8884"/>
      <c r="H1086" s="8884"/>
      <c r="I1086" s="8904"/>
      <c r="J1086" s="8904"/>
      <c r="K1086" s="8881" t="str">
        <f>J1085&amp;".1"</f>
        <v>66.1.1.1.1.1</v>
      </c>
      <c r="L1086" s="1290"/>
      <c r="M1086" s="1696"/>
      <c r="N1086" s="1696"/>
      <c r="O1086" s="1696"/>
      <c r="P1086" s="8882"/>
      <c r="Q1086" s="8882"/>
      <c r="R1086" s="278">
        <v>1</v>
      </c>
      <c r="S1086" s="1810" t="str">
        <f>$K1086</f>
        <v>66.1.1.1.1.1</v>
      </c>
      <c r="T1086" s="1357" t="s">
        <v>962</v>
      </c>
      <c r="U1086" s="214"/>
      <c r="V1086" s="666"/>
      <c r="W1086" s="666"/>
      <c r="X1086" s="1181"/>
      <c r="Y1086" s="8886"/>
      <c r="Z1086" s="8734" t="s">
        <v>63</v>
      </c>
      <c r="AA1086" s="8886"/>
      <c r="AB1086" s="8734" t="s">
        <v>63</v>
      </c>
      <c r="AC1086" s="666">
        <v>573.54999999999995</v>
      </c>
      <c r="AD1086" s="666"/>
      <c r="AE1086" s="1181"/>
      <c r="AF1086" s="8886">
        <v>45292</v>
      </c>
      <c r="AG1086" s="8734" t="s">
        <v>63</v>
      </c>
      <c r="AH1086" s="8905">
        <v>45657</v>
      </c>
      <c r="AI1086" s="8734" t="s">
        <v>63</v>
      </c>
      <c r="AJ1086" s="1358"/>
      <c r="AK108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86" s="1562" t="e">
        <f ca="1">STRCHECKDATE(V1087:AJ1087)</f>
        <v>#NAME?</v>
      </c>
      <c r="AM1086" s="1544"/>
      <c r="AN1086" s="1544" t="str">
        <f t="shared" si="17"/>
        <v>Тариф для населения, руб. за 1 куб. метр с НДС</v>
      </c>
      <c r="AO1086" s="1544"/>
      <c r="AP1086" s="1544"/>
    </row>
    <row r="1087" spans="1:42" s="1818" customFormat="1" ht="14.25" customHeight="1">
      <c r="A1087" s="1284"/>
      <c r="B1087" s="1284"/>
      <c r="C1087" s="1284"/>
      <c r="D1087" s="1284"/>
      <c r="E1087" s="8884" t="s">
        <v>670</v>
      </c>
      <c r="F1087" s="8884"/>
      <c r="G1087" s="8884"/>
      <c r="H1087" s="8884"/>
      <c r="I1087" s="8904"/>
      <c r="J1087" s="8904"/>
      <c r="K1087" s="8881"/>
      <c r="L1087" s="1290"/>
      <c r="M1087" s="1696"/>
      <c r="N1087" s="1696"/>
      <c r="O1087" s="1696"/>
      <c r="P1087" s="8882"/>
      <c r="Q1087" s="8882"/>
      <c r="R1087" s="278"/>
      <c r="S1087" s="1815"/>
      <c r="T1087" s="214"/>
      <c r="U1087" s="214"/>
      <c r="V1087" s="246"/>
      <c r="W1087" s="246"/>
      <c r="X1087" s="250" t="str">
        <f>Y1086&amp;"-"&amp;AA1086</f>
        <v>-</v>
      </c>
      <c r="Y1087" s="8887"/>
      <c r="Z1087" s="8734"/>
      <c r="AA1087" s="8887"/>
      <c r="AB1087" s="8734"/>
      <c r="AC1087" s="246"/>
      <c r="AD1087" s="246"/>
      <c r="AE1087" s="250" t="str">
        <f>AF1086&amp;"-"&amp;AH1086</f>
        <v>45292-45657</v>
      </c>
      <c r="AF1087" s="8887"/>
      <c r="AG1087" s="8734"/>
      <c r="AH1087" s="8906"/>
      <c r="AI1087" s="8734"/>
      <c r="AJ1087" s="1359"/>
      <c r="AK1087" s="8941"/>
      <c r="AL1087" s="1562"/>
      <c r="AM1087" s="1544"/>
      <c r="AN1087" s="1544" t="str">
        <f t="shared" si="17"/>
        <v/>
      </c>
      <c r="AO1087" s="1544"/>
      <c r="AP1087" s="1544"/>
    </row>
    <row r="1088" spans="1:42" s="1818" customFormat="1" ht="21" customHeight="1">
      <c r="A1088" s="1284"/>
      <c r="B1088" s="1284"/>
      <c r="C1088" s="1284"/>
      <c r="D1088" s="1284"/>
      <c r="E1088" s="8884" t="s">
        <v>670</v>
      </c>
      <c r="F1088" s="8884"/>
      <c r="G1088" s="8884"/>
      <c r="H1088" s="8884"/>
      <c r="I1088" s="8904"/>
      <c r="J1088" s="8881"/>
      <c r="K1088" s="1284"/>
      <c r="L1088" s="1290"/>
      <c r="M1088" s="1696"/>
      <c r="N1088" s="1696"/>
      <c r="O1088" s="1696"/>
      <c r="P1088" s="8882"/>
      <c r="Q1088" s="8882"/>
      <c r="R1088" s="277"/>
      <c r="S1088" s="6609"/>
      <c r="T1088" s="6610" t="s">
        <v>948</v>
      </c>
      <c r="U1088" s="6611"/>
      <c r="V1088" s="6612"/>
      <c r="W1088" s="6613"/>
      <c r="X1088" s="6614"/>
      <c r="Y1088" s="6615"/>
      <c r="Z1088" s="6616"/>
      <c r="AA1088" s="6617"/>
      <c r="AB1088" s="6618"/>
      <c r="AC1088" s="6619"/>
      <c r="AD1088" s="6620"/>
      <c r="AE1088" s="6621"/>
      <c r="AF1088" s="6622"/>
      <c r="AG1088" s="6623"/>
      <c r="AH1088" s="6624"/>
      <c r="AI1088" s="6625"/>
      <c r="AJ1088" s="6626"/>
      <c r="AK1088" s="1182" t="s">
        <v>949</v>
      </c>
      <c r="AL1088" s="1562"/>
      <c r="AM1088" s="1544"/>
      <c r="AN1088" s="1544" t="str">
        <f t="shared" si="17"/>
        <v>Добавить значение признака дифференциации</v>
      </c>
      <c r="AO1088" s="1544"/>
      <c r="AP1088" s="1544"/>
    </row>
    <row r="1089" spans="1:42" s="1818" customFormat="1" ht="23.25" customHeight="1">
      <c r="A1089" s="1284"/>
      <c r="B1089" s="1284"/>
      <c r="C1089" s="1284"/>
      <c r="D1089" s="1284"/>
      <c r="E1089" s="8884"/>
      <c r="F1089" s="8884"/>
      <c r="G1089" s="8884"/>
      <c r="H1089" s="8884"/>
      <c r="I1089" s="8904"/>
      <c r="J1089" s="8881" t="str">
        <f>I1084&amp;".2"</f>
        <v>66.1.1.1.2</v>
      </c>
      <c r="K1089" s="1284"/>
      <c r="L1089" s="1290" t="s">
        <v>871</v>
      </c>
      <c r="M1089" s="1696"/>
      <c r="N1089" s="1696"/>
      <c r="O1089" s="1696"/>
      <c r="P1089" s="8882"/>
      <c r="Q1089" s="8948" t="s">
        <v>100</v>
      </c>
      <c r="R1089" s="278"/>
      <c r="S1089" s="1810" t="str">
        <f>$J1089</f>
        <v>66.1.1.1.2</v>
      </c>
      <c r="T1089" s="201" t="s">
        <v>872</v>
      </c>
      <c r="U1089" s="214"/>
      <c r="V1089" s="8872"/>
      <c r="W1089" s="8873"/>
      <c r="X1089" s="8873"/>
      <c r="Y1089" s="8873"/>
      <c r="Z1089" s="8873"/>
      <c r="AA1089" s="8873"/>
      <c r="AB1089" s="8874"/>
      <c r="AC1089" s="8872" t="s">
        <v>963</v>
      </c>
      <c r="AD1089" s="8873"/>
      <c r="AE1089" s="8873"/>
      <c r="AF1089" s="8873"/>
      <c r="AG1089" s="8873"/>
      <c r="AH1089" s="8873"/>
      <c r="AI1089" s="8873"/>
      <c r="AJ1089" s="8874"/>
      <c r="AK1089" s="1231" t="s">
        <v>947</v>
      </c>
      <c r="AL1089" s="1562"/>
      <c r="AM1089" s="1544"/>
      <c r="AN1089" s="1544" t="str">
        <f t="shared" si="17"/>
        <v>Группа потребителей</v>
      </c>
      <c r="AO1089" s="1544"/>
      <c r="AP1089" s="1544"/>
    </row>
    <row r="1090" spans="1:42" s="1818" customFormat="1" ht="23.25" customHeight="1">
      <c r="A1090" s="1284"/>
      <c r="B1090" s="1284"/>
      <c r="C1090" s="1284"/>
      <c r="D1090" s="1284"/>
      <c r="E1090" s="8884"/>
      <c r="F1090" s="8884"/>
      <c r="G1090" s="8884"/>
      <c r="H1090" s="8884"/>
      <c r="I1090" s="8904"/>
      <c r="J1090" s="8904" t="str">
        <f>I1084&amp;".1"</f>
        <v>66.1.1.1.1</v>
      </c>
      <c r="K1090" s="8881" t="str">
        <f>J1089&amp;".1"</f>
        <v>66.1.1.1.2.1</v>
      </c>
      <c r="L1090" s="1290"/>
      <c r="M1090" s="1696"/>
      <c r="N1090" s="1696"/>
      <c r="O1090" s="1696"/>
      <c r="P1090" s="8882"/>
      <c r="Q1090" s="8882"/>
      <c r="R1090" s="278">
        <v>1</v>
      </c>
      <c r="S1090" s="1810" t="str">
        <f>$K1090</f>
        <v>66.1.1.1.2.1</v>
      </c>
      <c r="T1090" s="1357" t="s">
        <v>964</v>
      </c>
      <c r="U1090" s="214"/>
      <c r="V1090" s="666"/>
      <c r="W1090" s="666"/>
      <c r="X1090" s="1181"/>
      <c r="Y1090" s="8886"/>
      <c r="Z1090" s="8734" t="s">
        <v>63</v>
      </c>
      <c r="AA1090" s="8886"/>
      <c r="AB1090" s="8734" t="s">
        <v>63</v>
      </c>
      <c r="AC1090" s="666">
        <v>477.96</v>
      </c>
      <c r="AD1090" s="666"/>
      <c r="AE1090" s="1181"/>
      <c r="AF1090" s="8886">
        <v>45292</v>
      </c>
      <c r="AG1090" s="8734" t="s">
        <v>63</v>
      </c>
      <c r="AH1090" s="8905">
        <v>45657</v>
      </c>
      <c r="AI1090" s="8734" t="s">
        <v>63</v>
      </c>
      <c r="AJ1090" s="1358"/>
      <c r="AK109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90" s="1562" t="e">
        <f ca="1">STRCHECKDATE(V1091:AJ1091)</f>
        <v>#NAME?</v>
      </c>
      <c r="AM1090" s="1544"/>
      <c r="AN1090" s="1544" t="str">
        <f t="shared" si="17"/>
        <v>Тариф, руб. за 1 куб. метр без НДС</v>
      </c>
      <c r="AO1090" s="1544"/>
      <c r="AP1090" s="1544"/>
    </row>
    <row r="1091" spans="1:42" s="1818" customFormat="1" ht="14.25" customHeight="1">
      <c r="A1091" s="1284"/>
      <c r="B1091" s="1284"/>
      <c r="C1091" s="1284"/>
      <c r="D1091" s="1284"/>
      <c r="E1091" s="8884"/>
      <c r="F1091" s="8884"/>
      <c r="G1091" s="8884"/>
      <c r="H1091" s="8884"/>
      <c r="I1091" s="8904"/>
      <c r="J1091" s="8904" t="str">
        <f>I1084&amp;".1"</f>
        <v>66.1.1.1.1</v>
      </c>
      <c r="K1091" s="8881"/>
      <c r="L1091" s="1290"/>
      <c r="M1091" s="1696"/>
      <c r="N1091" s="1696"/>
      <c r="O1091" s="1696"/>
      <c r="P1091" s="8882"/>
      <c r="Q1091" s="8882"/>
      <c r="R1091" s="278"/>
      <c r="S1091" s="1815"/>
      <c r="T1091" s="214"/>
      <c r="U1091" s="214"/>
      <c r="V1091" s="246"/>
      <c r="W1091" s="246"/>
      <c r="X1091" s="250" t="str">
        <f>Y1090&amp;"-"&amp;AA1090</f>
        <v>-</v>
      </c>
      <c r="Y1091" s="8887"/>
      <c r="Z1091" s="8734"/>
      <c r="AA1091" s="8887"/>
      <c r="AB1091" s="8734"/>
      <c r="AC1091" s="246"/>
      <c r="AD1091" s="246"/>
      <c r="AE1091" s="250" t="str">
        <f>AF1090&amp;"-"&amp;AH1090</f>
        <v>45292-45657</v>
      </c>
      <c r="AF1091" s="8887"/>
      <c r="AG1091" s="8734"/>
      <c r="AH1091" s="8906"/>
      <c r="AI1091" s="8734"/>
      <c r="AJ1091" s="1359"/>
      <c r="AK1091" s="8941"/>
      <c r="AL1091" s="1562"/>
      <c r="AM1091" s="1544"/>
      <c r="AN1091" s="1544" t="str">
        <f t="shared" si="17"/>
        <v/>
      </c>
      <c r="AO1091" s="1544"/>
      <c r="AP1091" s="1544"/>
    </row>
    <row r="1092" spans="1:42" s="1818" customFormat="1" ht="21" customHeight="1">
      <c r="A1092" s="1284"/>
      <c r="B1092" s="1284"/>
      <c r="C1092" s="1284"/>
      <c r="D1092" s="1284"/>
      <c r="E1092" s="8884"/>
      <c r="F1092" s="8884"/>
      <c r="G1092" s="8884"/>
      <c r="H1092" s="8884"/>
      <c r="I1092" s="8904"/>
      <c r="J1092" s="8881" t="str">
        <f>I1084&amp;".1"</f>
        <v>66.1.1.1.1</v>
      </c>
      <c r="K1092" s="1284"/>
      <c r="L1092" s="1290"/>
      <c r="M1092" s="1696"/>
      <c r="N1092" s="1696"/>
      <c r="O1092" s="1696"/>
      <c r="P1092" s="8882"/>
      <c r="Q1092" s="8882"/>
      <c r="R1092" s="277"/>
      <c r="S1092" s="6627"/>
      <c r="T1092" s="6628" t="s">
        <v>948</v>
      </c>
      <c r="U1092" s="6629"/>
      <c r="V1092" s="6630"/>
      <c r="W1092" s="6631"/>
      <c r="X1092" s="6632"/>
      <c r="Y1092" s="6633"/>
      <c r="Z1092" s="6634"/>
      <c r="AA1092" s="6635"/>
      <c r="AB1092" s="6636"/>
      <c r="AC1092" s="6637"/>
      <c r="AD1092" s="6638"/>
      <c r="AE1092" s="6639"/>
      <c r="AF1092" s="6640"/>
      <c r="AG1092" s="6641"/>
      <c r="AH1092" s="6642"/>
      <c r="AI1092" s="6643"/>
      <c r="AJ1092" s="6644"/>
      <c r="AK1092" s="1182" t="s">
        <v>949</v>
      </c>
      <c r="AL1092" s="1562"/>
      <c r="AM1092" s="1544"/>
      <c r="AN1092" s="1544" t="str">
        <f t="shared" si="17"/>
        <v>Добавить значение признака дифференциации</v>
      </c>
      <c r="AO1092" s="1544"/>
      <c r="AP1092" s="1544"/>
    </row>
    <row r="1093" spans="1:42" s="1818" customFormat="1" ht="21" customHeight="1">
      <c r="A1093" s="1284"/>
      <c r="B1093" s="1284"/>
      <c r="C1093" s="1284"/>
      <c r="D1093" s="1284"/>
      <c r="E1093" s="8884" t="s">
        <v>670</v>
      </c>
      <c r="F1093" s="8884"/>
      <c r="G1093" s="8884"/>
      <c r="H1093" s="8884"/>
      <c r="I1093" s="8881"/>
      <c r="J1093" s="1284"/>
      <c r="K1093" s="1284"/>
      <c r="L1093" s="1290"/>
      <c r="M1093" s="1696"/>
      <c r="N1093" s="1696"/>
      <c r="O1093" s="1696"/>
      <c r="P1093" s="8882"/>
      <c r="Q1093" s="1811"/>
      <c r="R1093" s="277"/>
      <c r="S1093" s="6645"/>
      <c r="T1093" s="6646" t="s">
        <v>877</v>
      </c>
      <c r="U1093" s="6647"/>
      <c r="V1093" s="6648"/>
      <c r="W1093" s="6649"/>
      <c r="X1093" s="6650"/>
      <c r="Y1093" s="6651"/>
      <c r="Z1093" s="6652"/>
      <c r="AA1093" s="6653"/>
      <c r="AB1093" s="6654"/>
      <c r="AC1093" s="6655"/>
      <c r="AD1093" s="6656"/>
      <c r="AE1093" s="6657"/>
      <c r="AF1093" s="6658"/>
      <c r="AG1093" s="6659"/>
      <c r="AH1093" s="6660"/>
      <c r="AI1093" s="6661"/>
      <c r="AJ1093" s="6662"/>
      <c r="AK1093" s="6663"/>
      <c r="AL1093" s="1562"/>
      <c r="AM1093" s="1544"/>
      <c r="AN1093" s="1544" t="str">
        <f t="shared" si="17"/>
        <v>Добавить группу потребителей</v>
      </c>
      <c r="AO1093" s="1544"/>
      <c r="AP1093" s="1544"/>
    </row>
    <row r="1094" spans="1:42" s="1818" customFormat="1" ht="21" customHeight="1">
      <c r="A1094" s="1284"/>
      <c r="B1094" s="1284"/>
      <c r="C1094" s="1284"/>
      <c r="D1094" s="1284"/>
      <c r="E1094" s="8884" t="s">
        <v>670</v>
      </c>
      <c r="F1094" s="8884"/>
      <c r="G1094" s="8884"/>
      <c r="H1094" s="8883"/>
      <c r="I1094" s="1284"/>
      <c r="J1094" s="1284"/>
      <c r="K1094" s="1284"/>
      <c r="L1094" s="1290"/>
      <c r="M1094" s="1286"/>
      <c r="N1094" s="1286"/>
      <c r="O1094" s="1287"/>
      <c r="P1094" s="1742"/>
      <c r="Q1094" s="299"/>
      <c r="R1094" s="276"/>
      <c r="S1094" s="6664"/>
      <c r="T1094" s="6665" t="s">
        <v>950</v>
      </c>
      <c r="U1094" s="6666"/>
      <c r="V1094" s="6667"/>
      <c r="W1094" s="6668"/>
      <c r="X1094" s="6669"/>
      <c r="Y1094" s="6670"/>
      <c r="Z1094" s="6671"/>
      <c r="AA1094" s="6672"/>
      <c r="AB1094" s="6673"/>
      <c r="AC1094" s="6674"/>
      <c r="AD1094" s="6675"/>
      <c r="AE1094" s="6676"/>
      <c r="AF1094" s="6677"/>
      <c r="AG1094" s="6678"/>
      <c r="AH1094" s="6679"/>
      <c r="AI1094" s="6680"/>
      <c r="AJ1094" s="6681"/>
      <c r="AK1094" s="6682"/>
      <c r="AL1094" s="1562"/>
      <c r="AM1094" s="1544"/>
      <c r="AN1094" s="1544" t="str">
        <f t="shared" si="17"/>
        <v>Добавить наименование признака дифференциации</v>
      </c>
      <c r="AO1094" s="1544"/>
      <c r="AP1094" s="1544"/>
    </row>
    <row r="1095" spans="1:42" s="541" customFormat="1" ht="14.25" customHeight="1">
      <c r="A1095" s="1265"/>
      <c r="B1095" s="1265"/>
      <c r="C1095" s="1265"/>
      <c r="D1095" s="1265"/>
      <c r="E1095" s="8884" t="s">
        <v>670</v>
      </c>
      <c r="F1095" s="8883"/>
      <c r="G1095" s="1265"/>
      <c r="H1095" s="1265"/>
      <c r="I1095" s="1265"/>
      <c r="J1095" s="1265"/>
      <c r="K1095" s="1265"/>
      <c r="L1095" s="1466"/>
      <c r="M1095" s="1244"/>
      <c r="N1095" s="1244"/>
      <c r="O1095" s="1562"/>
      <c r="P1095" s="1239"/>
      <c r="Q1095" s="1266"/>
      <c r="R1095" s="1239"/>
      <c r="S1095" s="1245"/>
      <c r="T1095" s="1248" t="s">
        <v>314</v>
      </c>
      <c r="U1095" s="1247"/>
      <c r="V1095" s="1247"/>
      <c r="W1095" s="1247"/>
      <c r="X1095" s="1247"/>
      <c r="Y1095" s="1247"/>
      <c r="Z1095" s="1247"/>
      <c r="AA1095" s="1247"/>
      <c r="AB1095" s="1247"/>
      <c r="AC1095" s="1247"/>
      <c r="AD1095" s="1247"/>
      <c r="AE1095" s="1247"/>
      <c r="AF1095" s="1247"/>
      <c r="AG1095" s="1247"/>
      <c r="AH1095" s="1247"/>
      <c r="AI1095" s="1247"/>
      <c r="AJ1095" s="1247"/>
      <c r="AK1095" s="1247"/>
      <c r="AL1095" s="1562"/>
      <c r="AM1095" s="1544"/>
      <c r="AN1095" s="1544" t="str">
        <f t="shared" si="17"/>
        <v>Добавить централизованную систему для дифференциации</v>
      </c>
      <c r="AO1095" s="1544"/>
      <c r="AP1095" s="1544"/>
    </row>
    <row r="1096" spans="1:42" s="541" customFormat="1" ht="14.25" customHeight="1">
      <c r="A1096" s="1265"/>
      <c r="B1096" s="1265"/>
      <c r="C1096" s="1265"/>
      <c r="D1096" s="1265"/>
      <c r="E1096" s="8883" t="s">
        <v>670</v>
      </c>
      <c r="F1096" s="1265"/>
      <c r="G1096" s="1265"/>
      <c r="H1096" s="1265"/>
      <c r="I1096" s="1265"/>
      <c r="J1096" s="1265"/>
      <c r="K1096" s="1265"/>
      <c r="L1096" s="1466"/>
      <c r="M1096" s="1244"/>
      <c r="N1096" s="1244"/>
      <c r="O1096" s="1562"/>
      <c r="P1096" s="1239"/>
      <c r="Q1096" s="1266"/>
      <c r="R1096" s="1239"/>
      <c r="S1096" s="1245"/>
      <c r="T1096" s="1248" t="s">
        <v>315</v>
      </c>
      <c r="U1096" s="1247"/>
      <c r="V1096" s="1247"/>
      <c r="W1096" s="1247"/>
      <c r="X1096" s="1247"/>
      <c r="Y1096" s="1247"/>
      <c r="Z1096" s="1247"/>
      <c r="AA1096" s="1247"/>
      <c r="AB1096" s="1247"/>
      <c r="AC1096" s="1247"/>
      <c r="AD1096" s="1247"/>
      <c r="AE1096" s="1247"/>
      <c r="AF1096" s="1247"/>
      <c r="AG1096" s="1247"/>
      <c r="AH1096" s="1247"/>
      <c r="AI1096" s="1247"/>
      <c r="AJ1096" s="1247"/>
      <c r="AK1096" s="1247"/>
      <c r="AL1096" s="1562"/>
      <c r="AM1096" s="1544"/>
      <c r="AN1096" s="1544" t="str">
        <f t="shared" si="17"/>
        <v>Добавить территорию для дифференциации</v>
      </c>
      <c r="AO1096" s="1544"/>
      <c r="AP1096" s="1544"/>
    </row>
    <row r="1097" spans="1:42" s="1818" customFormat="1" ht="23.25" customHeight="1">
      <c r="A1097" s="1284" t="s">
        <v>684</v>
      </c>
      <c r="B1097" s="1284"/>
      <c r="C1097" s="1284"/>
      <c r="D1097" s="1284"/>
      <c r="E1097" s="8883" t="s">
        <v>682</v>
      </c>
      <c r="F1097" s="1284"/>
      <c r="G1097" s="1284"/>
      <c r="H1097" s="1284"/>
      <c r="I1097" s="1284"/>
      <c r="J1097" s="1284"/>
      <c r="K1097" s="1284"/>
      <c r="L1097" s="1290"/>
      <c r="M1097" s="1286"/>
      <c r="N1097" s="1286"/>
      <c r="O1097" s="1286"/>
      <c r="P1097" s="1812"/>
      <c r="Q1097" s="1742"/>
      <c r="R1097" s="276"/>
      <c r="S1097" s="1810" t="str">
        <f>INDEX(PT_DIFFERENTIATION_NUM_NTAR,MATCH(A1097,PT_DIFFERENTIATION_NTAR_ID,0))</f>
        <v>67</v>
      </c>
      <c r="T1097" s="1440" t="s">
        <v>211</v>
      </c>
      <c r="U1097" s="214"/>
      <c r="V1097" s="8869"/>
      <c r="W1097" s="8870"/>
      <c r="X1097" s="8870"/>
      <c r="Y1097" s="8870"/>
      <c r="Z1097" s="8870"/>
      <c r="AA1097" s="8870"/>
      <c r="AB1097" s="8871"/>
      <c r="AC1097" s="8869" t="str">
        <f>INDEX(PT_DIFFERENTIATION_NTAR,MATCH(A1097,PT_DIFFERENTIATION_NTAR_ID,0))</f>
        <v>Подвоз воды потребителям села Ачикулак</v>
      </c>
      <c r="AD1097" s="8870"/>
      <c r="AE1097" s="8870"/>
      <c r="AF1097" s="8870"/>
      <c r="AG1097" s="8870"/>
      <c r="AH1097" s="8870"/>
      <c r="AI1097" s="8870"/>
      <c r="AJ1097" s="8871"/>
      <c r="AK109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097" s="1562"/>
      <c r="AM1097" s="1544"/>
      <c r="AN1097" s="1544" t="str">
        <f t="shared" si="17"/>
        <v>Наименование тарифа</v>
      </c>
      <c r="AO1097" s="1544"/>
      <c r="AP1097" s="1544"/>
    </row>
    <row r="1098" spans="1:42" s="1818" customFormat="1" ht="23.25" customHeight="1">
      <c r="A1098" s="1284"/>
      <c r="B1098" s="1284" t="s">
        <v>685</v>
      </c>
      <c r="C1098" s="1284"/>
      <c r="D1098" s="1284"/>
      <c r="E1098" s="8884" t="s">
        <v>676</v>
      </c>
      <c r="F1098" s="8883">
        <v>1</v>
      </c>
      <c r="G1098" s="1284"/>
      <c r="H1098" s="1284"/>
      <c r="I1098" s="1284"/>
      <c r="J1098" s="1284"/>
      <c r="K1098" s="1284"/>
      <c r="L1098" s="1290"/>
      <c r="M1098" s="1286"/>
      <c r="N1098" s="1286"/>
      <c r="O1098" s="1286"/>
      <c r="P1098" s="1807"/>
      <c r="Q1098" s="273"/>
      <c r="R1098" s="274"/>
      <c r="S1098" s="1810" t="str">
        <f>INDEX(PT_DIFFERENTIATION_NUM_TER,MATCH(B1098,PT_DIFFERENTIATION_TER_ID,0))</f>
        <v>67.1</v>
      </c>
      <c r="T1098" s="1437" t="s">
        <v>862</v>
      </c>
      <c r="U1098" s="214"/>
      <c r="V1098" s="8869"/>
      <c r="W1098" s="8870"/>
      <c r="X1098" s="8870"/>
      <c r="Y1098" s="8870"/>
      <c r="Z1098" s="8870"/>
      <c r="AA1098" s="8870"/>
      <c r="AB1098" s="8871"/>
      <c r="AC1098" s="8869" t="str">
        <f>INDEX(PT_DIFFERENTIATION_TER,MATCH(B1098,PT_DIFFERENTIATION_TER_ID,0))</f>
        <v>Территория 18</v>
      </c>
      <c r="AD1098" s="8870"/>
      <c r="AE1098" s="8870"/>
      <c r="AF1098" s="8870"/>
      <c r="AG1098" s="8870"/>
      <c r="AH1098" s="8870"/>
      <c r="AI1098" s="8870"/>
      <c r="AJ1098" s="8871"/>
      <c r="AK1098" s="1182" t="s">
        <v>863</v>
      </c>
      <c r="AL1098" s="1562"/>
      <c r="AM1098" s="1544"/>
      <c r="AN1098" s="1544" t="str">
        <f t="shared" si="17"/>
        <v>Территория действия тарифа</v>
      </c>
      <c r="AO1098" s="1544"/>
      <c r="AP1098" s="1544"/>
    </row>
    <row r="1099" spans="1:42" s="1818" customFormat="1" ht="23.25" customHeight="1">
      <c r="A1099" s="1284"/>
      <c r="B1099" s="1284"/>
      <c r="C1099" s="1284" t="s">
        <v>686</v>
      </c>
      <c r="D1099" s="1284"/>
      <c r="E1099" s="8884" t="s">
        <v>676</v>
      </c>
      <c r="F1099" s="8884"/>
      <c r="G1099" s="8883">
        <v>1</v>
      </c>
      <c r="H1099" s="1284"/>
      <c r="I1099" s="1284"/>
      <c r="J1099" s="1284"/>
      <c r="K1099" s="1284"/>
      <c r="L1099" s="1290"/>
      <c r="M1099" s="1286"/>
      <c r="N1099" s="1286"/>
      <c r="O1099" s="1286"/>
      <c r="P1099" s="275"/>
      <c r="Q1099" s="273"/>
      <c r="R1099" s="274"/>
      <c r="S1099" s="1810" t="str">
        <f>INDEX(PT_DIFFERENTIATION_NUM_CS,MATCH(C1099,PT_DIFFERENTIATION_CS_ID,0))</f>
        <v>67.1.1</v>
      </c>
      <c r="T1099" s="225" t="s">
        <v>943</v>
      </c>
      <c r="U1099" s="214"/>
      <c r="V1099" s="8869"/>
      <c r="W1099" s="8870"/>
      <c r="X1099" s="8870"/>
      <c r="Y1099" s="8870"/>
      <c r="Z1099" s="8870"/>
      <c r="AA1099" s="8870"/>
      <c r="AB1099" s="8871"/>
      <c r="AC1099" s="8869" t="str">
        <f>INDEX(PT_DIFFERENTIATION_CS,MATCH(C1099,PT_DIFFERENTIATION_CS_ID,0))</f>
        <v>без дифференциации</v>
      </c>
      <c r="AD1099" s="8870"/>
      <c r="AE1099" s="8870"/>
      <c r="AF1099" s="8870"/>
      <c r="AG1099" s="8870"/>
      <c r="AH1099" s="8870"/>
      <c r="AI1099" s="8870"/>
      <c r="AJ1099" s="8871"/>
      <c r="AK1099" s="1182" t="s">
        <v>944</v>
      </c>
      <c r="AL1099" s="1562"/>
      <c r="AM1099" s="1544"/>
      <c r="AN1099" s="1544" t="str">
        <f t="shared" si="17"/>
        <v>Наименование централизованной системы холодного водоснабжения</v>
      </c>
      <c r="AO1099" s="1544"/>
      <c r="AP1099" s="1544"/>
    </row>
    <row r="1100" spans="1:42" s="1818" customFormat="1" ht="23.25" customHeight="1">
      <c r="A1100" s="1284"/>
      <c r="B1100" s="1284"/>
      <c r="C1100" s="1284"/>
      <c r="D1100" s="1284"/>
      <c r="E1100" s="8884" t="s">
        <v>676</v>
      </c>
      <c r="F1100" s="8884"/>
      <c r="G1100" s="8884"/>
      <c r="H1100" s="8884"/>
      <c r="I1100" s="8881" t="str">
        <f>S1099&amp;".1"</f>
        <v>67.1.1.1</v>
      </c>
      <c r="J1100" s="1284"/>
      <c r="K1100" s="1284"/>
      <c r="L1100" s="1290"/>
      <c r="M1100" s="1696"/>
      <c r="N1100" s="1696"/>
      <c r="O1100" s="1696"/>
      <c r="P1100" s="8882">
        <v>1</v>
      </c>
      <c r="Q1100" s="1811"/>
      <c r="R1100" s="277"/>
      <c r="S1100" s="1810" t="str">
        <f>$I1100</f>
        <v>67.1.1.1</v>
      </c>
      <c r="T1100" s="200" t="s">
        <v>945</v>
      </c>
      <c r="U1100" s="214"/>
      <c r="V1100" s="8942"/>
      <c r="W1100" s="8943"/>
      <c r="X1100" s="8943"/>
      <c r="Y1100" s="8943"/>
      <c r="Z1100" s="8943"/>
      <c r="AA1100" s="8943"/>
      <c r="AB1100" s="8944"/>
      <c r="AC1100" s="8945"/>
      <c r="AD1100" s="8946"/>
      <c r="AE1100" s="8946"/>
      <c r="AF1100" s="8946"/>
      <c r="AG1100" s="8946"/>
      <c r="AH1100" s="8946"/>
      <c r="AI1100" s="8946"/>
      <c r="AJ1100" s="8947"/>
      <c r="AK1100" s="1182" t="s">
        <v>946</v>
      </c>
      <c r="AL1100" s="1562"/>
      <c r="AM1100" s="1544"/>
      <c r="AN1100" s="1544" t="str">
        <f t="shared" si="17"/>
        <v>Наименование признака дифференциации</v>
      </c>
      <c r="AO1100" s="1544"/>
      <c r="AP1100" s="1544"/>
    </row>
    <row r="1101" spans="1:42" s="1818" customFormat="1" ht="23.25" customHeight="1">
      <c r="A1101" s="1284"/>
      <c r="B1101" s="1284"/>
      <c r="C1101" s="1284"/>
      <c r="D1101" s="1284"/>
      <c r="E1101" s="8884" t="s">
        <v>676</v>
      </c>
      <c r="F1101" s="8884"/>
      <c r="G1101" s="8884"/>
      <c r="H1101" s="8884"/>
      <c r="I1101" s="8904"/>
      <c r="J1101" s="8881" t="str">
        <f>I1100&amp;".1"</f>
        <v>67.1.1.1.1</v>
      </c>
      <c r="K1101" s="1284"/>
      <c r="L1101" s="1290" t="s">
        <v>871</v>
      </c>
      <c r="M1101" s="1696"/>
      <c r="N1101" s="1696"/>
      <c r="O1101" s="1696"/>
      <c r="P1101" s="8882"/>
      <c r="Q1101" s="8882">
        <v>1</v>
      </c>
      <c r="R1101" s="278"/>
      <c r="S1101" s="1810" t="str">
        <f>$J1101</f>
        <v>67.1.1.1.1</v>
      </c>
      <c r="T1101" s="201" t="s">
        <v>872</v>
      </c>
      <c r="U1101" s="214"/>
      <c r="V1101" s="8872"/>
      <c r="W1101" s="8873"/>
      <c r="X1101" s="8873"/>
      <c r="Y1101" s="8873"/>
      <c r="Z1101" s="8873"/>
      <c r="AA1101" s="8873"/>
      <c r="AB1101" s="8874"/>
      <c r="AC1101" s="8872" t="s">
        <v>961</v>
      </c>
      <c r="AD1101" s="8873"/>
      <c r="AE1101" s="8873"/>
      <c r="AF1101" s="8873"/>
      <c r="AG1101" s="8873"/>
      <c r="AH1101" s="8873"/>
      <c r="AI1101" s="8873"/>
      <c r="AJ1101" s="8874"/>
      <c r="AK1101" s="1231" t="s">
        <v>947</v>
      </c>
      <c r="AL1101" s="1562"/>
      <c r="AM1101" s="1544"/>
      <c r="AN1101" s="1544" t="str">
        <f t="shared" si="17"/>
        <v>Группа потребителей</v>
      </c>
      <c r="AO1101" s="1544"/>
      <c r="AP1101" s="1544"/>
    </row>
    <row r="1102" spans="1:42" s="1818" customFormat="1" ht="23.25" customHeight="1">
      <c r="A1102" s="1284"/>
      <c r="B1102" s="1284"/>
      <c r="C1102" s="1284"/>
      <c r="D1102" s="1284"/>
      <c r="E1102" s="8884" t="s">
        <v>676</v>
      </c>
      <c r="F1102" s="8884"/>
      <c r="G1102" s="8884"/>
      <c r="H1102" s="8884"/>
      <c r="I1102" s="8904"/>
      <c r="J1102" s="8904"/>
      <c r="K1102" s="8881" t="str">
        <f>J1101&amp;".1"</f>
        <v>67.1.1.1.1.1</v>
      </c>
      <c r="L1102" s="1290"/>
      <c r="M1102" s="1696"/>
      <c r="N1102" s="1696"/>
      <c r="O1102" s="1696"/>
      <c r="P1102" s="8882"/>
      <c r="Q1102" s="8882"/>
      <c r="R1102" s="278">
        <v>1</v>
      </c>
      <c r="S1102" s="1810" t="str">
        <f>$K1102</f>
        <v>67.1.1.1.1.1</v>
      </c>
      <c r="T1102" s="1357" t="s">
        <v>962</v>
      </c>
      <c r="U1102" s="214"/>
      <c r="V1102" s="666"/>
      <c r="W1102" s="666"/>
      <c r="X1102" s="1181"/>
      <c r="Y1102" s="8886"/>
      <c r="Z1102" s="8734" t="s">
        <v>63</v>
      </c>
      <c r="AA1102" s="8886"/>
      <c r="AB1102" s="8734" t="s">
        <v>63</v>
      </c>
      <c r="AC1102" s="666">
        <v>434.72</v>
      </c>
      <c r="AD1102" s="666"/>
      <c r="AE1102" s="1181"/>
      <c r="AF1102" s="8886">
        <v>45292</v>
      </c>
      <c r="AG1102" s="8734" t="s">
        <v>63</v>
      </c>
      <c r="AH1102" s="8905">
        <v>45657</v>
      </c>
      <c r="AI1102" s="8734" t="s">
        <v>63</v>
      </c>
      <c r="AJ1102" s="1358"/>
      <c r="AK110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02" s="1562" t="e">
        <f ca="1">STRCHECKDATE(V1103:AJ1103)</f>
        <v>#NAME?</v>
      </c>
      <c r="AM1102" s="1544"/>
      <c r="AN1102" s="1544" t="str">
        <f t="shared" si="17"/>
        <v>Тариф для населения, руб. за 1 куб. метр с НДС</v>
      </c>
      <c r="AO1102" s="1544"/>
      <c r="AP1102" s="1544"/>
    </row>
    <row r="1103" spans="1:42" s="1818" customFormat="1" ht="14.25" customHeight="1">
      <c r="A1103" s="1284"/>
      <c r="B1103" s="1284"/>
      <c r="C1103" s="1284"/>
      <c r="D1103" s="1284"/>
      <c r="E1103" s="8884" t="s">
        <v>676</v>
      </c>
      <c r="F1103" s="8884"/>
      <c r="G1103" s="8884"/>
      <c r="H1103" s="8884"/>
      <c r="I1103" s="8904"/>
      <c r="J1103" s="8904"/>
      <c r="K1103" s="8881"/>
      <c r="L1103" s="1290"/>
      <c r="M1103" s="1696"/>
      <c r="N1103" s="1696"/>
      <c r="O1103" s="1696"/>
      <c r="P1103" s="8882"/>
      <c r="Q1103" s="8882"/>
      <c r="R1103" s="278"/>
      <c r="S1103" s="1815"/>
      <c r="T1103" s="214"/>
      <c r="U1103" s="214"/>
      <c r="V1103" s="246"/>
      <c r="W1103" s="246"/>
      <c r="X1103" s="250" t="str">
        <f>Y1102&amp;"-"&amp;AA1102</f>
        <v>-</v>
      </c>
      <c r="Y1103" s="8887"/>
      <c r="Z1103" s="8734"/>
      <c r="AA1103" s="8887"/>
      <c r="AB1103" s="8734"/>
      <c r="AC1103" s="246"/>
      <c r="AD1103" s="246"/>
      <c r="AE1103" s="250" t="str">
        <f>AF1102&amp;"-"&amp;AH1102</f>
        <v>45292-45657</v>
      </c>
      <c r="AF1103" s="8887"/>
      <c r="AG1103" s="8734"/>
      <c r="AH1103" s="8906"/>
      <c r="AI1103" s="8734"/>
      <c r="AJ1103" s="1359"/>
      <c r="AK1103" s="8941"/>
      <c r="AL1103" s="1562"/>
      <c r="AM1103" s="1544"/>
      <c r="AN1103" s="1544" t="str">
        <f t="shared" si="17"/>
        <v/>
      </c>
      <c r="AO1103" s="1544"/>
      <c r="AP1103" s="1544"/>
    </row>
    <row r="1104" spans="1:42" s="1818" customFormat="1" ht="21" customHeight="1">
      <c r="A1104" s="1284"/>
      <c r="B1104" s="1284"/>
      <c r="C1104" s="1284"/>
      <c r="D1104" s="1284"/>
      <c r="E1104" s="8884" t="s">
        <v>676</v>
      </c>
      <c r="F1104" s="8884"/>
      <c r="G1104" s="8884"/>
      <c r="H1104" s="8884"/>
      <c r="I1104" s="8904"/>
      <c r="J1104" s="8881"/>
      <c r="K1104" s="1284"/>
      <c r="L1104" s="1290"/>
      <c r="M1104" s="1696"/>
      <c r="N1104" s="1696"/>
      <c r="O1104" s="1696"/>
      <c r="P1104" s="8882"/>
      <c r="Q1104" s="8882"/>
      <c r="R1104" s="277"/>
      <c r="S1104" s="6683"/>
      <c r="T1104" s="6684" t="s">
        <v>948</v>
      </c>
      <c r="U1104" s="6685"/>
      <c r="V1104" s="6686"/>
      <c r="W1104" s="6687"/>
      <c r="X1104" s="6688"/>
      <c r="Y1104" s="6689"/>
      <c r="Z1104" s="6690"/>
      <c r="AA1104" s="6691"/>
      <c r="AB1104" s="6692"/>
      <c r="AC1104" s="6693"/>
      <c r="AD1104" s="6694"/>
      <c r="AE1104" s="6695"/>
      <c r="AF1104" s="6696"/>
      <c r="AG1104" s="6697"/>
      <c r="AH1104" s="6698"/>
      <c r="AI1104" s="6699"/>
      <c r="AJ1104" s="6700"/>
      <c r="AK1104" s="1182" t="s">
        <v>949</v>
      </c>
      <c r="AL1104" s="1562"/>
      <c r="AM1104" s="1544"/>
      <c r="AN1104" s="1544" t="str">
        <f t="shared" si="17"/>
        <v>Добавить значение признака дифференциации</v>
      </c>
      <c r="AO1104" s="1544"/>
      <c r="AP1104" s="1544"/>
    </row>
    <row r="1105" spans="1:42" s="1818" customFormat="1" ht="23.25" customHeight="1">
      <c r="A1105" s="1284"/>
      <c r="B1105" s="1284"/>
      <c r="C1105" s="1284"/>
      <c r="D1105" s="1284"/>
      <c r="E1105" s="8884"/>
      <c r="F1105" s="8884"/>
      <c r="G1105" s="8884"/>
      <c r="H1105" s="8884"/>
      <c r="I1105" s="8904"/>
      <c r="J1105" s="8881" t="str">
        <f>I1100&amp;".2"</f>
        <v>67.1.1.1.2</v>
      </c>
      <c r="K1105" s="1284"/>
      <c r="L1105" s="1290" t="s">
        <v>871</v>
      </c>
      <c r="M1105" s="1696"/>
      <c r="N1105" s="1696"/>
      <c r="O1105" s="1696"/>
      <c r="P1105" s="8882"/>
      <c r="Q1105" s="8948" t="s">
        <v>100</v>
      </c>
      <c r="R1105" s="278"/>
      <c r="S1105" s="1810" t="str">
        <f>$J1105</f>
        <v>67.1.1.1.2</v>
      </c>
      <c r="T1105" s="201" t="s">
        <v>872</v>
      </c>
      <c r="U1105" s="214"/>
      <c r="V1105" s="8872"/>
      <c r="W1105" s="8873"/>
      <c r="X1105" s="8873"/>
      <c r="Y1105" s="8873"/>
      <c r="Z1105" s="8873"/>
      <c r="AA1105" s="8873"/>
      <c r="AB1105" s="8874"/>
      <c r="AC1105" s="8872" t="s">
        <v>963</v>
      </c>
      <c r="AD1105" s="8873"/>
      <c r="AE1105" s="8873"/>
      <c r="AF1105" s="8873"/>
      <c r="AG1105" s="8873"/>
      <c r="AH1105" s="8873"/>
      <c r="AI1105" s="8873"/>
      <c r="AJ1105" s="8874"/>
      <c r="AK1105" s="1231" t="s">
        <v>947</v>
      </c>
      <c r="AL1105" s="1562"/>
      <c r="AM1105" s="1544"/>
      <c r="AN1105" s="1544" t="str">
        <f t="shared" si="17"/>
        <v>Группа потребителей</v>
      </c>
      <c r="AO1105" s="1544"/>
      <c r="AP1105" s="1544"/>
    </row>
    <row r="1106" spans="1:42" s="1818" customFormat="1" ht="23.25" customHeight="1">
      <c r="A1106" s="1284"/>
      <c r="B1106" s="1284"/>
      <c r="C1106" s="1284"/>
      <c r="D1106" s="1284"/>
      <c r="E1106" s="8884"/>
      <c r="F1106" s="8884"/>
      <c r="G1106" s="8884"/>
      <c r="H1106" s="8884"/>
      <c r="I1106" s="8904"/>
      <c r="J1106" s="8904" t="str">
        <f>I1100&amp;".1"</f>
        <v>67.1.1.1.1</v>
      </c>
      <c r="K1106" s="8881" t="str">
        <f>J1105&amp;".1"</f>
        <v>67.1.1.1.2.1</v>
      </c>
      <c r="L1106" s="1290"/>
      <c r="M1106" s="1696"/>
      <c r="N1106" s="1696"/>
      <c r="O1106" s="1696"/>
      <c r="P1106" s="8882"/>
      <c r="Q1106" s="8882"/>
      <c r="R1106" s="278">
        <v>1</v>
      </c>
      <c r="S1106" s="1810" t="str">
        <f>$K1106</f>
        <v>67.1.1.1.2.1</v>
      </c>
      <c r="T1106" s="1357" t="s">
        <v>964</v>
      </c>
      <c r="U1106" s="214"/>
      <c r="V1106" s="666"/>
      <c r="W1106" s="666"/>
      <c r="X1106" s="1181"/>
      <c r="Y1106" s="8886"/>
      <c r="Z1106" s="8734" t="s">
        <v>63</v>
      </c>
      <c r="AA1106" s="8886"/>
      <c r="AB1106" s="8734" t="s">
        <v>63</v>
      </c>
      <c r="AC1106" s="666">
        <v>362.27</v>
      </c>
      <c r="AD1106" s="666"/>
      <c r="AE1106" s="1181"/>
      <c r="AF1106" s="8886">
        <v>45292</v>
      </c>
      <c r="AG1106" s="8734" t="s">
        <v>63</v>
      </c>
      <c r="AH1106" s="8905">
        <v>45657</v>
      </c>
      <c r="AI1106" s="8734" t="s">
        <v>63</v>
      </c>
      <c r="AJ1106" s="1358"/>
      <c r="AK110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06" s="1562" t="e">
        <f ca="1">STRCHECKDATE(V1107:AJ1107)</f>
        <v>#NAME?</v>
      </c>
      <c r="AM1106" s="1544"/>
      <c r="AN1106" s="1544" t="str">
        <f t="shared" si="17"/>
        <v>Тариф, руб. за 1 куб. метр без НДС</v>
      </c>
      <c r="AO1106" s="1544"/>
      <c r="AP1106" s="1544"/>
    </row>
    <row r="1107" spans="1:42" s="1818" customFormat="1" ht="14.25" customHeight="1">
      <c r="A1107" s="1284"/>
      <c r="B1107" s="1284"/>
      <c r="C1107" s="1284"/>
      <c r="D1107" s="1284"/>
      <c r="E1107" s="8884"/>
      <c r="F1107" s="8884"/>
      <c r="G1107" s="8884"/>
      <c r="H1107" s="8884"/>
      <c r="I1107" s="8904"/>
      <c r="J1107" s="8904" t="str">
        <f>I1100&amp;".1"</f>
        <v>67.1.1.1.1</v>
      </c>
      <c r="K1107" s="8881"/>
      <c r="L1107" s="1290"/>
      <c r="M1107" s="1696"/>
      <c r="N1107" s="1696"/>
      <c r="O1107" s="1696"/>
      <c r="P1107" s="8882"/>
      <c r="Q1107" s="8882"/>
      <c r="R1107" s="278"/>
      <c r="S1107" s="1815"/>
      <c r="T1107" s="214"/>
      <c r="U1107" s="214"/>
      <c r="V1107" s="246"/>
      <c r="W1107" s="246"/>
      <c r="X1107" s="250" t="str">
        <f>Y1106&amp;"-"&amp;AA1106</f>
        <v>-</v>
      </c>
      <c r="Y1107" s="8887"/>
      <c r="Z1107" s="8734"/>
      <c r="AA1107" s="8887"/>
      <c r="AB1107" s="8734"/>
      <c r="AC1107" s="246"/>
      <c r="AD1107" s="246"/>
      <c r="AE1107" s="250" t="str">
        <f>AF1106&amp;"-"&amp;AH1106</f>
        <v>45292-45657</v>
      </c>
      <c r="AF1107" s="8887"/>
      <c r="AG1107" s="8734"/>
      <c r="AH1107" s="8906"/>
      <c r="AI1107" s="8734"/>
      <c r="AJ1107" s="1359"/>
      <c r="AK1107" s="8941"/>
      <c r="AL1107" s="1562"/>
      <c r="AM1107" s="1544"/>
      <c r="AN1107" s="1544" t="str">
        <f t="shared" si="17"/>
        <v/>
      </c>
      <c r="AO1107" s="1544"/>
      <c r="AP1107" s="1544"/>
    </row>
    <row r="1108" spans="1:42" s="1818" customFormat="1" ht="21" customHeight="1">
      <c r="A1108" s="1284"/>
      <c r="B1108" s="1284"/>
      <c r="C1108" s="1284"/>
      <c r="D1108" s="1284"/>
      <c r="E1108" s="8884"/>
      <c r="F1108" s="8884"/>
      <c r="G1108" s="8884"/>
      <c r="H1108" s="8884"/>
      <c r="I1108" s="8904"/>
      <c r="J1108" s="8881" t="str">
        <f>I1100&amp;".1"</f>
        <v>67.1.1.1.1</v>
      </c>
      <c r="K1108" s="1284"/>
      <c r="L1108" s="1290"/>
      <c r="M1108" s="1696"/>
      <c r="N1108" s="1696"/>
      <c r="O1108" s="1696"/>
      <c r="P1108" s="8882"/>
      <c r="Q1108" s="8882"/>
      <c r="R1108" s="277"/>
      <c r="S1108" s="6701"/>
      <c r="T1108" s="6702" t="s">
        <v>948</v>
      </c>
      <c r="U1108" s="6703"/>
      <c r="V1108" s="6704"/>
      <c r="W1108" s="6705"/>
      <c r="X1108" s="6706"/>
      <c r="Y1108" s="6707"/>
      <c r="Z1108" s="6708"/>
      <c r="AA1108" s="6709"/>
      <c r="AB1108" s="6710"/>
      <c r="AC1108" s="6711"/>
      <c r="AD1108" s="6712"/>
      <c r="AE1108" s="6713"/>
      <c r="AF1108" s="6714"/>
      <c r="AG1108" s="6715"/>
      <c r="AH1108" s="6716"/>
      <c r="AI1108" s="6717"/>
      <c r="AJ1108" s="6718"/>
      <c r="AK1108" s="1182" t="s">
        <v>949</v>
      </c>
      <c r="AL1108" s="1562"/>
      <c r="AM1108" s="1544"/>
      <c r="AN1108" s="1544" t="str">
        <f t="shared" si="17"/>
        <v>Добавить значение признака дифференциации</v>
      </c>
      <c r="AO1108" s="1544"/>
      <c r="AP1108" s="1544"/>
    </row>
    <row r="1109" spans="1:42" s="1818" customFormat="1" ht="21" customHeight="1">
      <c r="A1109" s="1284"/>
      <c r="B1109" s="1284"/>
      <c r="C1109" s="1284"/>
      <c r="D1109" s="1284"/>
      <c r="E1109" s="8884" t="s">
        <v>676</v>
      </c>
      <c r="F1109" s="8884"/>
      <c r="G1109" s="8884"/>
      <c r="H1109" s="8884"/>
      <c r="I1109" s="8881"/>
      <c r="J1109" s="1284"/>
      <c r="K1109" s="1284"/>
      <c r="L1109" s="1290"/>
      <c r="M1109" s="1696"/>
      <c r="N1109" s="1696"/>
      <c r="O1109" s="1696"/>
      <c r="P1109" s="8882"/>
      <c r="Q1109" s="1811"/>
      <c r="R1109" s="277"/>
      <c r="S1109" s="6719"/>
      <c r="T1109" s="6720" t="s">
        <v>877</v>
      </c>
      <c r="U1109" s="6721"/>
      <c r="V1109" s="6722"/>
      <c r="W1109" s="6723"/>
      <c r="X1109" s="6724"/>
      <c r="Y1109" s="6725"/>
      <c r="Z1109" s="6726"/>
      <c r="AA1109" s="6727"/>
      <c r="AB1109" s="6728"/>
      <c r="AC1109" s="6729"/>
      <c r="AD1109" s="6730"/>
      <c r="AE1109" s="6731"/>
      <c r="AF1109" s="6732"/>
      <c r="AG1109" s="6733"/>
      <c r="AH1109" s="6734"/>
      <c r="AI1109" s="6735"/>
      <c r="AJ1109" s="6736"/>
      <c r="AK1109" s="6737"/>
      <c r="AL1109" s="1562"/>
      <c r="AM1109" s="1544"/>
      <c r="AN1109" s="1544" t="str">
        <f t="shared" si="17"/>
        <v>Добавить группу потребителей</v>
      </c>
      <c r="AO1109" s="1544"/>
      <c r="AP1109" s="1544"/>
    </row>
    <row r="1110" spans="1:42" s="1818" customFormat="1" ht="21" customHeight="1">
      <c r="A1110" s="1284"/>
      <c r="B1110" s="1284"/>
      <c r="C1110" s="1284"/>
      <c r="D1110" s="1284"/>
      <c r="E1110" s="8884" t="s">
        <v>676</v>
      </c>
      <c r="F1110" s="8884"/>
      <c r="G1110" s="8884"/>
      <c r="H1110" s="8883"/>
      <c r="I1110" s="1284"/>
      <c r="J1110" s="1284"/>
      <c r="K1110" s="1284"/>
      <c r="L1110" s="1290"/>
      <c r="M1110" s="1286"/>
      <c r="N1110" s="1286"/>
      <c r="O1110" s="1287"/>
      <c r="P1110" s="1742"/>
      <c r="Q1110" s="299"/>
      <c r="R1110" s="276"/>
      <c r="S1110" s="6738"/>
      <c r="T1110" s="6739" t="s">
        <v>950</v>
      </c>
      <c r="U1110" s="6740"/>
      <c r="V1110" s="6741"/>
      <c r="W1110" s="6742"/>
      <c r="X1110" s="6743"/>
      <c r="Y1110" s="6744"/>
      <c r="Z1110" s="6745"/>
      <c r="AA1110" s="6746"/>
      <c r="AB1110" s="6747"/>
      <c r="AC1110" s="6748"/>
      <c r="AD1110" s="6749"/>
      <c r="AE1110" s="6750"/>
      <c r="AF1110" s="6751"/>
      <c r="AG1110" s="6752"/>
      <c r="AH1110" s="6753"/>
      <c r="AI1110" s="6754"/>
      <c r="AJ1110" s="6755"/>
      <c r="AK1110" s="6756"/>
      <c r="AL1110" s="1562"/>
      <c r="AM1110" s="1544"/>
      <c r="AN1110" s="1544" t="str">
        <f t="shared" si="17"/>
        <v>Добавить наименование признака дифференциации</v>
      </c>
      <c r="AO1110" s="1544"/>
      <c r="AP1110" s="1544"/>
    </row>
    <row r="1111" spans="1:42" s="541" customFormat="1" ht="14.25" customHeight="1">
      <c r="A1111" s="1265"/>
      <c r="B1111" s="1265"/>
      <c r="C1111" s="1265"/>
      <c r="D1111" s="1265"/>
      <c r="E1111" s="8884" t="s">
        <v>676</v>
      </c>
      <c r="F1111" s="8883"/>
      <c r="G1111" s="1265"/>
      <c r="H1111" s="1265"/>
      <c r="I1111" s="1265"/>
      <c r="J1111" s="1265"/>
      <c r="K1111" s="1265"/>
      <c r="L1111" s="1466"/>
      <c r="M1111" s="1244"/>
      <c r="N1111" s="1244"/>
      <c r="O1111" s="1562"/>
      <c r="P1111" s="1239"/>
      <c r="Q1111" s="1266"/>
      <c r="R1111" s="1239"/>
      <c r="S1111" s="1245"/>
      <c r="T1111" s="1248" t="s">
        <v>314</v>
      </c>
      <c r="U1111" s="1247"/>
      <c r="V1111" s="1247"/>
      <c r="W1111" s="1247"/>
      <c r="X1111" s="1247"/>
      <c r="Y1111" s="1247"/>
      <c r="Z1111" s="1247"/>
      <c r="AA1111" s="1247"/>
      <c r="AB1111" s="1247"/>
      <c r="AC1111" s="1247"/>
      <c r="AD1111" s="1247"/>
      <c r="AE1111" s="1247"/>
      <c r="AF1111" s="1247"/>
      <c r="AG1111" s="1247"/>
      <c r="AH1111" s="1247"/>
      <c r="AI1111" s="1247"/>
      <c r="AJ1111" s="1247"/>
      <c r="AK1111" s="1247"/>
      <c r="AL1111" s="1562"/>
      <c r="AM1111" s="1544"/>
      <c r="AN1111" s="1544" t="str">
        <f t="shared" si="17"/>
        <v>Добавить централизованную систему для дифференциации</v>
      </c>
      <c r="AO1111" s="1544"/>
      <c r="AP1111" s="1544"/>
    </row>
    <row r="1112" spans="1:42" s="541" customFormat="1" ht="14.25" customHeight="1">
      <c r="A1112" s="1265"/>
      <c r="B1112" s="1265"/>
      <c r="C1112" s="1265"/>
      <c r="D1112" s="1265"/>
      <c r="E1112" s="8883" t="s">
        <v>676</v>
      </c>
      <c r="F1112" s="1265"/>
      <c r="G1112" s="1265"/>
      <c r="H1112" s="1265"/>
      <c r="I1112" s="1265"/>
      <c r="J1112" s="1265"/>
      <c r="K1112" s="1265"/>
      <c r="L1112" s="1466"/>
      <c r="M1112" s="1244"/>
      <c r="N1112" s="1244"/>
      <c r="O1112" s="1562"/>
      <c r="P1112" s="1239"/>
      <c r="Q1112" s="1266"/>
      <c r="R1112" s="1239"/>
      <c r="S1112" s="1245"/>
      <c r="T1112" s="1248" t="s">
        <v>315</v>
      </c>
      <c r="U1112" s="1247"/>
      <c r="V1112" s="1247"/>
      <c r="W1112" s="1247"/>
      <c r="X1112" s="1247"/>
      <c r="Y1112" s="1247"/>
      <c r="Z1112" s="1247"/>
      <c r="AA1112" s="1247"/>
      <c r="AB1112" s="1247"/>
      <c r="AC1112" s="1247"/>
      <c r="AD1112" s="1247"/>
      <c r="AE1112" s="1247"/>
      <c r="AF1112" s="1247"/>
      <c r="AG1112" s="1247"/>
      <c r="AH1112" s="1247"/>
      <c r="AI1112" s="1247"/>
      <c r="AJ1112" s="1247"/>
      <c r="AK1112" s="1247"/>
      <c r="AL1112" s="1562"/>
      <c r="AM1112" s="1544"/>
      <c r="AN1112" s="1544" t="str">
        <f t="shared" si="17"/>
        <v>Добавить территорию для дифференциации</v>
      </c>
      <c r="AO1112" s="1544"/>
      <c r="AP1112" s="1544"/>
    </row>
    <row r="1113" spans="1:42" s="1818" customFormat="1" ht="23.25" customHeight="1">
      <c r="A1113" s="1284" t="s">
        <v>690</v>
      </c>
      <c r="B1113" s="1284"/>
      <c r="C1113" s="1284"/>
      <c r="D1113" s="1284"/>
      <c r="E1113" s="8883" t="s">
        <v>688</v>
      </c>
      <c r="F1113" s="1284"/>
      <c r="G1113" s="1284"/>
      <c r="H1113" s="1284"/>
      <c r="I1113" s="1284"/>
      <c r="J1113" s="1284"/>
      <c r="K1113" s="1284"/>
      <c r="L1113" s="1290"/>
      <c r="M1113" s="1286"/>
      <c r="N1113" s="1286"/>
      <c r="O1113" s="1286"/>
      <c r="P1113" s="1812"/>
      <c r="Q1113" s="1742"/>
      <c r="R1113" s="276"/>
      <c r="S1113" s="1810" t="str">
        <f>INDEX(PT_DIFFERENTIATION_NUM_NTAR,MATCH(A1113,PT_DIFFERENTIATION_NTAR_ID,0))</f>
        <v>68</v>
      </c>
      <c r="T1113" s="1440" t="s">
        <v>211</v>
      </c>
      <c r="U1113" s="214"/>
      <c r="V1113" s="8869"/>
      <c r="W1113" s="8870"/>
      <c r="X1113" s="8870"/>
      <c r="Y1113" s="8870"/>
      <c r="Z1113" s="8870"/>
      <c r="AA1113" s="8870"/>
      <c r="AB1113" s="8871"/>
      <c r="AC1113" s="8869" t="str">
        <f>INDEX(PT_DIFFERENTIATION_NTAR,MATCH(A1113,PT_DIFFERENTIATION_NTAR_ID,0))</f>
        <v>Подвоз воды потребителям хутора Ганькин</v>
      </c>
      <c r="AD1113" s="8870"/>
      <c r="AE1113" s="8870"/>
      <c r="AF1113" s="8870"/>
      <c r="AG1113" s="8870"/>
      <c r="AH1113" s="8870"/>
      <c r="AI1113" s="8870"/>
      <c r="AJ1113" s="8871"/>
      <c r="AK111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113" s="1562"/>
      <c r="AM1113" s="1544"/>
      <c r="AN1113" s="1544" t="str">
        <f t="shared" si="17"/>
        <v>Наименование тарифа</v>
      </c>
      <c r="AO1113" s="1544"/>
      <c r="AP1113" s="1544"/>
    </row>
    <row r="1114" spans="1:42" s="1818" customFormat="1" ht="23.25" customHeight="1">
      <c r="A1114" s="1284"/>
      <c r="B1114" s="1284" t="s">
        <v>691</v>
      </c>
      <c r="C1114" s="1284"/>
      <c r="D1114" s="1284"/>
      <c r="E1114" s="8884" t="s">
        <v>682</v>
      </c>
      <c r="F1114" s="8883">
        <v>1</v>
      </c>
      <c r="G1114" s="1284"/>
      <c r="H1114" s="1284"/>
      <c r="I1114" s="1284"/>
      <c r="J1114" s="1284"/>
      <c r="K1114" s="1284"/>
      <c r="L1114" s="1290"/>
      <c r="M1114" s="1286"/>
      <c r="N1114" s="1286"/>
      <c r="O1114" s="1286"/>
      <c r="P1114" s="1807"/>
      <c r="Q1114" s="273"/>
      <c r="R1114" s="274"/>
      <c r="S1114" s="1810" t="str">
        <f>INDEX(PT_DIFFERENTIATION_NUM_TER,MATCH(B1114,PT_DIFFERENTIATION_TER_ID,0))</f>
        <v>68.1</v>
      </c>
      <c r="T1114" s="1437" t="s">
        <v>862</v>
      </c>
      <c r="U1114" s="214"/>
      <c r="V1114" s="8869"/>
      <c r="W1114" s="8870"/>
      <c r="X1114" s="8870"/>
      <c r="Y1114" s="8870"/>
      <c r="Z1114" s="8870"/>
      <c r="AA1114" s="8870"/>
      <c r="AB1114" s="8871"/>
      <c r="AC1114" s="8869" t="str">
        <f>INDEX(PT_DIFFERENTIATION_TER,MATCH(B1114,PT_DIFFERENTIATION_TER_ID,0))</f>
        <v>Территория 19</v>
      </c>
      <c r="AD1114" s="8870"/>
      <c r="AE1114" s="8870"/>
      <c r="AF1114" s="8870"/>
      <c r="AG1114" s="8870"/>
      <c r="AH1114" s="8870"/>
      <c r="AI1114" s="8870"/>
      <c r="AJ1114" s="8871"/>
      <c r="AK1114" s="1182" t="s">
        <v>863</v>
      </c>
      <c r="AL1114" s="1562"/>
      <c r="AM1114" s="1544"/>
      <c r="AN1114" s="1544" t="str">
        <f t="shared" si="17"/>
        <v>Территория действия тарифа</v>
      </c>
      <c r="AO1114" s="1544"/>
      <c r="AP1114" s="1544"/>
    </row>
    <row r="1115" spans="1:42" s="1818" customFormat="1" ht="23.25" customHeight="1">
      <c r="A1115" s="1284"/>
      <c r="B1115" s="1284"/>
      <c r="C1115" s="1284" t="s">
        <v>692</v>
      </c>
      <c r="D1115" s="1284"/>
      <c r="E1115" s="8884" t="s">
        <v>682</v>
      </c>
      <c r="F1115" s="8884"/>
      <c r="G1115" s="8883">
        <v>1</v>
      </c>
      <c r="H1115" s="1284"/>
      <c r="I1115" s="1284"/>
      <c r="J1115" s="1284"/>
      <c r="K1115" s="1284"/>
      <c r="L1115" s="1290"/>
      <c r="M1115" s="1286"/>
      <c r="N1115" s="1286"/>
      <c r="O1115" s="1286"/>
      <c r="P1115" s="275"/>
      <c r="Q1115" s="273"/>
      <c r="R1115" s="274"/>
      <c r="S1115" s="1810" t="str">
        <f>INDEX(PT_DIFFERENTIATION_NUM_CS,MATCH(C1115,PT_DIFFERENTIATION_CS_ID,0))</f>
        <v>68.1.1</v>
      </c>
      <c r="T1115" s="225" t="s">
        <v>943</v>
      </c>
      <c r="U1115" s="214"/>
      <c r="V1115" s="8869"/>
      <c r="W1115" s="8870"/>
      <c r="X1115" s="8870"/>
      <c r="Y1115" s="8870"/>
      <c r="Z1115" s="8870"/>
      <c r="AA1115" s="8870"/>
      <c r="AB1115" s="8871"/>
      <c r="AC1115" s="8869" t="str">
        <f>INDEX(PT_DIFFERENTIATION_CS,MATCH(C1115,PT_DIFFERENTIATION_CS_ID,0))</f>
        <v>без дифференциации</v>
      </c>
      <c r="AD1115" s="8870"/>
      <c r="AE1115" s="8870"/>
      <c r="AF1115" s="8870"/>
      <c r="AG1115" s="8870"/>
      <c r="AH1115" s="8870"/>
      <c r="AI1115" s="8870"/>
      <c r="AJ1115" s="8871"/>
      <c r="AK1115" s="1182" t="s">
        <v>944</v>
      </c>
      <c r="AL1115" s="1562"/>
      <c r="AM1115" s="1544"/>
      <c r="AN1115" s="1544" t="str">
        <f t="shared" si="17"/>
        <v>Наименование централизованной системы холодного водоснабжения</v>
      </c>
      <c r="AO1115" s="1544"/>
      <c r="AP1115" s="1544"/>
    </row>
    <row r="1116" spans="1:42" s="1818" customFormat="1" ht="23.25" customHeight="1">
      <c r="A1116" s="1284"/>
      <c r="B1116" s="1284"/>
      <c r="C1116" s="1284"/>
      <c r="D1116" s="1284"/>
      <c r="E1116" s="8884" t="s">
        <v>682</v>
      </c>
      <c r="F1116" s="8884"/>
      <c r="G1116" s="8884"/>
      <c r="H1116" s="8884"/>
      <c r="I1116" s="8881" t="str">
        <f>S1115&amp;".1"</f>
        <v>68.1.1.1</v>
      </c>
      <c r="J1116" s="1284"/>
      <c r="K1116" s="1284"/>
      <c r="L1116" s="1290"/>
      <c r="M1116" s="1696"/>
      <c r="N1116" s="1696"/>
      <c r="O1116" s="1696"/>
      <c r="P1116" s="8882">
        <v>1</v>
      </c>
      <c r="Q1116" s="1811"/>
      <c r="R1116" s="277"/>
      <c r="S1116" s="1810" t="str">
        <f>$I1116</f>
        <v>68.1.1.1</v>
      </c>
      <c r="T1116" s="200" t="s">
        <v>945</v>
      </c>
      <c r="U1116" s="214"/>
      <c r="V1116" s="8942"/>
      <c r="W1116" s="8943"/>
      <c r="X1116" s="8943"/>
      <c r="Y1116" s="8943"/>
      <c r="Z1116" s="8943"/>
      <c r="AA1116" s="8943"/>
      <c r="AB1116" s="8944"/>
      <c r="AC1116" s="8945"/>
      <c r="AD1116" s="8946"/>
      <c r="AE1116" s="8946"/>
      <c r="AF1116" s="8946"/>
      <c r="AG1116" s="8946"/>
      <c r="AH1116" s="8946"/>
      <c r="AI1116" s="8946"/>
      <c r="AJ1116" s="8947"/>
      <c r="AK1116" s="1182" t="s">
        <v>946</v>
      </c>
      <c r="AL1116" s="1562"/>
      <c r="AM1116" s="1544"/>
      <c r="AN1116" s="1544" t="str">
        <f t="shared" si="17"/>
        <v>Наименование признака дифференциации</v>
      </c>
      <c r="AO1116" s="1544"/>
      <c r="AP1116" s="1544"/>
    </row>
    <row r="1117" spans="1:42" s="1818" customFormat="1" ht="23.25" customHeight="1">
      <c r="A1117" s="1284"/>
      <c r="B1117" s="1284"/>
      <c r="C1117" s="1284"/>
      <c r="D1117" s="1284"/>
      <c r="E1117" s="8884" t="s">
        <v>682</v>
      </c>
      <c r="F1117" s="8884"/>
      <c r="G1117" s="8884"/>
      <c r="H1117" s="8884"/>
      <c r="I1117" s="8904"/>
      <c r="J1117" s="8881" t="str">
        <f>I1116&amp;".1"</f>
        <v>68.1.1.1.1</v>
      </c>
      <c r="K1117" s="1284"/>
      <c r="L1117" s="1290" t="s">
        <v>871</v>
      </c>
      <c r="M1117" s="1696"/>
      <c r="N1117" s="1696"/>
      <c r="O1117" s="1696"/>
      <c r="P1117" s="8882"/>
      <c r="Q1117" s="8882">
        <v>1</v>
      </c>
      <c r="R1117" s="278"/>
      <c r="S1117" s="1810" t="str">
        <f>$J1117</f>
        <v>68.1.1.1.1</v>
      </c>
      <c r="T1117" s="201" t="s">
        <v>872</v>
      </c>
      <c r="U1117" s="214"/>
      <c r="V1117" s="8872"/>
      <c r="W1117" s="8873"/>
      <c r="X1117" s="8873"/>
      <c r="Y1117" s="8873"/>
      <c r="Z1117" s="8873"/>
      <c r="AA1117" s="8873"/>
      <c r="AB1117" s="8874"/>
      <c r="AC1117" s="8872" t="s">
        <v>961</v>
      </c>
      <c r="AD1117" s="8873"/>
      <c r="AE1117" s="8873"/>
      <c r="AF1117" s="8873"/>
      <c r="AG1117" s="8873"/>
      <c r="AH1117" s="8873"/>
      <c r="AI1117" s="8873"/>
      <c r="AJ1117" s="8874"/>
      <c r="AK1117" s="1231" t="s">
        <v>947</v>
      </c>
      <c r="AL1117" s="1562"/>
      <c r="AM1117" s="1544"/>
      <c r="AN1117" s="1544" t="str">
        <f t="shared" si="17"/>
        <v>Группа потребителей</v>
      </c>
      <c r="AO1117" s="1544"/>
      <c r="AP1117" s="1544"/>
    </row>
    <row r="1118" spans="1:42" s="1818" customFormat="1" ht="23.25" customHeight="1">
      <c r="A1118" s="1284"/>
      <c r="B1118" s="1284"/>
      <c r="C1118" s="1284"/>
      <c r="D1118" s="1284"/>
      <c r="E1118" s="8884" t="s">
        <v>682</v>
      </c>
      <c r="F1118" s="8884"/>
      <c r="G1118" s="8884"/>
      <c r="H1118" s="8884"/>
      <c r="I1118" s="8904"/>
      <c r="J1118" s="8904"/>
      <c r="K1118" s="8881" t="str">
        <f>J1117&amp;".1"</f>
        <v>68.1.1.1.1.1</v>
      </c>
      <c r="L1118" s="1290"/>
      <c r="M1118" s="1696"/>
      <c r="N1118" s="1696"/>
      <c r="O1118" s="1696"/>
      <c r="P1118" s="8882"/>
      <c r="Q1118" s="8882"/>
      <c r="R1118" s="278">
        <v>1</v>
      </c>
      <c r="S1118" s="1810" t="str">
        <f>$K1118</f>
        <v>68.1.1.1.1.1</v>
      </c>
      <c r="T1118" s="1357" t="s">
        <v>962</v>
      </c>
      <c r="U1118" s="214"/>
      <c r="V1118" s="666"/>
      <c r="W1118" s="666"/>
      <c r="X1118" s="1181"/>
      <c r="Y1118" s="8886"/>
      <c r="Z1118" s="8734" t="s">
        <v>63</v>
      </c>
      <c r="AA1118" s="8886"/>
      <c r="AB1118" s="8734" t="s">
        <v>63</v>
      </c>
      <c r="AC1118" s="666">
        <v>788.94</v>
      </c>
      <c r="AD1118" s="666"/>
      <c r="AE1118" s="1181"/>
      <c r="AF1118" s="8886">
        <v>45292</v>
      </c>
      <c r="AG1118" s="8734" t="s">
        <v>63</v>
      </c>
      <c r="AH1118" s="8905">
        <v>45657</v>
      </c>
      <c r="AI1118" s="8734" t="s">
        <v>63</v>
      </c>
      <c r="AJ1118" s="1358"/>
      <c r="AK111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18" s="1562" t="e">
        <f ca="1">STRCHECKDATE(V1119:AJ1119)</f>
        <v>#NAME?</v>
      </c>
      <c r="AM1118" s="1544"/>
      <c r="AN1118" s="1544" t="str">
        <f t="shared" si="17"/>
        <v>Тариф для населения, руб. за 1 куб. метр с НДС</v>
      </c>
      <c r="AO1118" s="1544"/>
      <c r="AP1118" s="1544"/>
    </row>
    <row r="1119" spans="1:42" s="1818" customFormat="1" ht="14.25" customHeight="1">
      <c r="A1119" s="1284"/>
      <c r="B1119" s="1284"/>
      <c r="C1119" s="1284"/>
      <c r="D1119" s="1284"/>
      <c r="E1119" s="8884" t="s">
        <v>682</v>
      </c>
      <c r="F1119" s="8884"/>
      <c r="G1119" s="8884"/>
      <c r="H1119" s="8884"/>
      <c r="I1119" s="8904"/>
      <c r="J1119" s="8904"/>
      <c r="K1119" s="8881"/>
      <c r="L1119" s="1290"/>
      <c r="M1119" s="1696"/>
      <c r="N1119" s="1696"/>
      <c r="O1119" s="1696"/>
      <c r="P1119" s="8882"/>
      <c r="Q1119" s="8882"/>
      <c r="R1119" s="278"/>
      <c r="S1119" s="1815"/>
      <c r="T1119" s="214"/>
      <c r="U1119" s="214"/>
      <c r="V1119" s="246"/>
      <c r="W1119" s="246"/>
      <c r="X1119" s="250" t="str">
        <f>Y1118&amp;"-"&amp;AA1118</f>
        <v>-</v>
      </c>
      <c r="Y1119" s="8887"/>
      <c r="Z1119" s="8734"/>
      <c r="AA1119" s="8887"/>
      <c r="AB1119" s="8734"/>
      <c r="AC1119" s="246"/>
      <c r="AD1119" s="246"/>
      <c r="AE1119" s="250" t="str">
        <f>AF1118&amp;"-"&amp;AH1118</f>
        <v>45292-45657</v>
      </c>
      <c r="AF1119" s="8887"/>
      <c r="AG1119" s="8734"/>
      <c r="AH1119" s="8906"/>
      <c r="AI1119" s="8734"/>
      <c r="AJ1119" s="1359"/>
      <c r="AK1119" s="8941"/>
      <c r="AL1119" s="1562"/>
      <c r="AM1119" s="1544"/>
      <c r="AN1119" s="1544" t="str">
        <f t="shared" si="17"/>
        <v/>
      </c>
      <c r="AO1119" s="1544"/>
      <c r="AP1119" s="1544"/>
    </row>
    <row r="1120" spans="1:42" s="1818" customFormat="1" ht="21" customHeight="1">
      <c r="A1120" s="1284"/>
      <c r="B1120" s="1284"/>
      <c r="C1120" s="1284"/>
      <c r="D1120" s="1284"/>
      <c r="E1120" s="8884" t="s">
        <v>682</v>
      </c>
      <c r="F1120" s="8884"/>
      <c r="G1120" s="8884"/>
      <c r="H1120" s="8884"/>
      <c r="I1120" s="8904"/>
      <c r="J1120" s="8881"/>
      <c r="K1120" s="1284"/>
      <c r="L1120" s="1290"/>
      <c r="M1120" s="1696"/>
      <c r="N1120" s="1696"/>
      <c r="O1120" s="1696"/>
      <c r="P1120" s="8882"/>
      <c r="Q1120" s="8882"/>
      <c r="R1120" s="277"/>
      <c r="S1120" s="6757"/>
      <c r="T1120" s="6758" t="s">
        <v>948</v>
      </c>
      <c r="U1120" s="6759"/>
      <c r="V1120" s="6760"/>
      <c r="W1120" s="6761"/>
      <c r="X1120" s="6762"/>
      <c r="Y1120" s="6763"/>
      <c r="Z1120" s="6764"/>
      <c r="AA1120" s="6765"/>
      <c r="AB1120" s="6766"/>
      <c r="AC1120" s="6767"/>
      <c r="AD1120" s="6768"/>
      <c r="AE1120" s="6769"/>
      <c r="AF1120" s="6770"/>
      <c r="AG1120" s="6771"/>
      <c r="AH1120" s="6772"/>
      <c r="AI1120" s="6773"/>
      <c r="AJ1120" s="6774"/>
      <c r="AK1120" s="1182" t="s">
        <v>949</v>
      </c>
      <c r="AL1120" s="1562"/>
      <c r="AM1120" s="1544"/>
      <c r="AN1120" s="1544" t="str">
        <f t="shared" si="17"/>
        <v>Добавить значение признака дифференциации</v>
      </c>
      <c r="AO1120" s="1544"/>
      <c r="AP1120" s="1544"/>
    </row>
    <row r="1121" spans="1:42" s="1818" customFormat="1" ht="23.25" customHeight="1">
      <c r="A1121" s="1284"/>
      <c r="B1121" s="1284"/>
      <c r="C1121" s="1284"/>
      <c r="D1121" s="1284"/>
      <c r="E1121" s="8884"/>
      <c r="F1121" s="8884"/>
      <c r="G1121" s="8884"/>
      <c r="H1121" s="8884"/>
      <c r="I1121" s="8904"/>
      <c r="J1121" s="8881" t="str">
        <f>I1116&amp;".2"</f>
        <v>68.1.1.1.2</v>
      </c>
      <c r="K1121" s="1284"/>
      <c r="L1121" s="1290" t="s">
        <v>871</v>
      </c>
      <c r="M1121" s="1696"/>
      <c r="N1121" s="1696"/>
      <c r="O1121" s="1696"/>
      <c r="P1121" s="8882"/>
      <c r="Q1121" s="8948" t="s">
        <v>100</v>
      </c>
      <c r="R1121" s="278"/>
      <c r="S1121" s="1810" t="str">
        <f>$J1121</f>
        <v>68.1.1.1.2</v>
      </c>
      <c r="T1121" s="201" t="s">
        <v>872</v>
      </c>
      <c r="U1121" s="214"/>
      <c r="V1121" s="8872"/>
      <c r="W1121" s="8873"/>
      <c r="X1121" s="8873"/>
      <c r="Y1121" s="8873"/>
      <c r="Z1121" s="8873"/>
      <c r="AA1121" s="8873"/>
      <c r="AB1121" s="8874"/>
      <c r="AC1121" s="8872" t="s">
        <v>963</v>
      </c>
      <c r="AD1121" s="8873"/>
      <c r="AE1121" s="8873"/>
      <c r="AF1121" s="8873"/>
      <c r="AG1121" s="8873"/>
      <c r="AH1121" s="8873"/>
      <c r="AI1121" s="8873"/>
      <c r="AJ1121" s="8874"/>
      <c r="AK1121" s="1231" t="s">
        <v>947</v>
      </c>
      <c r="AL1121" s="1562"/>
      <c r="AM1121" s="1544"/>
      <c r="AN1121" s="1544" t="str">
        <f t="shared" si="17"/>
        <v>Группа потребителей</v>
      </c>
      <c r="AO1121" s="1544"/>
      <c r="AP1121" s="1544"/>
    </row>
    <row r="1122" spans="1:42" s="1818" customFormat="1" ht="23.25" customHeight="1">
      <c r="A1122" s="1284"/>
      <c r="B1122" s="1284"/>
      <c r="C1122" s="1284"/>
      <c r="D1122" s="1284"/>
      <c r="E1122" s="8884"/>
      <c r="F1122" s="8884"/>
      <c r="G1122" s="8884"/>
      <c r="H1122" s="8884"/>
      <c r="I1122" s="8904"/>
      <c r="J1122" s="8904" t="str">
        <f>I1116&amp;".1"</f>
        <v>68.1.1.1.1</v>
      </c>
      <c r="K1122" s="8881" t="str">
        <f>J1121&amp;".1"</f>
        <v>68.1.1.1.2.1</v>
      </c>
      <c r="L1122" s="1290"/>
      <c r="M1122" s="1696"/>
      <c r="N1122" s="1696"/>
      <c r="O1122" s="1696"/>
      <c r="P1122" s="8882"/>
      <c r="Q1122" s="8882"/>
      <c r="R1122" s="278">
        <v>1</v>
      </c>
      <c r="S1122" s="1810" t="str">
        <f>$K1122</f>
        <v>68.1.1.1.2.1</v>
      </c>
      <c r="T1122" s="1357" t="s">
        <v>964</v>
      </c>
      <c r="U1122" s="214"/>
      <c r="V1122" s="666"/>
      <c r="W1122" s="666"/>
      <c r="X1122" s="1181"/>
      <c r="Y1122" s="8886"/>
      <c r="Z1122" s="8734" t="s">
        <v>63</v>
      </c>
      <c r="AA1122" s="8886"/>
      <c r="AB1122" s="8734" t="s">
        <v>63</v>
      </c>
      <c r="AC1122" s="666">
        <v>657.45</v>
      </c>
      <c r="AD1122" s="666"/>
      <c r="AE1122" s="1181"/>
      <c r="AF1122" s="8886">
        <v>45292</v>
      </c>
      <c r="AG1122" s="8734" t="s">
        <v>63</v>
      </c>
      <c r="AH1122" s="8905">
        <v>45657</v>
      </c>
      <c r="AI1122" s="8734" t="s">
        <v>63</v>
      </c>
      <c r="AJ1122" s="1358"/>
      <c r="AK1122"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22" s="1562" t="e">
        <f ca="1">STRCHECKDATE(V1123:AJ1123)</f>
        <v>#NAME?</v>
      </c>
      <c r="AM1122" s="1544"/>
      <c r="AN1122" s="1544" t="str">
        <f t="shared" si="17"/>
        <v>Тариф, руб. за 1 куб. метр без НДС</v>
      </c>
      <c r="AO1122" s="1544"/>
      <c r="AP1122" s="1544"/>
    </row>
    <row r="1123" spans="1:42" s="1818" customFormat="1" ht="14.25" customHeight="1">
      <c r="A1123" s="1284"/>
      <c r="B1123" s="1284"/>
      <c r="C1123" s="1284"/>
      <c r="D1123" s="1284"/>
      <c r="E1123" s="8884"/>
      <c r="F1123" s="8884"/>
      <c r="G1123" s="8884"/>
      <c r="H1123" s="8884"/>
      <c r="I1123" s="8904"/>
      <c r="J1123" s="8904" t="str">
        <f>I1116&amp;".1"</f>
        <v>68.1.1.1.1</v>
      </c>
      <c r="K1123" s="8881"/>
      <c r="L1123" s="1290"/>
      <c r="M1123" s="1696"/>
      <c r="N1123" s="1696"/>
      <c r="O1123" s="1696"/>
      <c r="P1123" s="8882"/>
      <c r="Q1123" s="8882"/>
      <c r="R1123" s="278"/>
      <c r="S1123" s="1815"/>
      <c r="T1123" s="214"/>
      <c r="U1123" s="214"/>
      <c r="V1123" s="246"/>
      <c r="W1123" s="246"/>
      <c r="X1123" s="250" t="str">
        <f>Y1122&amp;"-"&amp;AA1122</f>
        <v>-</v>
      </c>
      <c r="Y1123" s="8887"/>
      <c r="Z1123" s="8734"/>
      <c r="AA1123" s="8887"/>
      <c r="AB1123" s="8734"/>
      <c r="AC1123" s="246"/>
      <c r="AD1123" s="246"/>
      <c r="AE1123" s="250" t="str">
        <f>AF1122&amp;"-"&amp;AH1122</f>
        <v>45292-45657</v>
      </c>
      <c r="AF1123" s="8887"/>
      <c r="AG1123" s="8734"/>
      <c r="AH1123" s="8906"/>
      <c r="AI1123" s="8734"/>
      <c r="AJ1123" s="1359"/>
      <c r="AK1123" s="8941"/>
      <c r="AL1123" s="1562"/>
      <c r="AM1123" s="1544"/>
      <c r="AN1123" s="1544" t="str">
        <f t="shared" si="17"/>
        <v/>
      </c>
      <c r="AO1123" s="1544"/>
      <c r="AP1123" s="1544"/>
    </row>
    <row r="1124" spans="1:42" s="1818" customFormat="1" ht="21" customHeight="1">
      <c r="A1124" s="1284"/>
      <c r="B1124" s="1284"/>
      <c r="C1124" s="1284"/>
      <c r="D1124" s="1284"/>
      <c r="E1124" s="8884"/>
      <c r="F1124" s="8884"/>
      <c r="G1124" s="8884"/>
      <c r="H1124" s="8884"/>
      <c r="I1124" s="8904"/>
      <c r="J1124" s="8881" t="str">
        <f>I1116&amp;".1"</f>
        <v>68.1.1.1.1</v>
      </c>
      <c r="K1124" s="1284"/>
      <c r="L1124" s="1290"/>
      <c r="M1124" s="1696"/>
      <c r="N1124" s="1696"/>
      <c r="O1124" s="1696"/>
      <c r="P1124" s="8882"/>
      <c r="Q1124" s="8882"/>
      <c r="R1124" s="277"/>
      <c r="S1124" s="6775"/>
      <c r="T1124" s="6776" t="s">
        <v>948</v>
      </c>
      <c r="U1124" s="6777"/>
      <c r="V1124" s="6778"/>
      <c r="W1124" s="6779"/>
      <c r="X1124" s="6780"/>
      <c r="Y1124" s="6781"/>
      <c r="Z1124" s="6782"/>
      <c r="AA1124" s="6783"/>
      <c r="AB1124" s="6784"/>
      <c r="AC1124" s="6785"/>
      <c r="AD1124" s="6786"/>
      <c r="AE1124" s="6787"/>
      <c r="AF1124" s="6788"/>
      <c r="AG1124" s="6789"/>
      <c r="AH1124" s="6790"/>
      <c r="AI1124" s="6791"/>
      <c r="AJ1124" s="6792"/>
      <c r="AK1124" s="1182" t="s">
        <v>949</v>
      </c>
      <c r="AL1124" s="1562"/>
      <c r="AM1124" s="1544"/>
      <c r="AN1124" s="1544" t="str">
        <f t="shared" si="17"/>
        <v>Добавить значение признака дифференциации</v>
      </c>
      <c r="AO1124" s="1544"/>
      <c r="AP1124" s="1544"/>
    </row>
    <row r="1125" spans="1:42" s="1818" customFormat="1" ht="21" customHeight="1">
      <c r="A1125" s="1284"/>
      <c r="B1125" s="1284"/>
      <c r="C1125" s="1284"/>
      <c r="D1125" s="1284"/>
      <c r="E1125" s="8884" t="s">
        <v>682</v>
      </c>
      <c r="F1125" s="8884"/>
      <c r="G1125" s="8884"/>
      <c r="H1125" s="8884"/>
      <c r="I1125" s="8881"/>
      <c r="J1125" s="1284"/>
      <c r="K1125" s="1284"/>
      <c r="L1125" s="1290"/>
      <c r="M1125" s="1696"/>
      <c r="N1125" s="1696"/>
      <c r="O1125" s="1696"/>
      <c r="P1125" s="8882"/>
      <c r="Q1125" s="1811"/>
      <c r="R1125" s="277"/>
      <c r="S1125" s="6793"/>
      <c r="T1125" s="6794" t="s">
        <v>877</v>
      </c>
      <c r="U1125" s="6795"/>
      <c r="V1125" s="6796"/>
      <c r="W1125" s="6797"/>
      <c r="X1125" s="6798"/>
      <c r="Y1125" s="6799"/>
      <c r="Z1125" s="6800"/>
      <c r="AA1125" s="6801"/>
      <c r="AB1125" s="6802"/>
      <c r="AC1125" s="6803"/>
      <c r="AD1125" s="6804"/>
      <c r="AE1125" s="6805"/>
      <c r="AF1125" s="6806"/>
      <c r="AG1125" s="6807"/>
      <c r="AH1125" s="6808"/>
      <c r="AI1125" s="6809"/>
      <c r="AJ1125" s="6810"/>
      <c r="AK1125" s="6811"/>
      <c r="AL1125" s="1562"/>
      <c r="AM1125" s="1544"/>
      <c r="AN1125" s="1544" t="str">
        <f t="shared" si="17"/>
        <v>Добавить группу потребителей</v>
      </c>
      <c r="AO1125" s="1544"/>
      <c r="AP1125" s="1544"/>
    </row>
    <row r="1126" spans="1:42" s="1818" customFormat="1" ht="21" customHeight="1">
      <c r="A1126" s="1284"/>
      <c r="B1126" s="1284"/>
      <c r="C1126" s="1284"/>
      <c r="D1126" s="1284"/>
      <c r="E1126" s="8884" t="s">
        <v>682</v>
      </c>
      <c r="F1126" s="8884"/>
      <c r="G1126" s="8884"/>
      <c r="H1126" s="8883"/>
      <c r="I1126" s="1284"/>
      <c r="J1126" s="1284"/>
      <c r="K1126" s="1284"/>
      <c r="L1126" s="1290"/>
      <c r="M1126" s="1286"/>
      <c r="N1126" s="1286"/>
      <c r="O1126" s="1287"/>
      <c r="P1126" s="1742"/>
      <c r="Q1126" s="299"/>
      <c r="R1126" s="276"/>
      <c r="S1126" s="6812"/>
      <c r="T1126" s="6813" t="s">
        <v>950</v>
      </c>
      <c r="U1126" s="6814"/>
      <c r="V1126" s="6815"/>
      <c r="W1126" s="6816"/>
      <c r="X1126" s="6817"/>
      <c r="Y1126" s="6818"/>
      <c r="Z1126" s="6819"/>
      <c r="AA1126" s="6820"/>
      <c r="AB1126" s="6821"/>
      <c r="AC1126" s="6822"/>
      <c r="AD1126" s="6823"/>
      <c r="AE1126" s="6824"/>
      <c r="AF1126" s="6825"/>
      <c r="AG1126" s="6826"/>
      <c r="AH1126" s="6827"/>
      <c r="AI1126" s="6828"/>
      <c r="AJ1126" s="6829"/>
      <c r="AK1126" s="6830"/>
      <c r="AL1126" s="1562"/>
      <c r="AM1126" s="1544"/>
      <c r="AN1126" s="1544" t="str">
        <f t="shared" si="17"/>
        <v>Добавить наименование признака дифференциации</v>
      </c>
      <c r="AO1126" s="1544"/>
      <c r="AP1126" s="1544"/>
    </row>
    <row r="1127" spans="1:42" s="541" customFormat="1" ht="14.25" customHeight="1">
      <c r="A1127" s="1265"/>
      <c r="B1127" s="1265"/>
      <c r="C1127" s="1265"/>
      <c r="D1127" s="1265"/>
      <c r="E1127" s="8884" t="s">
        <v>682</v>
      </c>
      <c r="F1127" s="8883"/>
      <c r="G1127" s="1265"/>
      <c r="H1127" s="1265"/>
      <c r="I1127" s="1265"/>
      <c r="J1127" s="1265"/>
      <c r="K1127" s="1265"/>
      <c r="L1127" s="1466"/>
      <c r="M1127" s="1244"/>
      <c r="N1127" s="1244"/>
      <c r="O1127" s="1562"/>
      <c r="P1127" s="1239"/>
      <c r="Q1127" s="1266"/>
      <c r="R1127" s="1239"/>
      <c r="S1127" s="1245"/>
      <c r="T1127" s="1248" t="s">
        <v>314</v>
      </c>
      <c r="U1127" s="1247"/>
      <c r="V1127" s="1247"/>
      <c r="W1127" s="1247"/>
      <c r="X1127" s="1247"/>
      <c r="Y1127" s="1247"/>
      <c r="Z1127" s="1247"/>
      <c r="AA1127" s="1247"/>
      <c r="AB1127" s="1247"/>
      <c r="AC1127" s="1247"/>
      <c r="AD1127" s="1247"/>
      <c r="AE1127" s="1247"/>
      <c r="AF1127" s="1247"/>
      <c r="AG1127" s="1247"/>
      <c r="AH1127" s="1247"/>
      <c r="AI1127" s="1247"/>
      <c r="AJ1127" s="1247"/>
      <c r="AK1127" s="1247"/>
      <c r="AL1127" s="1562"/>
      <c r="AM1127" s="1544"/>
      <c r="AN1127" s="1544" t="str">
        <f t="shared" si="17"/>
        <v>Добавить централизованную систему для дифференциации</v>
      </c>
      <c r="AO1127" s="1544"/>
      <c r="AP1127" s="1544"/>
    </row>
    <row r="1128" spans="1:42" s="541" customFormat="1" ht="14.25" customHeight="1">
      <c r="A1128" s="1265"/>
      <c r="B1128" s="1265"/>
      <c r="C1128" s="1265"/>
      <c r="D1128" s="1265"/>
      <c r="E1128" s="8883" t="s">
        <v>682</v>
      </c>
      <c r="F1128" s="1265"/>
      <c r="G1128" s="1265"/>
      <c r="H1128" s="1265"/>
      <c r="I1128" s="1265"/>
      <c r="J1128" s="1265"/>
      <c r="K1128" s="1265"/>
      <c r="L1128" s="1466"/>
      <c r="M1128" s="1244"/>
      <c r="N1128" s="1244"/>
      <c r="O1128" s="1562"/>
      <c r="P1128" s="1239"/>
      <c r="Q1128" s="1266"/>
      <c r="R1128" s="1239"/>
      <c r="S1128" s="1245"/>
      <c r="T1128" s="1248" t="s">
        <v>315</v>
      </c>
      <c r="U1128" s="1247"/>
      <c r="V1128" s="1247"/>
      <c r="W1128" s="1247"/>
      <c r="X1128" s="1247"/>
      <c r="Y1128" s="1247"/>
      <c r="Z1128" s="1247"/>
      <c r="AA1128" s="1247"/>
      <c r="AB1128" s="1247"/>
      <c r="AC1128" s="1247"/>
      <c r="AD1128" s="1247"/>
      <c r="AE1128" s="1247"/>
      <c r="AF1128" s="1247"/>
      <c r="AG1128" s="1247"/>
      <c r="AH1128" s="1247"/>
      <c r="AI1128" s="1247"/>
      <c r="AJ1128" s="1247"/>
      <c r="AK1128" s="1247"/>
      <c r="AL1128" s="1562"/>
      <c r="AM1128" s="1544"/>
      <c r="AN1128" s="1544" t="str">
        <f t="shared" si="17"/>
        <v>Добавить территорию для дифференциации</v>
      </c>
      <c r="AO1128" s="1544"/>
      <c r="AP1128" s="1544"/>
    </row>
    <row r="1129" spans="1:42" s="1818" customFormat="1" ht="23.25" customHeight="1">
      <c r="A1129" s="1284" t="s">
        <v>696</v>
      </c>
      <c r="B1129" s="1284"/>
      <c r="C1129" s="1284"/>
      <c r="D1129" s="1284"/>
      <c r="E1129" s="8883" t="s">
        <v>694</v>
      </c>
      <c r="F1129" s="1284"/>
      <c r="G1129" s="1284"/>
      <c r="H1129" s="1284"/>
      <c r="I1129" s="1284"/>
      <c r="J1129" s="1284"/>
      <c r="K1129" s="1284"/>
      <c r="L1129" s="1290"/>
      <c r="M1129" s="1286"/>
      <c r="N1129" s="1286"/>
      <c r="O1129" s="1286"/>
      <c r="P1129" s="1812"/>
      <c r="Q1129" s="1742"/>
      <c r="R1129" s="276"/>
      <c r="S1129" s="1810" t="str">
        <f>INDEX(PT_DIFFERENTIATION_NUM_NTAR,MATCH(A1129,PT_DIFFERENTIATION_NTAR_ID,0))</f>
        <v>69</v>
      </c>
      <c r="T1129" s="1440" t="s">
        <v>211</v>
      </c>
      <c r="U1129" s="214"/>
      <c r="V1129" s="8869"/>
      <c r="W1129" s="8870"/>
      <c r="X1129" s="8870"/>
      <c r="Y1129" s="8870"/>
      <c r="Z1129" s="8870"/>
      <c r="AA1129" s="8870"/>
      <c r="AB1129" s="8871"/>
      <c r="AC1129" s="8869" t="str">
        <f>INDEX(PT_DIFFERENTIATION_NTAR,MATCH(A1129,PT_DIFFERENTIATION_NTAR_ID,0))</f>
        <v>Подвоз воды потребителям хутора Сычёвского</v>
      </c>
      <c r="AD1129" s="8870"/>
      <c r="AE1129" s="8870"/>
      <c r="AF1129" s="8870"/>
      <c r="AG1129" s="8870"/>
      <c r="AH1129" s="8870"/>
      <c r="AI1129" s="8870"/>
      <c r="AJ1129" s="8871"/>
      <c r="AK112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129" s="1562"/>
      <c r="AM1129" s="1544"/>
      <c r="AN1129" s="1544" t="str">
        <f t="shared" ref="AN1129:AN1161" si="18">IF(T1129="","",T1129)</f>
        <v>Наименование тарифа</v>
      </c>
      <c r="AO1129" s="1544"/>
      <c r="AP1129" s="1544"/>
    </row>
    <row r="1130" spans="1:42" s="1818" customFormat="1" ht="23.25" customHeight="1">
      <c r="A1130" s="1284"/>
      <c r="B1130" s="1284" t="s">
        <v>697</v>
      </c>
      <c r="C1130" s="1284"/>
      <c r="D1130" s="1284"/>
      <c r="E1130" s="8884" t="s">
        <v>688</v>
      </c>
      <c r="F1130" s="8883">
        <v>1</v>
      </c>
      <c r="G1130" s="1284"/>
      <c r="H1130" s="1284"/>
      <c r="I1130" s="1284"/>
      <c r="J1130" s="1284"/>
      <c r="K1130" s="1284"/>
      <c r="L1130" s="1290"/>
      <c r="M1130" s="1286"/>
      <c r="N1130" s="1286"/>
      <c r="O1130" s="1286"/>
      <c r="P1130" s="1807"/>
      <c r="Q1130" s="273"/>
      <c r="R1130" s="274"/>
      <c r="S1130" s="1810" t="str">
        <f>INDEX(PT_DIFFERENTIATION_NUM_TER,MATCH(B1130,PT_DIFFERENTIATION_TER_ID,0))</f>
        <v>69.1</v>
      </c>
      <c r="T1130" s="1437" t="s">
        <v>862</v>
      </c>
      <c r="U1130" s="214"/>
      <c r="V1130" s="8869"/>
      <c r="W1130" s="8870"/>
      <c r="X1130" s="8870"/>
      <c r="Y1130" s="8870"/>
      <c r="Z1130" s="8870"/>
      <c r="AA1130" s="8870"/>
      <c r="AB1130" s="8871"/>
      <c r="AC1130" s="8869" t="str">
        <f>INDEX(PT_DIFFERENTIATION_TER,MATCH(B1130,PT_DIFFERENTIATION_TER_ID,0))</f>
        <v>Территория 20</v>
      </c>
      <c r="AD1130" s="8870"/>
      <c r="AE1130" s="8870"/>
      <c r="AF1130" s="8870"/>
      <c r="AG1130" s="8870"/>
      <c r="AH1130" s="8870"/>
      <c r="AI1130" s="8870"/>
      <c r="AJ1130" s="8871"/>
      <c r="AK1130" s="1182" t="s">
        <v>863</v>
      </c>
      <c r="AL1130" s="1562"/>
      <c r="AM1130" s="1544"/>
      <c r="AN1130" s="1544" t="str">
        <f t="shared" si="18"/>
        <v>Территория действия тарифа</v>
      </c>
      <c r="AO1130" s="1544"/>
      <c r="AP1130" s="1544"/>
    </row>
    <row r="1131" spans="1:42" s="1818" customFormat="1" ht="23.25" customHeight="1">
      <c r="A1131" s="1284"/>
      <c r="B1131" s="1284"/>
      <c r="C1131" s="1284" t="s">
        <v>698</v>
      </c>
      <c r="D1131" s="1284"/>
      <c r="E1131" s="8884" t="s">
        <v>688</v>
      </c>
      <c r="F1131" s="8884"/>
      <c r="G1131" s="8883">
        <v>1</v>
      </c>
      <c r="H1131" s="1284"/>
      <c r="I1131" s="1284"/>
      <c r="J1131" s="1284"/>
      <c r="K1131" s="1284"/>
      <c r="L1131" s="1290"/>
      <c r="M1131" s="1286"/>
      <c r="N1131" s="1286"/>
      <c r="O1131" s="1286"/>
      <c r="P1131" s="275"/>
      <c r="Q1131" s="273"/>
      <c r="R1131" s="274"/>
      <c r="S1131" s="1810" t="str">
        <f>INDEX(PT_DIFFERENTIATION_NUM_CS,MATCH(C1131,PT_DIFFERENTIATION_CS_ID,0))</f>
        <v>69.1.1</v>
      </c>
      <c r="T1131" s="225" t="s">
        <v>943</v>
      </c>
      <c r="U1131" s="214"/>
      <c r="V1131" s="8869"/>
      <c r="W1131" s="8870"/>
      <c r="X1131" s="8870"/>
      <c r="Y1131" s="8870"/>
      <c r="Z1131" s="8870"/>
      <c r="AA1131" s="8870"/>
      <c r="AB1131" s="8871"/>
      <c r="AC1131" s="8869" t="str">
        <f>INDEX(PT_DIFFERENTIATION_CS,MATCH(C1131,PT_DIFFERENTIATION_CS_ID,0))</f>
        <v>без дифференциации</v>
      </c>
      <c r="AD1131" s="8870"/>
      <c r="AE1131" s="8870"/>
      <c r="AF1131" s="8870"/>
      <c r="AG1131" s="8870"/>
      <c r="AH1131" s="8870"/>
      <c r="AI1131" s="8870"/>
      <c r="AJ1131" s="8871"/>
      <c r="AK1131" s="1182" t="s">
        <v>944</v>
      </c>
      <c r="AL1131" s="1562"/>
      <c r="AM1131" s="1544"/>
      <c r="AN1131" s="1544" t="str">
        <f t="shared" si="18"/>
        <v>Наименование централизованной системы холодного водоснабжения</v>
      </c>
      <c r="AO1131" s="1544"/>
      <c r="AP1131" s="1544"/>
    </row>
    <row r="1132" spans="1:42" s="1818" customFormat="1" ht="23.25" customHeight="1">
      <c r="A1132" s="1284"/>
      <c r="B1132" s="1284"/>
      <c r="C1132" s="1284"/>
      <c r="D1132" s="1284"/>
      <c r="E1132" s="8884" t="s">
        <v>688</v>
      </c>
      <c r="F1132" s="8884"/>
      <c r="G1132" s="8884"/>
      <c r="H1132" s="8884"/>
      <c r="I1132" s="8881" t="str">
        <f>S1131&amp;".1"</f>
        <v>69.1.1.1</v>
      </c>
      <c r="J1132" s="1284"/>
      <c r="K1132" s="1284"/>
      <c r="L1132" s="1290"/>
      <c r="M1132" s="1696"/>
      <c r="N1132" s="1696"/>
      <c r="O1132" s="1696"/>
      <c r="P1132" s="8882">
        <v>1</v>
      </c>
      <c r="Q1132" s="1811"/>
      <c r="R1132" s="277"/>
      <c r="S1132" s="1810" t="str">
        <f>$I1132</f>
        <v>69.1.1.1</v>
      </c>
      <c r="T1132" s="200" t="s">
        <v>945</v>
      </c>
      <c r="U1132" s="214"/>
      <c r="V1132" s="8942"/>
      <c r="W1132" s="8943"/>
      <c r="X1132" s="8943"/>
      <c r="Y1132" s="8943"/>
      <c r="Z1132" s="8943"/>
      <c r="AA1132" s="8943"/>
      <c r="AB1132" s="8944"/>
      <c r="AC1132" s="8945"/>
      <c r="AD1132" s="8946"/>
      <c r="AE1132" s="8946"/>
      <c r="AF1132" s="8946"/>
      <c r="AG1132" s="8946"/>
      <c r="AH1132" s="8946"/>
      <c r="AI1132" s="8946"/>
      <c r="AJ1132" s="8947"/>
      <c r="AK1132" s="1182" t="s">
        <v>946</v>
      </c>
      <c r="AL1132" s="1562"/>
      <c r="AM1132" s="1544"/>
      <c r="AN1132" s="1544" t="str">
        <f t="shared" si="18"/>
        <v>Наименование признака дифференциации</v>
      </c>
      <c r="AO1132" s="1544"/>
      <c r="AP1132" s="1544"/>
    </row>
    <row r="1133" spans="1:42" s="1818" customFormat="1" ht="23.25" customHeight="1">
      <c r="A1133" s="1284"/>
      <c r="B1133" s="1284"/>
      <c r="C1133" s="1284"/>
      <c r="D1133" s="1284"/>
      <c r="E1133" s="8884" t="s">
        <v>688</v>
      </c>
      <c r="F1133" s="8884"/>
      <c r="G1133" s="8884"/>
      <c r="H1133" s="8884"/>
      <c r="I1133" s="8904"/>
      <c r="J1133" s="8881" t="str">
        <f>I1132&amp;".1"</f>
        <v>69.1.1.1.1</v>
      </c>
      <c r="K1133" s="1284"/>
      <c r="L1133" s="1290" t="s">
        <v>871</v>
      </c>
      <c r="M1133" s="1696"/>
      <c r="N1133" s="1696"/>
      <c r="O1133" s="1696"/>
      <c r="P1133" s="8882"/>
      <c r="Q1133" s="8882">
        <v>1</v>
      </c>
      <c r="R1133" s="278"/>
      <c r="S1133" s="1810" t="str">
        <f>$J1133</f>
        <v>69.1.1.1.1</v>
      </c>
      <c r="T1133" s="201" t="s">
        <v>872</v>
      </c>
      <c r="U1133" s="214"/>
      <c r="V1133" s="8872"/>
      <c r="W1133" s="8873"/>
      <c r="X1133" s="8873"/>
      <c r="Y1133" s="8873"/>
      <c r="Z1133" s="8873"/>
      <c r="AA1133" s="8873"/>
      <c r="AB1133" s="8874"/>
      <c r="AC1133" s="8872" t="s">
        <v>961</v>
      </c>
      <c r="AD1133" s="8873"/>
      <c r="AE1133" s="8873"/>
      <c r="AF1133" s="8873"/>
      <c r="AG1133" s="8873"/>
      <c r="AH1133" s="8873"/>
      <c r="AI1133" s="8873"/>
      <c r="AJ1133" s="8874"/>
      <c r="AK1133" s="1231" t="s">
        <v>947</v>
      </c>
      <c r="AL1133" s="1562"/>
      <c r="AM1133" s="1544"/>
      <c r="AN1133" s="1544" t="str">
        <f t="shared" si="18"/>
        <v>Группа потребителей</v>
      </c>
      <c r="AO1133" s="1544"/>
      <c r="AP1133" s="1544"/>
    </row>
    <row r="1134" spans="1:42" s="1818" customFormat="1" ht="23.25" customHeight="1">
      <c r="A1134" s="1284"/>
      <c r="B1134" s="1284"/>
      <c r="C1134" s="1284"/>
      <c r="D1134" s="1284"/>
      <c r="E1134" s="8884" t="s">
        <v>688</v>
      </c>
      <c r="F1134" s="8884"/>
      <c r="G1134" s="8884"/>
      <c r="H1134" s="8884"/>
      <c r="I1134" s="8904"/>
      <c r="J1134" s="8904"/>
      <c r="K1134" s="8881" t="str">
        <f>J1133&amp;".1"</f>
        <v>69.1.1.1.1.1</v>
      </c>
      <c r="L1134" s="1290"/>
      <c r="M1134" s="1696"/>
      <c r="N1134" s="1696"/>
      <c r="O1134" s="1696"/>
      <c r="P1134" s="8882"/>
      <c r="Q1134" s="8882"/>
      <c r="R1134" s="278">
        <v>1</v>
      </c>
      <c r="S1134" s="1810" t="str">
        <f>$K1134</f>
        <v>69.1.1.1.1.1</v>
      </c>
      <c r="T1134" s="1357" t="s">
        <v>962</v>
      </c>
      <c r="U1134" s="214"/>
      <c r="V1134" s="666"/>
      <c r="W1134" s="666"/>
      <c r="X1134" s="1181"/>
      <c r="Y1134" s="8886"/>
      <c r="Z1134" s="8734" t="s">
        <v>63</v>
      </c>
      <c r="AA1134" s="8886"/>
      <c r="AB1134" s="8734" t="s">
        <v>63</v>
      </c>
      <c r="AC1134" s="666">
        <v>395.32</v>
      </c>
      <c r="AD1134" s="666"/>
      <c r="AE1134" s="1181"/>
      <c r="AF1134" s="8886">
        <v>45292</v>
      </c>
      <c r="AG1134" s="8734" t="s">
        <v>63</v>
      </c>
      <c r="AH1134" s="8905">
        <v>45657</v>
      </c>
      <c r="AI1134" s="8734" t="s">
        <v>63</v>
      </c>
      <c r="AJ1134" s="1358"/>
      <c r="AK113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34" s="1562" t="e">
        <f ca="1">STRCHECKDATE(V1135:AJ1135)</f>
        <v>#NAME?</v>
      </c>
      <c r="AM1134" s="1544"/>
      <c r="AN1134" s="1544" t="str">
        <f t="shared" si="18"/>
        <v>Тариф для населения, руб. за 1 куб. метр с НДС</v>
      </c>
      <c r="AO1134" s="1544"/>
      <c r="AP1134" s="1544"/>
    </row>
    <row r="1135" spans="1:42" s="1818" customFormat="1" ht="14.25" customHeight="1">
      <c r="A1135" s="1284"/>
      <c r="B1135" s="1284"/>
      <c r="C1135" s="1284"/>
      <c r="D1135" s="1284"/>
      <c r="E1135" s="8884" t="s">
        <v>688</v>
      </c>
      <c r="F1135" s="8884"/>
      <c r="G1135" s="8884"/>
      <c r="H1135" s="8884"/>
      <c r="I1135" s="8904"/>
      <c r="J1135" s="8904"/>
      <c r="K1135" s="8881"/>
      <c r="L1135" s="1290"/>
      <c r="M1135" s="1696"/>
      <c r="N1135" s="1696"/>
      <c r="O1135" s="1696"/>
      <c r="P1135" s="8882"/>
      <c r="Q1135" s="8882"/>
      <c r="R1135" s="278"/>
      <c r="S1135" s="1815"/>
      <c r="T1135" s="214"/>
      <c r="U1135" s="214"/>
      <c r="V1135" s="246"/>
      <c r="W1135" s="246"/>
      <c r="X1135" s="250" t="str">
        <f>Y1134&amp;"-"&amp;AA1134</f>
        <v>-</v>
      </c>
      <c r="Y1135" s="8887"/>
      <c r="Z1135" s="8734"/>
      <c r="AA1135" s="8887"/>
      <c r="AB1135" s="8734"/>
      <c r="AC1135" s="246"/>
      <c r="AD1135" s="246"/>
      <c r="AE1135" s="250" t="str">
        <f>AF1134&amp;"-"&amp;AH1134</f>
        <v>45292-45657</v>
      </c>
      <c r="AF1135" s="8887"/>
      <c r="AG1135" s="8734"/>
      <c r="AH1135" s="8906"/>
      <c r="AI1135" s="8734"/>
      <c r="AJ1135" s="1359"/>
      <c r="AK1135" s="8941"/>
      <c r="AL1135" s="1562"/>
      <c r="AM1135" s="1544"/>
      <c r="AN1135" s="1544" t="str">
        <f t="shared" si="18"/>
        <v/>
      </c>
      <c r="AO1135" s="1544"/>
      <c r="AP1135" s="1544"/>
    </row>
    <row r="1136" spans="1:42" s="1818" customFormat="1" ht="21" customHeight="1">
      <c r="A1136" s="1284"/>
      <c r="B1136" s="1284"/>
      <c r="C1136" s="1284"/>
      <c r="D1136" s="1284"/>
      <c r="E1136" s="8884" t="s">
        <v>688</v>
      </c>
      <c r="F1136" s="8884"/>
      <c r="G1136" s="8884"/>
      <c r="H1136" s="8884"/>
      <c r="I1136" s="8904"/>
      <c r="J1136" s="8881"/>
      <c r="K1136" s="1284"/>
      <c r="L1136" s="1290"/>
      <c r="M1136" s="1696"/>
      <c r="N1136" s="1696"/>
      <c r="O1136" s="1696"/>
      <c r="P1136" s="8882"/>
      <c r="Q1136" s="8882"/>
      <c r="R1136" s="277"/>
      <c r="S1136" s="6831"/>
      <c r="T1136" s="6832" t="s">
        <v>948</v>
      </c>
      <c r="U1136" s="6833"/>
      <c r="V1136" s="6834"/>
      <c r="W1136" s="6835"/>
      <c r="X1136" s="6836"/>
      <c r="Y1136" s="6837"/>
      <c r="Z1136" s="6838"/>
      <c r="AA1136" s="6839"/>
      <c r="AB1136" s="6840"/>
      <c r="AC1136" s="6841"/>
      <c r="AD1136" s="6842"/>
      <c r="AE1136" s="6843"/>
      <c r="AF1136" s="6844"/>
      <c r="AG1136" s="6845"/>
      <c r="AH1136" s="6846"/>
      <c r="AI1136" s="6847"/>
      <c r="AJ1136" s="6848"/>
      <c r="AK1136" s="1182" t="s">
        <v>949</v>
      </c>
      <c r="AL1136" s="1562"/>
      <c r="AM1136" s="1544"/>
      <c r="AN1136" s="1544" t="str">
        <f t="shared" si="18"/>
        <v>Добавить значение признака дифференциации</v>
      </c>
      <c r="AO1136" s="1544"/>
      <c r="AP1136" s="1544"/>
    </row>
    <row r="1137" spans="1:42" s="1818" customFormat="1" ht="23.25" customHeight="1">
      <c r="A1137" s="1284"/>
      <c r="B1137" s="1284"/>
      <c r="C1137" s="1284"/>
      <c r="D1137" s="1284"/>
      <c r="E1137" s="8884"/>
      <c r="F1137" s="8884"/>
      <c r="G1137" s="8884"/>
      <c r="H1137" s="8884"/>
      <c r="I1137" s="8904"/>
      <c r="J1137" s="8881" t="str">
        <f>I1132&amp;".2"</f>
        <v>69.1.1.1.2</v>
      </c>
      <c r="K1137" s="1284"/>
      <c r="L1137" s="1290" t="s">
        <v>871</v>
      </c>
      <c r="M1137" s="1696"/>
      <c r="N1137" s="1696"/>
      <c r="O1137" s="1696"/>
      <c r="P1137" s="8882"/>
      <c r="Q1137" s="8948" t="s">
        <v>100</v>
      </c>
      <c r="R1137" s="278"/>
      <c r="S1137" s="1810" t="str">
        <f>$J1137</f>
        <v>69.1.1.1.2</v>
      </c>
      <c r="T1137" s="201" t="s">
        <v>872</v>
      </c>
      <c r="U1137" s="214"/>
      <c r="V1137" s="8872"/>
      <c r="W1137" s="8873"/>
      <c r="X1137" s="8873"/>
      <c r="Y1137" s="8873"/>
      <c r="Z1137" s="8873"/>
      <c r="AA1137" s="8873"/>
      <c r="AB1137" s="8874"/>
      <c r="AC1137" s="8872" t="s">
        <v>963</v>
      </c>
      <c r="AD1137" s="8873"/>
      <c r="AE1137" s="8873"/>
      <c r="AF1137" s="8873"/>
      <c r="AG1137" s="8873"/>
      <c r="AH1137" s="8873"/>
      <c r="AI1137" s="8873"/>
      <c r="AJ1137" s="8874"/>
      <c r="AK1137" s="1231" t="s">
        <v>947</v>
      </c>
      <c r="AL1137" s="1562"/>
      <c r="AM1137" s="1544"/>
      <c r="AN1137" s="1544" t="str">
        <f t="shared" si="18"/>
        <v>Группа потребителей</v>
      </c>
      <c r="AO1137" s="1544"/>
      <c r="AP1137" s="1544"/>
    </row>
    <row r="1138" spans="1:42" s="1818" customFormat="1" ht="23.25" customHeight="1">
      <c r="A1138" s="1284"/>
      <c r="B1138" s="1284"/>
      <c r="C1138" s="1284"/>
      <c r="D1138" s="1284"/>
      <c r="E1138" s="8884"/>
      <c r="F1138" s="8884"/>
      <c r="G1138" s="8884"/>
      <c r="H1138" s="8884"/>
      <c r="I1138" s="8904"/>
      <c r="J1138" s="8904" t="str">
        <f>I1132&amp;".1"</f>
        <v>69.1.1.1.1</v>
      </c>
      <c r="K1138" s="8881" t="str">
        <f>J1137&amp;".1"</f>
        <v>69.1.1.1.2.1</v>
      </c>
      <c r="L1138" s="1290"/>
      <c r="M1138" s="1696"/>
      <c r="N1138" s="1696"/>
      <c r="O1138" s="1696"/>
      <c r="P1138" s="8882"/>
      <c r="Q1138" s="8882"/>
      <c r="R1138" s="278">
        <v>1</v>
      </c>
      <c r="S1138" s="1810" t="str">
        <f>$K1138</f>
        <v>69.1.1.1.2.1</v>
      </c>
      <c r="T1138" s="1357" t="s">
        <v>964</v>
      </c>
      <c r="U1138" s="214"/>
      <c r="V1138" s="666"/>
      <c r="W1138" s="666"/>
      <c r="X1138" s="1181"/>
      <c r="Y1138" s="8886"/>
      <c r="Z1138" s="8734" t="s">
        <v>63</v>
      </c>
      <c r="AA1138" s="8886"/>
      <c r="AB1138" s="8734" t="s">
        <v>63</v>
      </c>
      <c r="AC1138" s="666">
        <v>329.43</v>
      </c>
      <c r="AD1138" s="666"/>
      <c r="AE1138" s="1181"/>
      <c r="AF1138" s="8886">
        <v>45292</v>
      </c>
      <c r="AG1138" s="8734" t="s">
        <v>63</v>
      </c>
      <c r="AH1138" s="8905">
        <v>45657</v>
      </c>
      <c r="AI1138" s="8734" t="s">
        <v>63</v>
      </c>
      <c r="AJ1138" s="1358"/>
      <c r="AK1138"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38" s="1562" t="e">
        <f ca="1">STRCHECKDATE(V1139:AJ1139)</f>
        <v>#NAME?</v>
      </c>
      <c r="AM1138" s="1544"/>
      <c r="AN1138" s="1544" t="str">
        <f t="shared" si="18"/>
        <v>Тариф, руб. за 1 куб. метр без НДС</v>
      </c>
      <c r="AO1138" s="1544"/>
      <c r="AP1138" s="1544"/>
    </row>
    <row r="1139" spans="1:42" s="1818" customFormat="1" ht="14.25" customHeight="1">
      <c r="A1139" s="1284"/>
      <c r="B1139" s="1284"/>
      <c r="C1139" s="1284"/>
      <c r="D1139" s="1284"/>
      <c r="E1139" s="8884"/>
      <c r="F1139" s="8884"/>
      <c r="G1139" s="8884"/>
      <c r="H1139" s="8884"/>
      <c r="I1139" s="8904"/>
      <c r="J1139" s="8904" t="str">
        <f>I1132&amp;".1"</f>
        <v>69.1.1.1.1</v>
      </c>
      <c r="K1139" s="8881"/>
      <c r="L1139" s="1290"/>
      <c r="M1139" s="1696"/>
      <c r="N1139" s="1696"/>
      <c r="O1139" s="1696"/>
      <c r="P1139" s="8882"/>
      <c r="Q1139" s="8882"/>
      <c r="R1139" s="278"/>
      <c r="S1139" s="1815"/>
      <c r="T1139" s="214"/>
      <c r="U1139" s="214"/>
      <c r="V1139" s="246"/>
      <c r="W1139" s="246"/>
      <c r="X1139" s="250" t="str">
        <f>Y1138&amp;"-"&amp;AA1138</f>
        <v>-</v>
      </c>
      <c r="Y1139" s="8887"/>
      <c r="Z1139" s="8734"/>
      <c r="AA1139" s="8887"/>
      <c r="AB1139" s="8734"/>
      <c r="AC1139" s="246"/>
      <c r="AD1139" s="246"/>
      <c r="AE1139" s="250" t="str">
        <f>AF1138&amp;"-"&amp;AH1138</f>
        <v>45292-45657</v>
      </c>
      <c r="AF1139" s="8887"/>
      <c r="AG1139" s="8734"/>
      <c r="AH1139" s="8906"/>
      <c r="AI1139" s="8734"/>
      <c r="AJ1139" s="1359"/>
      <c r="AK1139" s="8941"/>
      <c r="AL1139" s="1562"/>
      <c r="AM1139" s="1544"/>
      <c r="AN1139" s="1544" t="str">
        <f t="shared" si="18"/>
        <v/>
      </c>
      <c r="AO1139" s="1544"/>
      <c r="AP1139" s="1544"/>
    </row>
    <row r="1140" spans="1:42" s="1818" customFormat="1" ht="21" customHeight="1">
      <c r="A1140" s="1284"/>
      <c r="B1140" s="1284"/>
      <c r="C1140" s="1284"/>
      <c r="D1140" s="1284"/>
      <c r="E1140" s="8884"/>
      <c r="F1140" s="8884"/>
      <c r="G1140" s="8884"/>
      <c r="H1140" s="8884"/>
      <c r="I1140" s="8904"/>
      <c r="J1140" s="8881" t="str">
        <f>I1132&amp;".1"</f>
        <v>69.1.1.1.1</v>
      </c>
      <c r="K1140" s="1284"/>
      <c r="L1140" s="1290"/>
      <c r="M1140" s="1696"/>
      <c r="N1140" s="1696"/>
      <c r="O1140" s="1696"/>
      <c r="P1140" s="8882"/>
      <c r="Q1140" s="8882"/>
      <c r="R1140" s="277"/>
      <c r="S1140" s="6849"/>
      <c r="T1140" s="6850" t="s">
        <v>948</v>
      </c>
      <c r="U1140" s="6851"/>
      <c r="V1140" s="6852"/>
      <c r="W1140" s="6853"/>
      <c r="X1140" s="6854"/>
      <c r="Y1140" s="6855"/>
      <c r="Z1140" s="6856"/>
      <c r="AA1140" s="6857"/>
      <c r="AB1140" s="6858"/>
      <c r="AC1140" s="6859"/>
      <c r="AD1140" s="6860"/>
      <c r="AE1140" s="6861"/>
      <c r="AF1140" s="6862"/>
      <c r="AG1140" s="6863"/>
      <c r="AH1140" s="6864"/>
      <c r="AI1140" s="6865"/>
      <c r="AJ1140" s="6866"/>
      <c r="AK1140" s="1182" t="s">
        <v>949</v>
      </c>
      <c r="AL1140" s="1562"/>
      <c r="AM1140" s="1544"/>
      <c r="AN1140" s="1544" t="str">
        <f t="shared" si="18"/>
        <v>Добавить значение признака дифференциации</v>
      </c>
      <c r="AO1140" s="1544"/>
      <c r="AP1140" s="1544"/>
    </row>
    <row r="1141" spans="1:42" s="1818" customFormat="1" ht="21" customHeight="1">
      <c r="A1141" s="1284"/>
      <c r="B1141" s="1284"/>
      <c r="C1141" s="1284"/>
      <c r="D1141" s="1284"/>
      <c r="E1141" s="8884" t="s">
        <v>688</v>
      </c>
      <c r="F1141" s="8884"/>
      <c r="G1141" s="8884"/>
      <c r="H1141" s="8884"/>
      <c r="I1141" s="8881"/>
      <c r="J1141" s="1284"/>
      <c r="K1141" s="1284"/>
      <c r="L1141" s="1290"/>
      <c r="M1141" s="1696"/>
      <c r="N1141" s="1696"/>
      <c r="O1141" s="1696"/>
      <c r="P1141" s="8882"/>
      <c r="Q1141" s="1811"/>
      <c r="R1141" s="277"/>
      <c r="S1141" s="6867"/>
      <c r="T1141" s="6868" t="s">
        <v>877</v>
      </c>
      <c r="U1141" s="6869"/>
      <c r="V1141" s="6870"/>
      <c r="W1141" s="6871"/>
      <c r="X1141" s="6872"/>
      <c r="Y1141" s="6873"/>
      <c r="Z1141" s="6874"/>
      <c r="AA1141" s="6875"/>
      <c r="AB1141" s="6876"/>
      <c r="AC1141" s="6877"/>
      <c r="AD1141" s="6878"/>
      <c r="AE1141" s="6879"/>
      <c r="AF1141" s="6880"/>
      <c r="AG1141" s="6881"/>
      <c r="AH1141" s="6882"/>
      <c r="AI1141" s="6883"/>
      <c r="AJ1141" s="6884"/>
      <c r="AK1141" s="6885"/>
      <c r="AL1141" s="1562"/>
      <c r="AM1141" s="1544"/>
      <c r="AN1141" s="1544" t="str">
        <f t="shared" si="18"/>
        <v>Добавить группу потребителей</v>
      </c>
      <c r="AO1141" s="1544"/>
      <c r="AP1141" s="1544"/>
    </row>
    <row r="1142" spans="1:42" s="1818" customFormat="1" ht="21" customHeight="1">
      <c r="A1142" s="1284"/>
      <c r="B1142" s="1284"/>
      <c r="C1142" s="1284"/>
      <c r="D1142" s="1284"/>
      <c r="E1142" s="8884" t="s">
        <v>688</v>
      </c>
      <c r="F1142" s="8884"/>
      <c r="G1142" s="8884"/>
      <c r="H1142" s="8883"/>
      <c r="I1142" s="1284"/>
      <c r="J1142" s="1284"/>
      <c r="K1142" s="1284"/>
      <c r="L1142" s="1290"/>
      <c r="M1142" s="1286"/>
      <c r="N1142" s="1286"/>
      <c r="O1142" s="1287"/>
      <c r="P1142" s="1742"/>
      <c r="Q1142" s="299"/>
      <c r="R1142" s="276"/>
      <c r="S1142" s="6886"/>
      <c r="T1142" s="6887" t="s">
        <v>950</v>
      </c>
      <c r="U1142" s="6888"/>
      <c r="V1142" s="6889"/>
      <c r="W1142" s="6890"/>
      <c r="X1142" s="6891"/>
      <c r="Y1142" s="6892"/>
      <c r="Z1142" s="6893"/>
      <c r="AA1142" s="6894"/>
      <c r="AB1142" s="6895"/>
      <c r="AC1142" s="6896"/>
      <c r="AD1142" s="6897"/>
      <c r="AE1142" s="6898"/>
      <c r="AF1142" s="6899"/>
      <c r="AG1142" s="6900"/>
      <c r="AH1142" s="6901"/>
      <c r="AI1142" s="6902"/>
      <c r="AJ1142" s="6903"/>
      <c r="AK1142" s="6904"/>
      <c r="AL1142" s="1562"/>
      <c r="AM1142" s="1544"/>
      <c r="AN1142" s="1544" t="str">
        <f t="shared" si="18"/>
        <v>Добавить наименование признака дифференциации</v>
      </c>
      <c r="AO1142" s="1544"/>
      <c r="AP1142" s="1544"/>
    </row>
    <row r="1143" spans="1:42" s="541" customFormat="1" ht="14.25" customHeight="1">
      <c r="A1143" s="1265"/>
      <c r="B1143" s="1265"/>
      <c r="C1143" s="1265"/>
      <c r="D1143" s="1265"/>
      <c r="E1143" s="8884" t="s">
        <v>688</v>
      </c>
      <c r="F1143" s="8883"/>
      <c r="G1143" s="1265"/>
      <c r="H1143" s="1265"/>
      <c r="I1143" s="1265"/>
      <c r="J1143" s="1265"/>
      <c r="K1143" s="1265"/>
      <c r="L1143" s="1466"/>
      <c r="M1143" s="1244"/>
      <c r="N1143" s="1244"/>
      <c r="O1143" s="1562"/>
      <c r="P1143" s="1239"/>
      <c r="Q1143" s="1266"/>
      <c r="R1143" s="1239"/>
      <c r="S1143" s="1245"/>
      <c r="T1143" s="1248" t="s">
        <v>314</v>
      </c>
      <c r="U1143" s="1247"/>
      <c r="V1143" s="1247"/>
      <c r="W1143" s="1247"/>
      <c r="X1143" s="1247"/>
      <c r="Y1143" s="1247"/>
      <c r="Z1143" s="1247"/>
      <c r="AA1143" s="1247"/>
      <c r="AB1143" s="1247"/>
      <c r="AC1143" s="1247"/>
      <c r="AD1143" s="1247"/>
      <c r="AE1143" s="1247"/>
      <c r="AF1143" s="1247"/>
      <c r="AG1143" s="1247"/>
      <c r="AH1143" s="1247"/>
      <c r="AI1143" s="1247"/>
      <c r="AJ1143" s="1247"/>
      <c r="AK1143" s="1247"/>
      <c r="AL1143" s="1562"/>
      <c r="AM1143" s="1544"/>
      <c r="AN1143" s="1544" t="str">
        <f t="shared" si="18"/>
        <v>Добавить централизованную систему для дифференциации</v>
      </c>
      <c r="AO1143" s="1544"/>
      <c r="AP1143" s="1544"/>
    </row>
    <row r="1144" spans="1:42" s="541" customFormat="1" ht="14.25" customHeight="1">
      <c r="A1144" s="1265"/>
      <c r="B1144" s="1265"/>
      <c r="C1144" s="1265"/>
      <c r="D1144" s="1265"/>
      <c r="E1144" s="8883" t="s">
        <v>688</v>
      </c>
      <c r="F1144" s="1265"/>
      <c r="G1144" s="1265"/>
      <c r="H1144" s="1265"/>
      <c r="I1144" s="1265"/>
      <c r="J1144" s="1265"/>
      <c r="K1144" s="1265"/>
      <c r="L1144" s="1466"/>
      <c r="M1144" s="1244"/>
      <c r="N1144" s="1244"/>
      <c r="O1144" s="1562"/>
      <c r="P1144" s="1239"/>
      <c r="Q1144" s="1266"/>
      <c r="R1144" s="1239"/>
      <c r="S1144" s="1245"/>
      <c r="T1144" s="1248" t="s">
        <v>315</v>
      </c>
      <c r="U1144" s="1247"/>
      <c r="V1144" s="1247"/>
      <c r="W1144" s="1247"/>
      <c r="X1144" s="1247"/>
      <c r="Y1144" s="1247"/>
      <c r="Z1144" s="1247"/>
      <c r="AA1144" s="1247"/>
      <c r="AB1144" s="1247"/>
      <c r="AC1144" s="1247"/>
      <c r="AD1144" s="1247"/>
      <c r="AE1144" s="1247"/>
      <c r="AF1144" s="1247"/>
      <c r="AG1144" s="1247"/>
      <c r="AH1144" s="1247"/>
      <c r="AI1144" s="1247"/>
      <c r="AJ1144" s="1247"/>
      <c r="AK1144" s="1247"/>
      <c r="AL1144" s="1562"/>
      <c r="AM1144" s="1544"/>
      <c r="AN1144" s="1544" t="str">
        <f t="shared" si="18"/>
        <v>Добавить территорию для дифференциации</v>
      </c>
      <c r="AO1144" s="1544"/>
      <c r="AP1144" s="1544"/>
    </row>
    <row r="1145" spans="1:42" s="1818" customFormat="1" ht="23.25" customHeight="1">
      <c r="A1145" s="1284" t="s">
        <v>702</v>
      </c>
      <c r="B1145" s="1284"/>
      <c r="C1145" s="1284"/>
      <c r="D1145" s="1284"/>
      <c r="E1145" s="8883" t="s">
        <v>700</v>
      </c>
      <c r="F1145" s="1284"/>
      <c r="G1145" s="1284"/>
      <c r="H1145" s="1284"/>
      <c r="I1145" s="1284"/>
      <c r="J1145" s="1284"/>
      <c r="K1145" s="1284"/>
      <c r="L1145" s="1290"/>
      <c r="M1145" s="1286"/>
      <c r="N1145" s="1286"/>
      <c r="O1145" s="1286"/>
      <c r="P1145" s="1812"/>
      <c r="Q1145" s="1742"/>
      <c r="R1145" s="276"/>
      <c r="S1145" s="1810" t="str">
        <f>INDEX(PT_DIFFERENTIATION_NUM_NTAR,MATCH(A1145,PT_DIFFERENTIATION_NTAR_ID,0))</f>
        <v>70</v>
      </c>
      <c r="T1145" s="1440" t="s">
        <v>211</v>
      </c>
      <c r="U1145" s="214"/>
      <c r="V1145" s="8869"/>
      <c r="W1145" s="8870"/>
      <c r="X1145" s="8870"/>
      <c r="Y1145" s="8870"/>
      <c r="Z1145" s="8870"/>
      <c r="AA1145" s="8870"/>
      <c r="AB1145" s="8871"/>
      <c r="AC1145" s="8869" t="str">
        <f>INDEX(PT_DIFFERENTIATION_NTAR,MATCH(A1145,PT_DIFFERENTIATION_NTAR_ID,0))</f>
        <v>Подвоз воды потребителям села Величаевского</v>
      </c>
      <c r="AD1145" s="8870"/>
      <c r="AE1145" s="8870"/>
      <c r="AF1145" s="8870"/>
      <c r="AG1145" s="8870"/>
      <c r="AH1145" s="8870"/>
      <c r="AI1145" s="8870"/>
      <c r="AJ1145" s="8871"/>
      <c r="AK114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L1145" s="1562"/>
      <c r="AM1145" s="1544"/>
      <c r="AN1145" s="1544" t="str">
        <f t="shared" si="18"/>
        <v>Наименование тарифа</v>
      </c>
      <c r="AO1145" s="1544"/>
      <c r="AP1145" s="1544"/>
    </row>
    <row r="1146" spans="1:42" s="1818" customFormat="1" ht="23.25" customHeight="1">
      <c r="A1146" s="1284"/>
      <c r="B1146" s="1284" t="s">
        <v>703</v>
      </c>
      <c r="C1146" s="1284"/>
      <c r="D1146" s="1284"/>
      <c r="E1146" s="8884" t="s">
        <v>694</v>
      </c>
      <c r="F1146" s="8883">
        <v>1</v>
      </c>
      <c r="G1146" s="1284"/>
      <c r="H1146" s="1284"/>
      <c r="I1146" s="1284"/>
      <c r="J1146" s="1284"/>
      <c r="K1146" s="1284"/>
      <c r="L1146" s="1290"/>
      <c r="M1146" s="1286"/>
      <c r="N1146" s="1286"/>
      <c r="O1146" s="1286"/>
      <c r="P1146" s="1807"/>
      <c r="Q1146" s="273"/>
      <c r="R1146" s="274"/>
      <c r="S1146" s="1810" t="str">
        <f>INDEX(PT_DIFFERENTIATION_NUM_TER,MATCH(B1146,PT_DIFFERENTIATION_TER_ID,0))</f>
        <v>70.1</v>
      </c>
      <c r="T1146" s="1437" t="s">
        <v>862</v>
      </c>
      <c r="U1146" s="214"/>
      <c r="V1146" s="8869"/>
      <c r="W1146" s="8870"/>
      <c r="X1146" s="8870"/>
      <c r="Y1146" s="8870"/>
      <c r="Z1146" s="8870"/>
      <c r="AA1146" s="8870"/>
      <c r="AB1146" s="8871"/>
      <c r="AC1146" s="8869" t="str">
        <f>INDEX(PT_DIFFERENTIATION_TER,MATCH(B1146,PT_DIFFERENTIATION_TER_ID,0))</f>
        <v>Территория 21</v>
      </c>
      <c r="AD1146" s="8870"/>
      <c r="AE1146" s="8870"/>
      <c r="AF1146" s="8870"/>
      <c r="AG1146" s="8870"/>
      <c r="AH1146" s="8870"/>
      <c r="AI1146" s="8870"/>
      <c r="AJ1146" s="8871"/>
      <c r="AK1146" s="1182" t="s">
        <v>863</v>
      </c>
      <c r="AL1146" s="1562"/>
      <c r="AM1146" s="1544"/>
      <c r="AN1146" s="1544" t="str">
        <f t="shared" si="18"/>
        <v>Территория действия тарифа</v>
      </c>
      <c r="AO1146" s="1544"/>
      <c r="AP1146" s="1544"/>
    </row>
    <row r="1147" spans="1:42" s="1818" customFormat="1" ht="23.25" customHeight="1">
      <c r="A1147" s="1284"/>
      <c r="B1147" s="1284"/>
      <c r="C1147" s="1284" t="s">
        <v>704</v>
      </c>
      <c r="D1147" s="1284"/>
      <c r="E1147" s="8884" t="s">
        <v>694</v>
      </c>
      <c r="F1147" s="8884"/>
      <c r="G1147" s="8883">
        <v>1</v>
      </c>
      <c r="H1147" s="1284"/>
      <c r="I1147" s="1284"/>
      <c r="J1147" s="1284"/>
      <c r="K1147" s="1284"/>
      <c r="L1147" s="1290"/>
      <c r="M1147" s="1286"/>
      <c r="N1147" s="1286"/>
      <c r="O1147" s="1286"/>
      <c r="P1147" s="275"/>
      <c r="Q1147" s="273"/>
      <c r="R1147" s="274"/>
      <c r="S1147" s="1810" t="str">
        <f>INDEX(PT_DIFFERENTIATION_NUM_CS,MATCH(C1147,PT_DIFFERENTIATION_CS_ID,0))</f>
        <v>70.1.1</v>
      </c>
      <c r="T1147" s="225" t="s">
        <v>943</v>
      </c>
      <c r="U1147" s="214"/>
      <c r="V1147" s="8869"/>
      <c r="W1147" s="8870"/>
      <c r="X1147" s="8870"/>
      <c r="Y1147" s="8870"/>
      <c r="Z1147" s="8870"/>
      <c r="AA1147" s="8870"/>
      <c r="AB1147" s="8871"/>
      <c r="AC1147" s="8869" t="str">
        <f>INDEX(PT_DIFFERENTIATION_CS,MATCH(C1147,PT_DIFFERENTIATION_CS_ID,0))</f>
        <v>без дифференциации</v>
      </c>
      <c r="AD1147" s="8870"/>
      <c r="AE1147" s="8870"/>
      <c r="AF1147" s="8870"/>
      <c r="AG1147" s="8870"/>
      <c r="AH1147" s="8870"/>
      <c r="AI1147" s="8870"/>
      <c r="AJ1147" s="8871"/>
      <c r="AK1147" s="1182" t="s">
        <v>944</v>
      </c>
      <c r="AL1147" s="1562"/>
      <c r="AM1147" s="1544"/>
      <c r="AN1147" s="1544" t="str">
        <f t="shared" si="18"/>
        <v>Наименование централизованной системы холодного водоснабжения</v>
      </c>
      <c r="AO1147" s="1544"/>
      <c r="AP1147" s="1544"/>
    </row>
    <row r="1148" spans="1:42" s="1818" customFormat="1" ht="23.25" customHeight="1">
      <c r="A1148" s="1284"/>
      <c r="B1148" s="1284"/>
      <c r="C1148" s="1284"/>
      <c r="D1148" s="1284"/>
      <c r="E1148" s="8884" t="s">
        <v>694</v>
      </c>
      <c r="F1148" s="8884"/>
      <c r="G1148" s="8884"/>
      <c r="H1148" s="8884"/>
      <c r="I1148" s="8881" t="str">
        <f>S1147&amp;".1"</f>
        <v>70.1.1.1</v>
      </c>
      <c r="J1148" s="1284"/>
      <c r="K1148" s="1284"/>
      <c r="L1148" s="1290"/>
      <c r="M1148" s="1696"/>
      <c r="N1148" s="1696"/>
      <c r="O1148" s="1696"/>
      <c r="P1148" s="8882">
        <v>1</v>
      </c>
      <c r="Q1148" s="1811"/>
      <c r="R1148" s="277"/>
      <c r="S1148" s="1810" t="str">
        <f>$I1148</f>
        <v>70.1.1.1</v>
      </c>
      <c r="T1148" s="200" t="s">
        <v>945</v>
      </c>
      <c r="U1148" s="214"/>
      <c r="V1148" s="8942"/>
      <c r="W1148" s="8943"/>
      <c r="X1148" s="8943"/>
      <c r="Y1148" s="8943"/>
      <c r="Z1148" s="8943"/>
      <c r="AA1148" s="8943"/>
      <c r="AB1148" s="8944"/>
      <c r="AC1148" s="8945"/>
      <c r="AD1148" s="8946"/>
      <c r="AE1148" s="8946"/>
      <c r="AF1148" s="8946"/>
      <c r="AG1148" s="8946"/>
      <c r="AH1148" s="8946"/>
      <c r="AI1148" s="8946"/>
      <c r="AJ1148" s="8947"/>
      <c r="AK1148" s="1182" t="s">
        <v>946</v>
      </c>
      <c r="AL1148" s="1562"/>
      <c r="AM1148" s="1544"/>
      <c r="AN1148" s="1544" t="str">
        <f t="shared" si="18"/>
        <v>Наименование признака дифференциации</v>
      </c>
      <c r="AO1148" s="1544"/>
      <c r="AP1148" s="1544"/>
    </row>
    <row r="1149" spans="1:42" s="1818" customFormat="1" ht="23.25" customHeight="1">
      <c r="A1149" s="1284"/>
      <c r="B1149" s="1284"/>
      <c r="C1149" s="1284"/>
      <c r="D1149" s="1284"/>
      <c r="E1149" s="8884" t="s">
        <v>694</v>
      </c>
      <c r="F1149" s="8884"/>
      <c r="G1149" s="8884"/>
      <c r="H1149" s="8884"/>
      <c r="I1149" s="8904"/>
      <c r="J1149" s="8881" t="str">
        <f>I1148&amp;".1"</f>
        <v>70.1.1.1.1</v>
      </c>
      <c r="K1149" s="1284"/>
      <c r="L1149" s="1290" t="s">
        <v>871</v>
      </c>
      <c r="M1149" s="1696"/>
      <c r="N1149" s="1696"/>
      <c r="O1149" s="1696"/>
      <c r="P1149" s="8882"/>
      <c r="Q1149" s="8882">
        <v>1</v>
      </c>
      <c r="R1149" s="278"/>
      <c r="S1149" s="1810" t="str">
        <f>$J1149</f>
        <v>70.1.1.1.1</v>
      </c>
      <c r="T1149" s="201" t="s">
        <v>872</v>
      </c>
      <c r="U1149" s="214"/>
      <c r="V1149" s="8872"/>
      <c r="W1149" s="8873"/>
      <c r="X1149" s="8873"/>
      <c r="Y1149" s="8873"/>
      <c r="Z1149" s="8873"/>
      <c r="AA1149" s="8873"/>
      <c r="AB1149" s="8874"/>
      <c r="AC1149" s="8872" t="s">
        <v>961</v>
      </c>
      <c r="AD1149" s="8873"/>
      <c r="AE1149" s="8873"/>
      <c r="AF1149" s="8873"/>
      <c r="AG1149" s="8873"/>
      <c r="AH1149" s="8873"/>
      <c r="AI1149" s="8873"/>
      <c r="AJ1149" s="8874"/>
      <c r="AK1149" s="1231" t="s">
        <v>947</v>
      </c>
      <c r="AL1149" s="1562"/>
      <c r="AM1149" s="1544"/>
      <c r="AN1149" s="1544" t="str">
        <f t="shared" si="18"/>
        <v>Группа потребителей</v>
      </c>
      <c r="AO1149" s="1544"/>
      <c r="AP1149" s="1544"/>
    </row>
    <row r="1150" spans="1:42" s="1818" customFormat="1" ht="23.25" customHeight="1">
      <c r="A1150" s="1284"/>
      <c r="B1150" s="1284"/>
      <c r="C1150" s="1284"/>
      <c r="D1150" s="1284"/>
      <c r="E1150" s="8884" t="s">
        <v>694</v>
      </c>
      <c r="F1150" s="8884"/>
      <c r="G1150" s="8884"/>
      <c r="H1150" s="8884"/>
      <c r="I1150" s="8904"/>
      <c r="J1150" s="8904"/>
      <c r="K1150" s="8881" t="str">
        <f>J1149&amp;".1"</f>
        <v>70.1.1.1.1.1</v>
      </c>
      <c r="L1150" s="1290"/>
      <c r="M1150" s="1696"/>
      <c r="N1150" s="1696"/>
      <c r="O1150" s="1696"/>
      <c r="P1150" s="8882"/>
      <c r="Q1150" s="8882"/>
      <c r="R1150" s="278">
        <v>1</v>
      </c>
      <c r="S1150" s="1810" t="str">
        <f>$K1150</f>
        <v>70.1.1.1.1.1</v>
      </c>
      <c r="T1150" s="1357" t="s">
        <v>962</v>
      </c>
      <c r="U1150" s="214"/>
      <c r="V1150" s="666"/>
      <c r="W1150" s="666"/>
      <c r="X1150" s="1181"/>
      <c r="Y1150" s="8886"/>
      <c r="Z1150" s="8734" t="s">
        <v>63</v>
      </c>
      <c r="AA1150" s="8886"/>
      <c r="AB1150" s="8734" t="s">
        <v>63</v>
      </c>
      <c r="AC1150" s="666">
        <v>571.44000000000005</v>
      </c>
      <c r="AD1150" s="666"/>
      <c r="AE1150" s="1181"/>
      <c r="AF1150" s="8886">
        <v>45292</v>
      </c>
      <c r="AG1150" s="8734" t="s">
        <v>63</v>
      </c>
      <c r="AH1150" s="8905">
        <v>45657</v>
      </c>
      <c r="AI1150" s="8734" t="s">
        <v>63</v>
      </c>
      <c r="AJ1150" s="1358"/>
      <c r="AK1150"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50" s="1562" t="e">
        <f ca="1">STRCHECKDATE(V1151:AJ1151)</f>
        <v>#NAME?</v>
      </c>
      <c r="AM1150" s="1544"/>
      <c r="AN1150" s="1544" t="str">
        <f t="shared" si="18"/>
        <v>Тариф для населения, руб. за 1 куб. метр с НДС</v>
      </c>
      <c r="AO1150" s="1544"/>
      <c r="AP1150" s="1544"/>
    </row>
    <row r="1151" spans="1:42" s="1818" customFormat="1" ht="14.25" customHeight="1">
      <c r="A1151" s="1284"/>
      <c r="B1151" s="1284"/>
      <c r="C1151" s="1284"/>
      <c r="D1151" s="1284"/>
      <c r="E1151" s="8884" t="s">
        <v>694</v>
      </c>
      <c r="F1151" s="8884"/>
      <c r="G1151" s="8884"/>
      <c r="H1151" s="8884"/>
      <c r="I1151" s="8904"/>
      <c r="J1151" s="8904"/>
      <c r="K1151" s="8881"/>
      <c r="L1151" s="1290"/>
      <c r="M1151" s="1696"/>
      <c r="N1151" s="1696"/>
      <c r="O1151" s="1696"/>
      <c r="P1151" s="8882"/>
      <c r="Q1151" s="8882"/>
      <c r="R1151" s="278"/>
      <c r="S1151" s="1815"/>
      <c r="T1151" s="214"/>
      <c r="U1151" s="214"/>
      <c r="V1151" s="246"/>
      <c r="W1151" s="246"/>
      <c r="X1151" s="250" t="str">
        <f>Y1150&amp;"-"&amp;AA1150</f>
        <v>-</v>
      </c>
      <c r="Y1151" s="8887"/>
      <c r="Z1151" s="8734"/>
      <c r="AA1151" s="8887"/>
      <c r="AB1151" s="8734"/>
      <c r="AC1151" s="246"/>
      <c r="AD1151" s="246"/>
      <c r="AE1151" s="250" t="str">
        <f>AF1150&amp;"-"&amp;AH1150</f>
        <v>45292-45657</v>
      </c>
      <c r="AF1151" s="8887"/>
      <c r="AG1151" s="8734"/>
      <c r="AH1151" s="8906"/>
      <c r="AI1151" s="8734"/>
      <c r="AJ1151" s="1359"/>
      <c r="AK1151" s="8941"/>
      <c r="AL1151" s="1562"/>
      <c r="AM1151" s="1544"/>
      <c r="AN1151" s="1544" t="str">
        <f t="shared" si="18"/>
        <v/>
      </c>
      <c r="AO1151" s="1544"/>
      <c r="AP1151" s="1544"/>
    </row>
    <row r="1152" spans="1:42" s="1818" customFormat="1" ht="21" customHeight="1">
      <c r="A1152" s="1284"/>
      <c r="B1152" s="1284"/>
      <c r="C1152" s="1284"/>
      <c r="D1152" s="1284"/>
      <c r="E1152" s="8884" t="s">
        <v>694</v>
      </c>
      <c r="F1152" s="8884"/>
      <c r="G1152" s="8884"/>
      <c r="H1152" s="8884"/>
      <c r="I1152" s="8904"/>
      <c r="J1152" s="8881"/>
      <c r="K1152" s="1284"/>
      <c r="L1152" s="1290"/>
      <c r="M1152" s="1696"/>
      <c r="N1152" s="1696"/>
      <c r="O1152" s="1696"/>
      <c r="P1152" s="8882"/>
      <c r="Q1152" s="8882"/>
      <c r="R1152" s="277"/>
      <c r="S1152" s="6905"/>
      <c r="T1152" s="6906" t="s">
        <v>948</v>
      </c>
      <c r="U1152" s="6907"/>
      <c r="V1152" s="6908"/>
      <c r="W1152" s="6909"/>
      <c r="X1152" s="6910"/>
      <c r="Y1152" s="6911"/>
      <c r="Z1152" s="6912"/>
      <c r="AA1152" s="6913"/>
      <c r="AB1152" s="6914"/>
      <c r="AC1152" s="6915"/>
      <c r="AD1152" s="6916"/>
      <c r="AE1152" s="6917"/>
      <c r="AF1152" s="6918"/>
      <c r="AG1152" s="6919"/>
      <c r="AH1152" s="6920"/>
      <c r="AI1152" s="6921"/>
      <c r="AJ1152" s="6922"/>
      <c r="AK1152" s="1182" t="s">
        <v>949</v>
      </c>
      <c r="AL1152" s="1562"/>
      <c r="AM1152" s="1544"/>
      <c r="AN1152" s="1544" t="str">
        <f t="shared" si="18"/>
        <v>Добавить значение признака дифференциации</v>
      </c>
      <c r="AO1152" s="1544"/>
      <c r="AP1152" s="1544"/>
    </row>
    <row r="1153" spans="1:42" s="1818" customFormat="1" ht="23.25" customHeight="1">
      <c r="A1153" s="1284"/>
      <c r="B1153" s="1284"/>
      <c r="C1153" s="1284"/>
      <c r="D1153" s="1284"/>
      <c r="E1153" s="8884"/>
      <c r="F1153" s="8884"/>
      <c r="G1153" s="8884"/>
      <c r="H1153" s="8884"/>
      <c r="I1153" s="8904"/>
      <c r="J1153" s="8881" t="str">
        <f>I1148&amp;".2"</f>
        <v>70.1.1.1.2</v>
      </c>
      <c r="K1153" s="1284"/>
      <c r="L1153" s="1290" t="s">
        <v>871</v>
      </c>
      <c r="M1153" s="1696"/>
      <c r="N1153" s="1696"/>
      <c r="O1153" s="1696"/>
      <c r="P1153" s="8882"/>
      <c r="Q1153" s="8948" t="s">
        <v>100</v>
      </c>
      <c r="R1153" s="278"/>
      <c r="S1153" s="1810" t="str">
        <f>$J1153</f>
        <v>70.1.1.1.2</v>
      </c>
      <c r="T1153" s="201" t="s">
        <v>872</v>
      </c>
      <c r="U1153" s="214"/>
      <c r="V1153" s="8872"/>
      <c r="W1153" s="8873"/>
      <c r="X1153" s="8873"/>
      <c r="Y1153" s="8873"/>
      <c r="Z1153" s="8873"/>
      <c r="AA1153" s="8873"/>
      <c r="AB1153" s="8874"/>
      <c r="AC1153" s="8872" t="s">
        <v>963</v>
      </c>
      <c r="AD1153" s="8873"/>
      <c r="AE1153" s="8873"/>
      <c r="AF1153" s="8873"/>
      <c r="AG1153" s="8873"/>
      <c r="AH1153" s="8873"/>
      <c r="AI1153" s="8873"/>
      <c r="AJ1153" s="8874"/>
      <c r="AK1153" s="1231" t="s">
        <v>947</v>
      </c>
      <c r="AL1153" s="1562"/>
      <c r="AM1153" s="1544"/>
      <c r="AN1153" s="1544" t="str">
        <f t="shared" si="18"/>
        <v>Группа потребителей</v>
      </c>
      <c r="AO1153" s="1544"/>
      <c r="AP1153" s="1544"/>
    </row>
    <row r="1154" spans="1:42" s="1818" customFormat="1" ht="23.25" customHeight="1">
      <c r="A1154" s="1284"/>
      <c r="B1154" s="1284"/>
      <c r="C1154" s="1284"/>
      <c r="D1154" s="1284"/>
      <c r="E1154" s="8884"/>
      <c r="F1154" s="8884"/>
      <c r="G1154" s="8884"/>
      <c r="H1154" s="8884"/>
      <c r="I1154" s="8904"/>
      <c r="J1154" s="8904" t="str">
        <f>I1148&amp;".1"</f>
        <v>70.1.1.1.1</v>
      </c>
      <c r="K1154" s="8881" t="str">
        <f>J1153&amp;".1"</f>
        <v>70.1.1.1.2.1</v>
      </c>
      <c r="L1154" s="1290"/>
      <c r="M1154" s="1696"/>
      <c r="N1154" s="1696"/>
      <c r="O1154" s="1696"/>
      <c r="P1154" s="8882"/>
      <c r="Q1154" s="8882"/>
      <c r="R1154" s="278">
        <v>1</v>
      </c>
      <c r="S1154" s="1810" t="str">
        <f>$K1154</f>
        <v>70.1.1.1.2.1</v>
      </c>
      <c r="T1154" s="1357" t="s">
        <v>964</v>
      </c>
      <c r="U1154" s="214"/>
      <c r="V1154" s="666"/>
      <c r="W1154" s="666"/>
      <c r="X1154" s="1181"/>
      <c r="Y1154" s="8886"/>
      <c r="Z1154" s="8734" t="s">
        <v>63</v>
      </c>
      <c r="AA1154" s="8886"/>
      <c r="AB1154" s="8734" t="s">
        <v>63</v>
      </c>
      <c r="AC1154" s="666">
        <v>476.2</v>
      </c>
      <c r="AD1154" s="666"/>
      <c r="AE1154" s="1181"/>
      <c r="AF1154" s="8886">
        <v>45292</v>
      </c>
      <c r="AG1154" s="8734" t="s">
        <v>63</v>
      </c>
      <c r="AH1154" s="8905">
        <v>45657</v>
      </c>
      <c r="AI1154" s="8734" t="s">
        <v>63</v>
      </c>
      <c r="AJ1154" s="1358"/>
      <c r="AK1154"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54" s="1562" t="e">
        <f ca="1">STRCHECKDATE(V1155:AJ1155)</f>
        <v>#NAME?</v>
      </c>
      <c r="AM1154" s="1544"/>
      <c r="AN1154" s="1544" t="str">
        <f t="shared" si="18"/>
        <v>Тариф, руб. за 1 куб. метр без НДС</v>
      </c>
      <c r="AO1154" s="1544"/>
      <c r="AP1154" s="1544"/>
    </row>
    <row r="1155" spans="1:42" s="1818" customFormat="1" ht="14.25" customHeight="1">
      <c r="A1155" s="1284"/>
      <c r="B1155" s="1284"/>
      <c r="C1155" s="1284"/>
      <c r="D1155" s="1284"/>
      <c r="E1155" s="8884"/>
      <c r="F1155" s="8884"/>
      <c r="G1155" s="8884"/>
      <c r="H1155" s="8884"/>
      <c r="I1155" s="8904"/>
      <c r="J1155" s="8904" t="str">
        <f>I1148&amp;".1"</f>
        <v>70.1.1.1.1</v>
      </c>
      <c r="K1155" s="8881"/>
      <c r="L1155" s="1290"/>
      <c r="M1155" s="1696"/>
      <c r="N1155" s="1696"/>
      <c r="O1155" s="1696"/>
      <c r="P1155" s="8882"/>
      <c r="Q1155" s="8882"/>
      <c r="R1155" s="278"/>
      <c r="S1155" s="1815"/>
      <c r="T1155" s="214"/>
      <c r="U1155" s="214"/>
      <c r="V1155" s="246"/>
      <c r="W1155" s="246"/>
      <c r="X1155" s="250" t="str">
        <f>Y1154&amp;"-"&amp;AA1154</f>
        <v>-</v>
      </c>
      <c r="Y1155" s="8887"/>
      <c r="Z1155" s="8734"/>
      <c r="AA1155" s="8887"/>
      <c r="AB1155" s="8734"/>
      <c r="AC1155" s="246"/>
      <c r="AD1155" s="246"/>
      <c r="AE1155" s="250" t="str">
        <f>AF1154&amp;"-"&amp;AH1154</f>
        <v>45292-45657</v>
      </c>
      <c r="AF1155" s="8887"/>
      <c r="AG1155" s="8734"/>
      <c r="AH1155" s="8906"/>
      <c r="AI1155" s="8734"/>
      <c r="AJ1155" s="1359"/>
      <c r="AK1155" s="8941"/>
      <c r="AL1155" s="1562"/>
      <c r="AM1155" s="1544"/>
      <c r="AN1155" s="1544" t="str">
        <f t="shared" si="18"/>
        <v/>
      </c>
      <c r="AO1155" s="1544"/>
      <c r="AP1155" s="1544"/>
    </row>
    <row r="1156" spans="1:42" s="1818" customFormat="1" ht="21" customHeight="1">
      <c r="A1156" s="1284"/>
      <c r="B1156" s="1284"/>
      <c r="C1156" s="1284"/>
      <c r="D1156" s="1284"/>
      <c r="E1156" s="8884"/>
      <c r="F1156" s="8884"/>
      <c r="G1156" s="8884"/>
      <c r="H1156" s="8884"/>
      <c r="I1156" s="8904"/>
      <c r="J1156" s="8881" t="str">
        <f>I1148&amp;".1"</f>
        <v>70.1.1.1.1</v>
      </c>
      <c r="K1156" s="1284"/>
      <c r="L1156" s="1290"/>
      <c r="M1156" s="1696"/>
      <c r="N1156" s="1696"/>
      <c r="O1156" s="1696"/>
      <c r="P1156" s="8882"/>
      <c r="Q1156" s="8882"/>
      <c r="R1156" s="277"/>
      <c r="S1156" s="6923"/>
      <c r="T1156" s="6924" t="s">
        <v>948</v>
      </c>
      <c r="U1156" s="6925"/>
      <c r="V1156" s="6926"/>
      <c r="W1156" s="6927"/>
      <c r="X1156" s="6928"/>
      <c r="Y1156" s="6929"/>
      <c r="Z1156" s="6930"/>
      <c r="AA1156" s="6931"/>
      <c r="AB1156" s="6932"/>
      <c r="AC1156" s="6933"/>
      <c r="AD1156" s="6934"/>
      <c r="AE1156" s="6935"/>
      <c r="AF1156" s="6936"/>
      <c r="AG1156" s="6937"/>
      <c r="AH1156" s="6938"/>
      <c r="AI1156" s="6939"/>
      <c r="AJ1156" s="6940"/>
      <c r="AK1156" s="1182" t="s">
        <v>949</v>
      </c>
      <c r="AL1156" s="1562"/>
      <c r="AM1156" s="1544"/>
      <c r="AN1156" s="1544" t="str">
        <f t="shared" si="18"/>
        <v>Добавить значение признака дифференциации</v>
      </c>
      <c r="AO1156" s="1544"/>
      <c r="AP1156" s="1544"/>
    </row>
    <row r="1157" spans="1:42" s="1818" customFormat="1" ht="21" customHeight="1">
      <c r="A1157" s="1284"/>
      <c r="B1157" s="1284"/>
      <c r="C1157" s="1284"/>
      <c r="D1157" s="1284"/>
      <c r="E1157" s="8884" t="s">
        <v>694</v>
      </c>
      <c r="F1157" s="8884"/>
      <c r="G1157" s="8884"/>
      <c r="H1157" s="8884"/>
      <c r="I1157" s="8881"/>
      <c r="J1157" s="1284"/>
      <c r="K1157" s="1284"/>
      <c r="L1157" s="1290"/>
      <c r="M1157" s="1696"/>
      <c r="N1157" s="1696"/>
      <c r="O1157" s="1696"/>
      <c r="P1157" s="8882"/>
      <c r="Q1157" s="1811"/>
      <c r="R1157" s="277"/>
      <c r="S1157" s="6941"/>
      <c r="T1157" s="6942" t="s">
        <v>877</v>
      </c>
      <c r="U1157" s="6943"/>
      <c r="V1157" s="6944"/>
      <c r="W1157" s="6945"/>
      <c r="X1157" s="6946"/>
      <c r="Y1157" s="6947"/>
      <c r="Z1157" s="6948"/>
      <c r="AA1157" s="6949"/>
      <c r="AB1157" s="6950"/>
      <c r="AC1157" s="6951"/>
      <c r="AD1157" s="6952"/>
      <c r="AE1157" s="6953"/>
      <c r="AF1157" s="6954"/>
      <c r="AG1157" s="6955"/>
      <c r="AH1157" s="6956"/>
      <c r="AI1157" s="6957"/>
      <c r="AJ1157" s="6958"/>
      <c r="AK1157" s="6959"/>
      <c r="AL1157" s="1562"/>
      <c r="AM1157" s="1544"/>
      <c r="AN1157" s="1544" t="str">
        <f t="shared" si="18"/>
        <v>Добавить группу потребителей</v>
      </c>
      <c r="AO1157" s="1544"/>
      <c r="AP1157" s="1544"/>
    </row>
    <row r="1158" spans="1:42" s="1818" customFormat="1" ht="21" customHeight="1">
      <c r="A1158" s="1284"/>
      <c r="B1158" s="1284"/>
      <c r="C1158" s="1284"/>
      <c r="D1158" s="1284"/>
      <c r="E1158" s="8884" t="s">
        <v>694</v>
      </c>
      <c r="F1158" s="8884"/>
      <c r="G1158" s="8884"/>
      <c r="H1158" s="8883"/>
      <c r="I1158" s="1284"/>
      <c r="J1158" s="1284"/>
      <c r="K1158" s="1284"/>
      <c r="L1158" s="1290"/>
      <c r="M1158" s="1286"/>
      <c r="N1158" s="1286"/>
      <c r="O1158" s="1287"/>
      <c r="P1158" s="1742"/>
      <c r="Q1158" s="299"/>
      <c r="R1158" s="276"/>
      <c r="S1158" s="6960"/>
      <c r="T1158" s="6961" t="s">
        <v>950</v>
      </c>
      <c r="U1158" s="6962"/>
      <c r="V1158" s="6963"/>
      <c r="W1158" s="6964"/>
      <c r="X1158" s="6965"/>
      <c r="Y1158" s="6966"/>
      <c r="Z1158" s="6967"/>
      <c r="AA1158" s="6968"/>
      <c r="AB1158" s="6969"/>
      <c r="AC1158" s="6970"/>
      <c r="AD1158" s="6971"/>
      <c r="AE1158" s="6972"/>
      <c r="AF1158" s="6973"/>
      <c r="AG1158" s="6974"/>
      <c r="AH1158" s="6975"/>
      <c r="AI1158" s="6976"/>
      <c r="AJ1158" s="6977"/>
      <c r="AK1158" s="6978"/>
      <c r="AL1158" s="1562"/>
      <c r="AM1158" s="1544"/>
      <c r="AN1158" s="1544" t="str">
        <f t="shared" si="18"/>
        <v>Добавить наименование признака дифференциации</v>
      </c>
      <c r="AO1158" s="1544"/>
      <c r="AP1158" s="1544"/>
    </row>
    <row r="1159" spans="1:42" s="541" customFormat="1" ht="14.25" customHeight="1">
      <c r="A1159" s="1265"/>
      <c r="B1159" s="1265"/>
      <c r="C1159" s="1265"/>
      <c r="D1159" s="1265"/>
      <c r="E1159" s="8884" t="s">
        <v>694</v>
      </c>
      <c r="F1159" s="8883"/>
      <c r="G1159" s="1265"/>
      <c r="H1159" s="1265"/>
      <c r="I1159" s="1265"/>
      <c r="J1159" s="1265"/>
      <c r="K1159" s="1265"/>
      <c r="L1159" s="1466"/>
      <c r="M1159" s="1244"/>
      <c r="N1159" s="1244"/>
      <c r="O1159" s="1562"/>
      <c r="P1159" s="1239"/>
      <c r="Q1159" s="1266"/>
      <c r="R1159" s="1239"/>
      <c r="S1159" s="1245"/>
      <c r="T1159" s="1248" t="s">
        <v>314</v>
      </c>
      <c r="U1159" s="1247"/>
      <c r="V1159" s="1247"/>
      <c r="W1159" s="1247"/>
      <c r="X1159" s="1247"/>
      <c r="Y1159" s="1247"/>
      <c r="Z1159" s="1247"/>
      <c r="AA1159" s="1247"/>
      <c r="AB1159" s="1247"/>
      <c r="AC1159" s="1247"/>
      <c r="AD1159" s="1247"/>
      <c r="AE1159" s="1247"/>
      <c r="AF1159" s="1247"/>
      <c r="AG1159" s="1247"/>
      <c r="AH1159" s="1247"/>
      <c r="AI1159" s="1247"/>
      <c r="AJ1159" s="1247"/>
      <c r="AK1159" s="1247"/>
      <c r="AL1159" s="1562"/>
      <c r="AM1159" s="1544"/>
      <c r="AN1159" s="1544" t="str">
        <f t="shared" si="18"/>
        <v>Добавить централизованную систему для дифференциации</v>
      </c>
      <c r="AO1159" s="1544"/>
      <c r="AP1159" s="1544"/>
    </row>
    <row r="1160" spans="1:42" s="541" customFormat="1" ht="14.25" customHeight="1">
      <c r="A1160" s="1265"/>
      <c r="B1160" s="1265"/>
      <c r="C1160" s="1265"/>
      <c r="D1160" s="1265"/>
      <c r="E1160" s="8883" t="s">
        <v>694</v>
      </c>
      <c r="F1160" s="1265"/>
      <c r="G1160" s="1265"/>
      <c r="H1160" s="1265"/>
      <c r="I1160" s="1265"/>
      <c r="J1160" s="1265"/>
      <c r="K1160" s="1265"/>
      <c r="L1160" s="1466"/>
      <c r="M1160" s="1244"/>
      <c r="N1160" s="1244"/>
      <c r="O1160" s="1562"/>
      <c r="P1160" s="1239"/>
      <c r="Q1160" s="1266"/>
      <c r="R1160" s="1239"/>
      <c r="S1160" s="1245"/>
      <c r="T1160" s="1248" t="s">
        <v>315</v>
      </c>
      <c r="U1160" s="1247"/>
      <c r="V1160" s="1247"/>
      <c r="W1160" s="1247"/>
      <c r="X1160" s="1247"/>
      <c r="Y1160" s="1247"/>
      <c r="Z1160" s="1247"/>
      <c r="AA1160" s="1247"/>
      <c r="AB1160" s="1247"/>
      <c r="AC1160" s="1247"/>
      <c r="AD1160" s="1247"/>
      <c r="AE1160" s="1247"/>
      <c r="AF1160" s="1247"/>
      <c r="AG1160" s="1247"/>
      <c r="AH1160" s="1247"/>
      <c r="AI1160" s="1247"/>
      <c r="AJ1160" s="1247"/>
      <c r="AK1160" s="1247"/>
      <c r="AL1160" s="1562"/>
      <c r="AM1160" s="1544"/>
      <c r="AN1160" s="1544" t="str">
        <f t="shared" si="18"/>
        <v>Добавить территорию для дифференциации</v>
      </c>
      <c r="AO1160" s="1544"/>
      <c r="AP1160" s="1544"/>
    </row>
    <row r="1161" spans="1:42" s="1562" customFormat="1" ht="0" hidden="1" customHeight="1">
      <c r="A1161" s="1237"/>
      <c r="B1161" s="1237"/>
      <c r="C1161" s="1237"/>
      <c r="D1161" s="1237"/>
      <c r="E1161" s="1265"/>
      <c r="F1161" s="1237"/>
      <c r="G1161" s="1237"/>
      <c r="H1161" s="1237"/>
      <c r="I1161" s="1237"/>
      <c r="J1161" s="1237"/>
      <c r="K1161" s="1237"/>
      <c r="L1161" s="1376"/>
      <c r="M1161" s="1244"/>
      <c r="N1161" s="1244"/>
      <c r="P1161" s="1239"/>
      <c r="Q1161" s="1240"/>
      <c r="R1161" s="1239"/>
      <c r="S1161" s="1245"/>
      <c r="T1161" s="1248" t="s">
        <v>706</v>
      </c>
      <c r="U1161" s="1247"/>
      <c r="V1161" s="1247"/>
      <c r="W1161" s="1247"/>
      <c r="X1161" s="1247"/>
      <c r="Y1161" s="1247"/>
      <c r="Z1161" s="1247"/>
      <c r="AA1161" s="1247"/>
      <c r="AB1161" s="1247"/>
      <c r="AC1161" s="1247"/>
      <c r="AD1161" s="1247"/>
      <c r="AE1161" s="1247"/>
      <c r="AF1161" s="1247"/>
      <c r="AG1161" s="1247"/>
      <c r="AH1161" s="1247"/>
      <c r="AI1161" s="1247"/>
      <c r="AJ1161" s="1247"/>
      <c r="AK1161" s="1247"/>
      <c r="AM1161" s="703"/>
      <c r="AN1161" s="703" t="str">
        <f t="shared" si="18"/>
        <v>Добавить наименование тарифа</v>
      </c>
      <c r="AO1161" s="703"/>
      <c r="AP1161" s="703"/>
    </row>
    <row r="1162" spans="1:42" ht="11.25" customHeight="1">
      <c r="M1162" s="1065"/>
      <c r="N1162" s="1065"/>
      <c r="O1162" s="460"/>
      <c r="P1162" s="1060"/>
      <c r="Q1162" s="1060"/>
      <c r="R1162" s="1060"/>
      <c r="S1162" s="1060"/>
      <c r="AL1162" s="1060"/>
      <c r="AM1162" s="1060"/>
      <c r="AN1162" s="1060"/>
      <c r="AO1162" s="1060"/>
      <c r="AP1162" s="1060"/>
    </row>
    <row r="1163" spans="1:42" ht="14.25" customHeight="1">
      <c r="O1163" s="460"/>
      <c r="S1163" s="1169"/>
      <c r="T1163" s="8903"/>
      <c r="U1163" s="8903"/>
      <c r="V1163" s="8903"/>
      <c r="W1163" s="8903"/>
      <c r="X1163" s="8903"/>
      <c r="Y1163" s="8903"/>
      <c r="Z1163" s="8903"/>
      <c r="AA1163" s="8903"/>
      <c r="AB1163" s="8903"/>
      <c r="AC1163" s="8903"/>
      <c r="AD1163" s="8903"/>
      <c r="AE1163" s="8903"/>
      <c r="AF1163" s="8903"/>
      <c r="AG1163" s="8903"/>
      <c r="AH1163" s="8903"/>
      <c r="AI1163" s="8903"/>
      <c r="AJ1163" s="8903"/>
      <c r="AK1163" s="8903"/>
    </row>
    <row r="1164" spans="1:42" ht="14.25" customHeight="1">
      <c r="O1164" s="460"/>
    </row>
    <row r="1165" spans="1:42" ht="14.25" customHeight="1">
      <c r="O1165" s="460"/>
      <c r="S1165" s="1169"/>
      <c r="T1165" s="8903"/>
      <c r="U1165" s="8903"/>
      <c r="V1165" s="8903"/>
      <c r="W1165" s="8903"/>
      <c r="X1165" s="8903"/>
      <c r="Y1165" s="8903"/>
      <c r="Z1165" s="8903"/>
      <c r="AA1165" s="8903"/>
      <c r="AB1165" s="8903"/>
      <c r="AC1165" s="8903"/>
      <c r="AD1165" s="8903"/>
      <c r="AE1165" s="8903"/>
      <c r="AF1165" s="8903"/>
      <c r="AG1165" s="8903"/>
      <c r="AH1165" s="8903"/>
      <c r="AI1165" s="8903"/>
      <c r="AJ1165" s="8903"/>
      <c r="AK1165" s="8903"/>
    </row>
  </sheetData>
  <sheetProtection formatColumns="0" formatRows="0" insertRows="0" deleteColumns="0" deleteRows="0" sort="0" autoFilter="0"/>
  <mergeCells count="3013">
    <mergeCell ref="AK1138:AK1139"/>
    <mergeCell ref="Z1138:Z1139"/>
    <mergeCell ref="AA1138:AA1139"/>
    <mergeCell ref="AB1138:AB1139"/>
    <mergeCell ref="AF1138:AF1139"/>
    <mergeCell ref="AG1138:AG1139"/>
    <mergeCell ref="AH1138:AH1139"/>
    <mergeCell ref="J1153:J1156"/>
    <mergeCell ref="Q1153:Q1156"/>
    <mergeCell ref="V1153:AB1153"/>
    <mergeCell ref="AC1153:AJ1153"/>
    <mergeCell ref="K1154:K1155"/>
    <mergeCell ref="Y1154:Y1155"/>
    <mergeCell ref="AI1154:AI1155"/>
    <mergeCell ref="AK1154:AK1155"/>
    <mergeCell ref="Z1154:Z1155"/>
    <mergeCell ref="AA1154:AA1155"/>
    <mergeCell ref="AB1154:AB1155"/>
    <mergeCell ref="AF1154:AF1155"/>
    <mergeCell ref="AG1154:AG1155"/>
    <mergeCell ref="AH1154:AH1155"/>
    <mergeCell ref="AK1106:AK1107"/>
    <mergeCell ref="Z1106:Z1107"/>
    <mergeCell ref="AA1106:AA1107"/>
    <mergeCell ref="AB1106:AB1107"/>
    <mergeCell ref="AF1106:AF1107"/>
    <mergeCell ref="AG1106:AG1107"/>
    <mergeCell ref="AH1106:AH1107"/>
    <mergeCell ref="J1121:J1124"/>
    <mergeCell ref="Q1121:Q1124"/>
    <mergeCell ref="V1121:AB1121"/>
    <mergeCell ref="AC1121:AJ1121"/>
    <mergeCell ref="K1122:K1123"/>
    <mergeCell ref="Y1122:Y1123"/>
    <mergeCell ref="AI1122:AI1123"/>
    <mergeCell ref="AK1122:AK1123"/>
    <mergeCell ref="Z1122:Z1123"/>
    <mergeCell ref="AA1122:AA1123"/>
    <mergeCell ref="AB1122:AB1123"/>
    <mergeCell ref="AF1122:AF1123"/>
    <mergeCell ref="AG1122:AG1123"/>
    <mergeCell ref="AH1122:AH1123"/>
    <mergeCell ref="AK1074:AK1075"/>
    <mergeCell ref="Z1074:Z1075"/>
    <mergeCell ref="AA1074:AA1075"/>
    <mergeCell ref="AB1074:AB1075"/>
    <mergeCell ref="AF1074:AF1075"/>
    <mergeCell ref="AG1074:AG1075"/>
    <mergeCell ref="AH1074:AH1075"/>
    <mergeCell ref="J1089:J1092"/>
    <mergeCell ref="Q1089:Q1092"/>
    <mergeCell ref="V1089:AB1089"/>
    <mergeCell ref="AC1089:AJ1089"/>
    <mergeCell ref="K1090:K1091"/>
    <mergeCell ref="Y1090:Y1091"/>
    <mergeCell ref="AI1090:AI1091"/>
    <mergeCell ref="AK1090:AK1091"/>
    <mergeCell ref="Z1090:Z1091"/>
    <mergeCell ref="AA1090:AA1091"/>
    <mergeCell ref="AB1090:AB1091"/>
    <mergeCell ref="AF1090:AF1091"/>
    <mergeCell ref="AG1090:AG1091"/>
    <mergeCell ref="AH1090:AH1091"/>
    <mergeCell ref="AK1042:AK1043"/>
    <mergeCell ref="Z1042:Z1043"/>
    <mergeCell ref="AA1042:AA1043"/>
    <mergeCell ref="AB1042:AB1043"/>
    <mergeCell ref="AF1042:AF1043"/>
    <mergeCell ref="AG1042:AG1043"/>
    <mergeCell ref="AH1042:AH1043"/>
    <mergeCell ref="J1057:J1060"/>
    <mergeCell ref="Q1057:Q1060"/>
    <mergeCell ref="V1057:AB1057"/>
    <mergeCell ref="AC1057:AJ1057"/>
    <mergeCell ref="K1058:K1059"/>
    <mergeCell ref="Y1058:Y1059"/>
    <mergeCell ref="AI1058:AI1059"/>
    <mergeCell ref="AK1058:AK1059"/>
    <mergeCell ref="Z1058:Z1059"/>
    <mergeCell ref="AA1058:AA1059"/>
    <mergeCell ref="AB1058:AB1059"/>
    <mergeCell ref="AF1058:AF1059"/>
    <mergeCell ref="AG1058:AG1059"/>
    <mergeCell ref="AH1058:AH1059"/>
    <mergeCell ref="AK1010:AK1011"/>
    <mergeCell ref="Z1010:Z1011"/>
    <mergeCell ref="AA1010:AA1011"/>
    <mergeCell ref="AB1010:AB1011"/>
    <mergeCell ref="AF1010:AF1011"/>
    <mergeCell ref="AG1010:AG1011"/>
    <mergeCell ref="AH1010:AH1011"/>
    <mergeCell ref="J1025:J1028"/>
    <mergeCell ref="Q1025:Q1028"/>
    <mergeCell ref="V1025:AB1025"/>
    <mergeCell ref="AC1025:AJ1025"/>
    <mergeCell ref="K1026:K1027"/>
    <mergeCell ref="Y1026:Y1027"/>
    <mergeCell ref="AI1026:AI1027"/>
    <mergeCell ref="AK1026:AK1027"/>
    <mergeCell ref="Z1026:Z1027"/>
    <mergeCell ref="AA1026:AA1027"/>
    <mergeCell ref="AB1026:AB1027"/>
    <mergeCell ref="AF1026:AF1027"/>
    <mergeCell ref="AG1026:AG1027"/>
    <mergeCell ref="AH1026:AH1027"/>
    <mergeCell ref="AK978:AK979"/>
    <mergeCell ref="Z978:Z979"/>
    <mergeCell ref="AA978:AA979"/>
    <mergeCell ref="AB978:AB979"/>
    <mergeCell ref="AF978:AF979"/>
    <mergeCell ref="AG978:AG979"/>
    <mergeCell ref="AH978:AH979"/>
    <mergeCell ref="J993:J996"/>
    <mergeCell ref="Q993:Q996"/>
    <mergeCell ref="V993:AB993"/>
    <mergeCell ref="AC993:AJ993"/>
    <mergeCell ref="K994:K995"/>
    <mergeCell ref="Y994:Y995"/>
    <mergeCell ref="AI994:AI995"/>
    <mergeCell ref="AK994:AK995"/>
    <mergeCell ref="Z994:Z995"/>
    <mergeCell ref="AA994:AA995"/>
    <mergeCell ref="AB994:AB995"/>
    <mergeCell ref="AF994:AF995"/>
    <mergeCell ref="AG994:AG995"/>
    <mergeCell ref="AH994:AH995"/>
    <mergeCell ref="AK946:AK947"/>
    <mergeCell ref="Z946:Z947"/>
    <mergeCell ref="AA946:AA947"/>
    <mergeCell ref="AB946:AB947"/>
    <mergeCell ref="AF946:AF947"/>
    <mergeCell ref="AG946:AG947"/>
    <mergeCell ref="AH946:AH947"/>
    <mergeCell ref="J961:J964"/>
    <mergeCell ref="Q961:Q964"/>
    <mergeCell ref="V961:AB961"/>
    <mergeCell ref="AC961:AJ961"/>
    <mergeCell ref="K962:K963"/>
    <mergeCell ref="Y962:Y963"/>
    <mergeCell ref="AI962:AI963"/>
    <mergeCell ref="AK962:AK963"/>
    <mergeCell ref="Z962:Z963"/>
    <mergeCell ref="AA962:AA963"/>
    <mergeCell ref="AB962:AB963"/>
    <mergeCell ref="AF962:AF963"/>
    <mergeCell ref="AG962:AG963"/>
    <mergeCell ref="AH962:AH963"/>
    <mergeCell ref="AK914:AK915"/>
    <mergeCell ref="Z914:Z915"/>
    <mergeCell ref="AA914:AA915"/>
    <mergeCell ref="AB914:AB915"/>
    <mergeCell ref="AF914:AF915"/>
    <mergeCell ref="AG914:AG915"/>
    <mergeCell ref="AH914:AH915"/>
    <mergeCell ref="J929:J932"/>
    <mergeCell ref="Q929:Q932"/>
    <mergeCell ref="V929:AB929"/>
    <mergeCell ref="AC929:AJ929"/>
    <mergeCell ref="K930:K931"/>
    <mergeCell ref="Y930:Y931"/>
    <mergeCell ref="AI930:AI931"/>
    <mergeCell ref="AK930:AK931"/>
    <mergeCell ref="Z930:Z931"/>
    <mergeCell ref="AA930:AA931"/>
    <mergeCell ref="AB930:AB931"/>
    <mergeCell ref="AF930:AF931"/>
    <mergeCell ref="AG930:AG931"/>
    <mergeCell ref="AH930:AH931"/>
    <mergeCell ref="AK882:AK883"/>
    <mergeCell ref="Z882:Z883"/>
    <mergeCell ref="AA882:AA883"/>
    <mergeCell ref="AB882:AB883"/>
    <mergeCell ref="AF882:AF883"/>
    <mergeCell ref="AG882:AG883"/>
    <mergeCell ref="AH882:AH883"/>
    <mergeCell ref="J897:J900"/>
    <mergeCell ref="Q897:Q900"/>
    <mergeCell ref="V897:AB897"/>
    <mergeCell ref="AC897:AJ897"/>
    <mergeCell ref="K898:K899"/>
    <mergeCell ref="Y898:Y899"/>
    <mergeCell ref="AI898:AI899"/>
    <mergeCell ref="AK898:AK899"/>
    <mergeCell ref="Z898:Z899"/>
    <mergeCell ref="AA898:AA899"/>
    <mergeCell ref="AB898:AB899"/>
    <mergeCell ref="AF898:AF899"/>
    <mergeCell ref="AG898:AG899"/>
    <mergeCell ref="AH898:AH899"/>
    <mergeCell ref="AK850:AK851"/>
    <mergeCell ref="Z850:Z851"/>
    <mergeCell ref="AA850:AA851"/>
    <mergeCell ref="AB850:AB851"/>
    <mergeCell ref="AF850:AF851"/>
    <mergeCell ref="AG850:AG851"/>
    <mergeCell ref="AH850:AH851"/>
    <mergeCell ref="J865:J868"/>
    <mergeCell ref="Q865:Q868"/>
    <mergeCell ref="V865:AB865"/>
    <mergeCell ref="AC865:AJ865"/>
    <mergeCell ref="K866:K867"/>
    <mergeCell ref="Y866:Y867"/>
    <mergeCell ref="AI866:AI867"/>
    <mergeCell ref="AK866:AK867"/>
    <mergeCell ref="Z866:Z867"/>
    <mergeCell ref="AA866:AA867"/>
    <mergeCell ref="AB866:AB867"/>
    <mergeCell ref="AF866:AF867"/>
    <mergeCell ref="AG866:AG867"/>
    <mergeCell ref="AH866:AH867"/>
    <mergeCell ref="AK818:AK819"/>
    <mergeCell ref="Z818:Z819"/>
    <mergeCell ref="AA818:AA819"/>
    <mergeCell ref="AB818:AB819"/>
    <mergeCell ref="AF818:AF819"/>
    <mergeCell ref="AG818:AG819"/>
    <mergeCell ref="AH818:AH819"/>
    <mergeCell ref="J833:J836"/>
    <mergeCell ref="Q833:Q836"/>
    <mergeCell ref="V833:AB833"/>
    <mergeCell ref="AC833:AJ833"/>
    <mergeCell ref="K834:K835"/>
    <mergeCell ref="Y834:Y835"/>
    <mergeCell ref="AI834:AI835"/>
    <mergeCell ref="AK834:AK835"/>
    <mergeCell ref="Z834:Z835"/>
    <mergeCell ref="AA834:AA835"/>
    <mergeCell ref="AB834:AB835"/>
    <mergeCell ref="AF834:AF835"/>
    <mergeCell ref="AG834:AG835"/>
    <mergeCell ref="AH834:AH835"/>
    <mergeCell ref="AK786:AK787"/>
    <mergeCell ref="Z786:Z787"/>
    <mergeCell ref="AA786:AA787"/>
    <mergeCell ref="AB786:AB787"/>
    <mergeCell ref="AF786:AF787"/>
    <mergeCell ref="AG786:AG787"/>
    <mergeCell ref="AH786:AH787"/>
    <mergeCell ref="J801:J804"/>
    <mergeCell ref="Q801:Q804"/>
    <mergeCell ref="V801:AB801"/>
    <mergeCell ref="AC801:AJ801"/>
    <mergeCell ref="K802:K803"/>
    <mergeCell ref="Y802:Y803"/>
    <mergeCell ref="AI802:AI803"/>
    <mergeCell ref="AK802:AK803"/>
    <mergeCell ref="Z802:Z803"/>
    <mergeCell ref="AA802:AA803"/>
    <mergeCell ref="AB802:AB803"/>
    <mergeCell ref="AF802:AF803"/>
    <mergeCell ref="AG802:AG803"/>
    <mergeCell ref="AH802:AH803"/>
    <mergeCell ref="AK754:AK755"/>
    <mergeCell ref="Z754:Z755"/>
    <mergeCell ref="AA754:AA755"/>
    <mergeCell ref="AB754:AB755"/>
    <mergeCell ref="AF754:AF755"/>
    <mergeCell ref="AG754:AG755"/>
    <mergeCell ref="AH754:AH755"/>
    <mergeCell ref="J769:J772"/>
    <mergeCell ref="Q769:Q772"/>
    <mergeCell ref="V769:AB769"/>
    <mergeCell ref="AC769:AJ769"/>
    <mergeCell ref="K770:K771"/>
    <mergeCell ref="Y770:Y771"/>
    <mergeCell ref="AI770:AI771"/>
    <mergeCell ref="AK770:AK771"/>
    <mergeCell ref="Z770:Z771"/>
    <mergeCell ref="AA770:AA771"/>
    <mergeCell ref="AB770:AB771"/>
    <mergeCell ref="AF770:AF771"/>
    <mergeCell ref="AG770:AG771"/>
    <mergeCell ref="AH770:AH771"/>
    <mergeCell ref="AK722:AK723"/>
    <mergeCell ref="Z722:Z723"/>
    <mergeCell ref="AA722:AA723"/>
    <mergeCell ref="AB722:AB723"/>
    <mergeCell ref="AF722:AF723"/>
    <mergeCell ref="AG722:AG723"/>
    <mergeCell ref="AH722:AH723"/>
    <mergeCell ref="J737:J740"/>
    <mergeCell ref="Q737:Q740"/>
    <mergeCell ref="V737:AB737"/>
    <mergeCell ref="AC737:AJ737"/>
    <mergeCell ref="K738:K739"/>
    <mergeCell ref="Y738:Y739"/>
    <mergeCell ref="AI738:AI739"/>
    <mergeCell ref="AK738:AK739"/>
    <mergeCell ref="Z738:Z739"/>
    <mergeCell ref="AA738:AA739"/>
    <mergeCell ref="AB738:AB739"/>
    <mergeCell ref="AF738:AF739"/>
    <mergeCell ref="AG738:AG739"/>
    <mergeCell ref="AH738:AH739"/>
    <mergeCell ref="AK690:AK691"/>
    <mergeCell ref="Z690:Z691"/>
    <mergeCell ref="AA690:AA691"/>
    <mergeCell ref="AB690:AB691"/>
    <mergeCell ref="AF690:AF691"/>
    <mergeCell ref="AG690:AG691"/>
    <mergeCell ref="AH690:AH691"/>
    <mergeCell ref="J705:J708"/>
    <mergeCell ref="Q705:Q708"/>
    <mergeCell ref="V705:AB705"/>
    <mergeCell ref="AC705:AJ705"/>
    <mergeCell ref="K706:K707"/>
    <mergeCell ref="Y706:Y707"/>
    <mergeCell ref="AI706:AI707"/>
    <mergeCell ref="AK706:AK707"/>
    <mergeCell ref="Z706:Z707"/>
    <mergeCell ref="AA706:AA707"/>
    <mergeCell ref="AB706:AB707"/>
    <mergeCell ref="AF706:AF707"/>
    <mergeCell ref="AG706:AG707"/>
    <mergeCell ref="AH706:AH707"/>
    <mergeCell ref="AK658:AK659"/>
    <mergeCell ref="Z658:Z659"/>
    <mergeCell ref="AA658:AA659"/>
    <mergeCell ref="AB658:AB659"/>
    <mergeCell ref="AF658:AF659"/>
    <mergeCell ref="AG658:AG659"/>
    <mergeCell ref="AH658:AH659"/>
    <mergeCell ref="J673:J676"/>
    <mergeCell ref="Q673:Q676"/>
    <mergeCell ref="V673:AB673"/>
    <mergeCell ref="AC673:AJ673"/>
    <mergeCell ref="K674:K675"/>
    <mergeCell ref="Y674:Y675"/>
    <mergeCell ref="AI674:AI675"/>
    <mergeCell ref="AK674:AK675"/>
    <mergeCell ref="Z674:Z675"/>
    <mergeCell ref="AA674:AA675"/>
    <mergeCell ref="AB674:AB675"/>
    <mergeCell ref="AF674:AF675"/>
    <mergeCell ref="AG674:AG675"/>
    <mergeCell ref="AH674:AH675"/>
    <mergeCell ref="AK626:AK627"/>
    <mergeCell ref="Z626:Z627"/>
    <mergeCell ref="AA626:AA627"/>
    <mergeCell ref="AB626:AB627"/>
    <mergeCell ref="AF626:AF627"/>
    <mergeCell ref="AG626:AG627"/>
    <mergeCell ref="AH626:AH627"/>
    <mergeCell ref="J641:J644"/>
    <mergeCell ref="Q641:Q644"/>
    <mergeCell ref="V641:AB641"/>
    <mergeCell ref="AC641:AJ641"/>
    <mergeCell ref="K642:K643"/>
    <mergeCell ref="Y642:Y643"/>
    <mergeCell ref="AI642:AI643"/>
    <mergeCell ref="AK642:AK643"/>
    <mergeCell ref="Z642:Z643"/>
    <mergeCell ref="AA642:AA643"/>
    <mergeCell ref="AB642:AB643"/>
    <mergeCell ref="AF642:AF643"/>
    <mergeCell ref="AG642:AG643"/>
    <mergeCell ref="AH642:AH643"/>
    <mergeCell ref="AK594:AK595"/>
    <mergeCell ref="Z594:Z595"/>
    <mergeCell ref="AA594:AA595"/>
    <mergeCell ref="AB594:AB595"/>
    <mergeCell ref="AF594:AF595"/>
    <mergeCell ref="AG594:AG595"/>
    <mergeCell ref="AH594:AH595"/>
    <mergeCell ref="J609:J612"/>
    <mergeCell ref="Q609:Q612"/>
    <mergeCell ref="V609:AB609"/>
    <mergeCell ref="AC609:AJ609"/>
    <mergeCell ref="K610:K611"/>
    <mergeCell ref="Y610:Y611"/>
    <mergeCell ref="AI610:AI611"/>
    <mergeCell ref="AK610:AK611"/>
    <mergeCell ref="Z610:Z611"/>
    <mergeCell ref="AA610:AA611"/>
    <mergeCell ref="AB610:AB611"/>
    <mergeCell ref="AF610:AF611"/>
    <mergeCell ref="AG610:AG611"/>
    <mergeCell ref="AH610:AH611"/>
    <mergeCell ref="AK562:AK563"/>
    <mergeCell ref="Z562:Z563"/>
    <mergeCell ref="AA562:AA563"/>
    <mergeCell ref="AB562:AB563"/>
    <mergeCell ref="AF562:AF563"/>
    <mergeCell ref="AG562:AG563"/>
    <mergeCell ref="AH562:AH563"/>
    <mergeCell ref="J577:J580"/>
    <mergeCell ref="Q577:Q580"/>
    <mergeCell ref="V577:AB577"/>
    <mergeCell ref="AC577:AJ577"/>
    <mergeCell ref="K578:K579"/>
    <mergeCell ref="Y578:Y579"/>
    <mergeCell ref="AI578:AI579"/>
    <mergeCell ref="AK578:AK579"/>
    <mergeCell ref="Z578:Z579"/>
    <mergeCell ref="AA578:AA579"/>
    <mergeCell ref="AB578:AB579"/>
    <mergeCell ref="AF578:AF579"/>
    <mergeCell ref="AG578:AG579"/>
    <mergeCell ref="AH578:AH579"/>
    <mergeCell ref="AK530:AK531"/>
    <mergeCell ref="Z530:Z531"/>
    <mergeCell ref="AA530:AA531"/>
    <mergeCell ref="AB530:AB531"/>
    <mergeCell ref="AF530:AF531"/>
    <mergeCell ref="AG530:AG531"/>
    <mergeCell ref="AH530:AH531"/>
    <mergeCell ref="J545:J548"/>
    <mergeCell ref="Q545:Q548"/>
    <mergeCell ref="V545:AB545"/>
    <mergeCell ref="AC545:AJ545"/>
    <mergeCell ref="K546:K547"/>
    <mergeCell ref="Y546:Y547"/>
    <mergeCell ref="AI546:AI547"/>
    <mergeCell ref="AK546:AK547"/>
    <mergeCell ref="Z546:Z547"/>
    <mergeCell ref="AA546:AA547"/>
    <mergeCell ref="AB546:AB547"/>
    <mergeCell ref="AF546:AF547"/>
    <mergeCell ref="AG546:AG547"/>
    <mergeCell ref="AH546:AH547"/>
    <mergeCell ref="AK498:AK499"/>
    <mergeCell ref="Z498:Z499"/>
    <mergeCell ref="AA498:AA499"/>
    <mergeCell ref="AB498:AB499"/>
    <mergeCell ref="AF498:AF499"/>
    <mergeCell ref="AG498:AG499"/>
    <mergeCell ref="AH498:AH499"/>
    <mergeCell ref="J513:J516"/>
    <mergeCell ref="Q513:Q516"/>
    <mergeCell ref="V513:AB513"/>
    <mergeCell ref="AC513:AJ513"/>
    <mergeCell ref="K514:K515"/>
    <mergeCell ref="Y514:Y515"/>
    <mergeCell ref="AI514:AI515"/>
    <mergeCell ref="AK514:AK515"/>
    <mergeCell ref="Z514:Z515"/>
    <mergeCell ref="AA514:AA515"/>
    <mergeCell ref="AB514:AB515"/>
    <mergeCell ref="AF514:AF515"/>
    <mergeCell ref="AG514:AG515"/>
    <mergeCell ref="AH514:AH515"/>
    <mergeCell ref="AK466:AK467"/>
    <mergeCell ref="Z466:Z467"/>
    <mergeCell ref="AA466:AA467"/>
    <mergeCell ref="AB466:AB467"/>
    <mergeCell ref="AF466:AF467"/>
    <mergeCell ref="AG466:AG467"/>
    <mergeCell ref="AH466:AH467"/>
    <mergeCell ref="J481:J484"/>
    <mergeCell ref="Q481:Q484"/>
    <mergeCell ref="V481:AB481"/>
    <mergeCell ref="AC481:AJ481"/>
    <mergeCell ref="K482:K483"/>
    <mergeCell ref="Y482:Y483"/>
    <mergeCell ref="AI482:AI483"/>
    <mergeCell ref="AK482:AK483"/>
    <mergeCell ref="Z482:Z483"/>
    <mergeCell ref="AA482:AA483"/>
    <mergeCell ref="AB482:AB483"/>
    <mergeCell ref="AF482:AF483"/>
    <mergeCell ref="AG482:AG483"/>
    <mergeCell ref="AH482:AH483"/>
    <mergeCell ref="AK434:AK435"/>
    <mergeCell ref="Z434:Z435"/>
    <mergeCell ref="AA434:AA435"/>
    <mergeCell ref="AB434:AB435"/>
    <mergeCell ref="AF434:AF435"/>
    <mergeCell ref="AG434:AG435"/>
    <mergeCell ref="AH434:AH435"/>
    <mergeCell ref="J449:J452"/>
    <mergeCell ref="Q449:Q452"/>
    <mergeCell ref="V449:AB449"/>
    <mergeCell ref="AC449:AJ449"/>
    <mergeCell ref="K450:K451"/>
    <mergeCell ref="Y450:Y451"/>
    <mergeCell ref="AI450:AI451"/>
    <mergeCell ref="AK450:AK451"/>
    <mergeCell ref="Z450:Z451"/>
    <mergeCell ref="AA450:AA451"/>
    <mergeCell ref="AB450:AB451"/>
    <mergeCell ref="AF450:AF451"/>
    <mergeCell ref="AG450:AG451"/>
    <mergeCell ref="AH450:AH451"/>
    <mergeCell ref="AK402:AK403"/>
    <mergeCell ref="Z402:Z403"/>
    <mergeCell ref="AA402:AA403"/>
    <mergeCell ref="AB402:AB403"/>
    <mergeCell ref="AF402:AF403"/>
    <mergeCell ref="AG402:AG403"/>
    <mergeCell ref="AH402:AH403"/>
    <mergeCell ref="J417:J420"/>
    <mergeCell ref="Q417:Q420"/>
    <mergeCell ref="V417:AB417"/>
    <mergeCell ref="AC417:AJ417"/>
    <mergeCell ref="K418:K419"/>
    <mergeCell ref="Y418:Y419"/>
    <mergeCell ref="AI418:AI419"/>
    <mergeCell ref="AK418:AK419"/>
    <mergeCell ref="Z418:Z419"/>
    <mergeCell ref="AA418:AA419"/>
    <mergeCell ref="AB418:AB419"/>
    <mergeCell ref="AF418:AF419"/>
    <mergeCell ref="AG418:AG419"/>
    <mergeCell ref="AH418:AH419"/>
    <mergeCell ref="AK370:AK371"/>
    <mergeCell ref="Z370:Z371"/>
    <mergeCell ref="AA370:AA371"/>
    <mergeCell ref="AB370:AB371"/>
    <mergeCell ref="AF370:AF371"/>
    <mergeCell ref="AG370:AG371"/>
    <mergeCell ref="AH370:AH371"/>
    <mergeCell ref="J385:J388"/>
    <mergeCell ref="Q385:Q388"/>
    <mergeCell ref="V385:AB385"/>
    <mergeCell ref="AC385:AJ385"/>
    <mergeCell ref="K386:K387"/>
    <mergeCell ref="Y386:Y387"/>
    <mergeCell ref="AI386:AI387"/>
    <mergeCell ref="AK386:AK387"/>
    <mergeCell ref="Z386:Z387"/>
    <mergeCell ref="AA386:AA387"/>
    <mergeCell ref="AB386:AB387"/>
    <mergeCell ref="AF386:AF387"/>
    <mergeCell ref="AG386:AG387"/>
    <mergeCell ref="AH386:AH387"/>
    <mergeCell ref="AK338:AK339"/>
    <mergeCell ref="Z338:Z339"/>
    <mergeCell ref="AA338:AA339"/>
    <mergeCell ref="AB338:AB339"/>
    <mergeCell ref="AF338:AF339"/>
    <mergeCell ref="AG338:AG339"/>
    <mergeCell ref="AH338:AH339"/>
    <mergeCell ref="J353:J356"/>
    <mergeCell ref="Q353:Q356"/>
    <mergeCell ref="V353:AB353"/>
    <mergeCell ref="AC353:AJ353"/>
    <mergeCell ref="K354:K355"/>
    <mergeCell ref="Y354:Y355"/>
    <mergeCell ref="AI354:AI355"/>
    <mergeCell ref="AK354:AK355"/>
    <mergeCell ref="Z354:Z355"/>
    <mergeCell ref="AA354:AA355"/>
    <mergeCell ref="AB354:AB355"/>
    <mergeCell ref="AF354:AF355"/>
    <mergeCell ref="AG354:AG355"/>
    <mergeCell ref="AH354:AH355"/>
    <mergeCell ref="AK306:AK307"/>
    <mergeCell ref="Z306:Z307"/>
    <mergeCell ref="AA306:AA307"/>
    <mergeCell ref="AB306:AB307"/>
    <mergeCell ref="AF306:AF307"/>
    <mergeCell ref="AG306:AG307"/>
    <mergeCell ref="AH306:AH307"/>
    <mergeCell ref="J321:J324"/>
    <mergeCell ref="Q321:Q324"/>
    <mergeCell ref="V321:AB321"/>
    <mergeCell ref="AC321:AJ321"/>
    <mergeCell ref="K322:K323"/>
    <mergeCell ref="Y322:Y323"/>
    <mergeCell ref="AI322:AI323"/>
    <mergeCell ref="AK322:AK323"/>
    <mergeCell ref="Z322:Z323"/>
    <mergeCell ref="AA322:AA323"/>
    <mergeCell ref="AB322:AB323"/>
    <mergeCell ref="AF322:AF323"/>
    <mergeCell ref="AG322:AG323"/>
    <mergeCell ref="AH322:AH323"/>
    <mergeCell ref="AK274:AK275"/>
    <mergeCell ref="Z274:Z275"/>
    <mergeCell ref="AA274:AA275"/>
    <mergeCell ref="AB274:AB275"/>
    <mergeCell ref="AF274:AF275"/>
    <mergeCell ref="AG274:AG275"/>
    <mergeCell ref="AH274:AH275"/>
    <mergeCell ref="J289:J292"/>
    <mergeCell ref="Q289:Q292"/>
    <mergeCell ref="V289:AB289"/>
    <mergeCell ref="AC289:AJ289"/>
    <mergeCell ref="K290:K291"/>
    <mergeCell ref="Y290:Y291"/>
    <mergeCell ref="AI290:AI291"/>
    <mergeCell ref="AK290:AK291"/>
    <mergeCell ref="Z290:Z291"/>
    <mergeCell ref="AA290:AA291"/>
    <mergeCell ref="AB290:AB291"/>
    <mergeCell ref="AF290:AF291"/>
    <mergeCell ref="AG290:AG291"/>
    <mergeCell ref="AH290:AH291"/>
    <mergeCell ref="AK242:AK243"/>
    <mergeCell ref="Z242:Z243"/>
    <mergeCell ref="AA242:AA243"/>
    <mergeCell ref="AB242:AB243"/>
    <mergeCell ref="AF242:AF243"/>
    <mergeCell ref="AG242:AG243"/>
    <mergeCell ref="AH242:AH243"/>
    <mergeCell ref="J257:J260"/>
    <mergeCell ref="Q257:Q260"/>
    <mergeCell ref="V257:AB257"/>
    <mergeCell ref="AC257:AJ257"/>
    <mergeCell ref="K258:K259"/>
    <mergeCell ref="Y258:Y259"/>
    <mergeCell ref="AI258:AI259"/>
    <mergeCell ref="AK258:AK259"/>
    <mergeCell ref="Z258:Z259"/>
    <mergeCell ref="AA258:AA259"/>
    <mergeCell ref="AB258:AB259"/>
    <mergeCell ref="AF258:AF259"/>
    <mergeCell ref="AG258:AG259"/>
    <mergeCell ref="AH258:AH259"/>
    <mergeCell ref="AK210:AK211"/>
    <mergeCell ref="Z210:Z211"/>
    <mergeCell ref="AA210:AA211"/>
    <mergeCell ref="AB210:AB211"/>
    <mergeCell ref="AF210:AF211"/>
    <mergeCell ref="AG210:AG211"/>
    <mergeCell ref="AH210:AH211"/>
    <mergeCell ref="J225:J228"/>
    <mergeCell ref="Q225:Q228"/>
    <mergeCell ref="V225:AB225"/>
    <mergeCell ref="AC225:AJ225"/>
    <mergeCell ref="K226:K227"/>
    <mergeCell ref="Y226:Y227"/>
    <mergeCell ref="AI226:AI227"/>
    <mergeCell ref="AK226:AK227"/>
    <mergeCell ref="Z226:Z227"/>
    <mergeCell ref="AA226:AA227"/>
    <mergeCell ref="AB226:AB227"/>
    <mergeCell ref="AF226:AF227"/>
    <mergeCell ref="AG226:AG227"/>
    <mergeCell ref="AH226:AH227"/>
    <mergeCell ref="AK178:AK179"/>
    <mergeCell ref="Z178:Z179"/>
    <mergeCell ref="AA178:AA179"/>
    <mergeCell ref="AB178:AB179"/>
    <mergeCell ref="AF178:AF179"/>
    <mergeCell ref="AG178:AG179"/>
    <mergeCell ref="AH178:AH179"/>
    <mergeCell ref="J193:J196"/>
    <mergeCell ref="Q193:Q196"/>
    <mergeCell ref="V193:AB193"/>
    <mergeCell ref="AC193:AJ193"/>
    <mergeCell ref="K194:K195"/>
    <mergeCell ref="Y194:Y195"/>
    <mergeCell ref="AI194:AI195"/>
    <mergeCell ref="AK194:AK195"/>
    <mergeCell ref="Z194:Z195"/>
    <mergeCell ref="AA194:AA195"/>
    <mergeCell ref="AB194:AB195"/>
    <mergeCell ref="AF194:AF195"/>
    <mergeCell ref="AG194:AG195"/>
    <mergeCell ref="AH194:AH195"/>
    <mergeCell ref="AK146:AK147"/>
    <mergeCell ref="Z146:Z147"/>
    <mergeCell ref="AA146:AA147"/>
    <mergeCell ref="AB146:AB147"/>
    <mergeCell ref="AF146:AF147"/>
    <mergeCell ref="AG146:AG147"/>
    <mergeCell ref="AH146:AH147"/>
    <mergeCell ref="J161:J164"/>
    <mergeCell ref="Q161:Q164"/>
    <mergeCell ref="V161:AB161"/>
    <mergeCell ref="AC161:AJ161"/>
    <mergeCell ref="K162:K163"/>
    <mergeCell ref="Y162:Y163"/>
    <mergeCell ref="AI162:AI163"/>
    <mergeCell ref="AK162:AK163"/>
    <mergeCell ref="Z162:Z163"/>
    <mergeCell ref="AA162:AA163"/>
    <mergeCell ref="AB162:AB163"/>
    <mergeCell ref="AF162:AF163"/>
    <mergeCell ref="AG162:AG163"/>
    <mergeCell ref="AH162:AH163"/>
    <mergeCell ref="AK114:AK115"/>
    <mergeCell ref="Z114:Z115"/>
    <mergeCell ref="AA114:AA115"/>
    <mergeCell ref="AB114:AB115"/>
    <mergeCell ref="AF114:AF115"/>
    <mergeCell ref="AG114:AG115"/>
    <mergeCell ref="AH114:AH115"/>
    <mergeCell ref="J129:J132"/>
    <mergeCell ref="Q129:Q132"/>
    <mergeCell ref="V129:AB129"/>
    <mergeCell ref="AC129:AJ129"/>
    <mergeCell ref="K130:K131"/>
    <mergeCell ref="Y130:Y131"/>
    <mergeCell ref="AI130:AI131"/>
    <mergeCell ref="AK130:AK131"/>
    <mergeCell ref="Z130:Z131"/>
    <mergeCell ref="AA130:AA131"/>
    <mergeCell ref="AB130:AB131"/>
    <mergeCell ref="AF130:AF131"/>
    <mergeCell ref="AG130:AG131"/>
    <mergeCell ref="AH130:AH131"/>
    <mergeCell ref="AK82:AK83"/>
    <mergeCell ref="Z82:Z83"/>
    <mergeCell ref="AA82:AA83"/>
    <mergeCell ref="AB82:AB83"/>
    <mergeCell ref="AF82:AF83"/>
    <mergeCell ref="AG82:AG83"/>
    <mergeCell ref="AH82:AH83"/>
    <mergeCell ref="J97:J100"/>
    <mergeCell ref="Q97:Q100"/>
    <mergeCell ref="V97:AB97"/>
    <mergeCell ref="AC97:AJ97"/>
    <mergeCell ref="K98:K99"/>
    <mergeCell ref="Y98:Y99"/>
    <mergeCell ref="AI98:AI99"/>
    <mergeCell ref="AK98:AK99"/>
    <mergeCell ref="Z98:Z99"/>
    <mergeCell ref="AA98:AA99"/>
    <mergeCell ref="AB98:AB99"/>
    <mergeCell ref="AF98:AF99"/>
    <mergeCell ref="AG98:AG99"/>
    <mergeCell ref="AH98:AH99"/>
    <mergeCell ref="AF1150:AF1151"/>
    <mergeCell ref="AG1150:AG1151"/>
    <mergeCell ref="AH1150:AH1151"/>
    <mergeCell ref="J49:J52"/>
    <mergeCell ref="Q49:Q52"/>
    <mergeCell ref="V49:AB49"/>
    <mergeCell ref="AC49:AJ49"/>
    <mergeCell ref="K50:K51"/>
    <mergeCell ref="Y50:Y51"/>
    <mergeCell ref="AI50:AI51"/>
    <mergeCell ref="AK50:AK51"/>
    <mergeCell ref="Z50:Z51"/>
    <mergeCell ref="AA50:AA51"/>
    <mergeCell ref="AB50:AB51"/>
    <mergeCell ref="AF50:AF51"/>
    <mergeCell ref="AG50:AG51"/>
    <mergeCell ref="AH50:AH51"/>
    <mergeCell ref="J65:J68"/>
    <mergeCell ref="Q65:Q68"/>
    <mergeCell ref="V65:AB65"/>
    <mergeCell ref="AC65:AJ65"/>
    <mergeCell ref="K66:K67"/>
    <mergeCell ref="Y66:Y67"/>
    <mergeCell ref="AI66:AI67"/>
    <mergeCell ref="AK66:AK67"/>
    <mergeCell ref="Z66:Z67"/>
    <mergeCell ref="AA66:AA67"/>
    <mergeCell ref="AB66:AB67"/>
    <mergeCell ref="AF66:AF67"/>
    <mergeCell ref="AG66:AG67"/>
    <mergeCell ref="AH66:AH67"/>
    <mergeCell ref="J81:J84"/>
    <mergeCell ref="AK1134:AK1135"/>
    <mergeCell ref="Z1134:Z1135"/>
    <mergeCell ref="AA1134:AA1135"/>
    <mergeCell ref="AB1134:AB1135"/>
    <mergeCell ref="AF1134:AF1135"/>
    <mergeCell ref="AG1134:AG1135"/>
    <mergeCell ref="AH1134:AH1135"/>
    <mergeCell ref="E1145:E1160"/>
    <mergeCell ref="V1145:AB1145"/>
    <mergeCell ref="AC1145:AJ1145"/>
    <mergeCell ref="F1146:F1159"/>
    <mergeCell ref="V1146:AB1146"/>
    <mergeCell ref="AC1146:AJ1146"/>
    <mergeCell ref="G1147:G1158"/>
    <mergeCell ref="V1147:AB1147"/>
    <mergeCell ref="AC1147:AJ1147"/>
    <mergeCell ref="H1148:H1158"/>
    <mergeCell ref="I1148:I1157"/>
    <mergeCell ref="P1148:P1157"/>
    <mergeCell ref="V1148:AB1148"/>
    <mergeCell ref="AC1148:AJ1148"/>
    <mergeCell ref="J1149:J1152"/>
    <mergeCell ref="Q1149:Q1152"/>
    <mergeCell ref="V1149:AB1149"/>
    <mergeCell ref="AC1149:AJ1149"/>
    <mergeCell ref="K1150:K1151"/>
    <mergeCell ref="Y1150:Y1151"/>
    <mergeCell ref="AI1150:AI1151"/>
    <mergeCell ref="AK1150:AK1151"/>
    <mergeCell ref="Z1150:Z1151"/>
    <mergeCell ref="AA1150:AA1151"/>
    <mergeCell ref="AB1150:AB1151"/>
    <mergeCell ref="AF1118:AF1119"/>
    <mergeCell ref="AG1118:AG1119"/>
    <mergeCell ref="AH1118:AH1119"/>
    <mergeCell ref="E1129:E1144"/>
    <mergeCell ref="V1129:AB1129"/>
    <mergeCell ref="AC1129:AJ1129"/>
    <mergeCell ref="F1130:F1143"/>
    <mergeCell ref="V1130:AB1130"/>
    <mergeCell ref="AC1130:AJ1130"/>
    <mergeCell ref="G1131:G1142"/>
    <mergeCell ref="V1131:AB1131"/>
    <mergeCell ref="AC1131:AJ1131"/>
    <mergeCell ref="H1132:H1142"/>
    <mergeCell ref="I1132:I1141"/>
    <mergeCell ref="P1132:P1141"/>
    <mergeCell ref="V1132:AB1132"/>
    <mergeCell ref="AC1132:AJ1132"/>
    <mergeCell ref="J1133:J1136"/>
    <mergeCell ref="Q1133:Q1136"/>
    <mergeCell ref="V1133:AB1133"/>
    <mergeCell ref="AC1133:AJ1133"/>
    <mergeCell ref="K1134:K1135"/>
    <mergeCell ref="Y1134:Y1135"/>
    <mergeCell ref="AI1134:AI1135"/>
    <mergeCell ref="J1137:J1140"/>
    <mergeCell ref="Q1137:Q1140"/>
    <mergeCell ref="V1137:AB1137"/>
    <mergeCell ref="AC1137:AJ1137"/>
    <mergeCell ref="K1138:K1139"/>
    <mergeCell ref="Y1138:Y1139"/>
    <mergeCell ref="AI1138:AI1139"/>
    <mergeCell ref="AK1102:AK1103"/>
    <mergeCell ref="Z1102:Z1103"/>
    <mergeCell ref="AA1102:AA1103"/>
    <mergeCell ref="AB1102:AB1103"/>
    <mergeCell ref="AF1102:AF1103"/>
    <mergeCell ref="AG1102:AG1103"/>
    <mergeCell ref="AH1102:AH1103"/>
    <mergeCell ref="E1113:E1128"/>
    <mergeCell ref="V1113:AB1113"/>
    <mergeCell ref="AC1113:AJ1113"/>
    <mergeCell ref="F1114:F1127"/>
    <mergeCell ref="V1114:AB1114"/>
    <mergeCell ref="AC1114:AJ1114"/>
    <mergeCell ref="G1115:G1126"/>
    <mergeCell ref="V1115:AB1115"/>
    <mergeCell ref="AC1115:AJ1115"/>
    <mergeCell ref="H1116:H1126"/>
    <mergeCell ref="I1116:I1125"/>
    <mergeCell ref="P1116:P1125"/>
    <mergeCell ref="V1116:AB1116"/>
    <mergeCell ref="AC1116:AJ1116"/>
    <mergeCell ref="J1117:J1120"/>
    <mergeCell ref="Q1117:Q1120"/>
    <mergeCell ref="V1117:AB1117"/>
    <mergeCell ref="AC1117:AJ1117"/>
    <mergeCell ref="K1118:K1119"/>
    <mergeCell ref="Y1118:Y1119"/>
    <mergeCell ref="AI1118:AI1119"/>
    <mergeCell ref="AK1118:AK1119"/>
    <mergeCell ref="Z1118:Z1119"/>
    <mergeCell ref="AA1118:AA1119"/>
    <mergeCell ref="AB1118:AB1119"/>
    <mergeCell ref="AF1086:AF1087"/>
    <mergeCell ref="AG1086:AG1087"/>
    <mergeCell ref="AH1086:AH1087"/>
    <mergeCell ref="E1097:E1112"/>
    <mergeCell ref="V1097:AB1097"/>
    <mergeCell ref="AC1097:AJ1097"/>
    <mergeCell ref="F1098:F1111"/>
    <mergeCell ref="V1098:AB1098"/>
    <mergeCell ref="AC1098:AJ1098"/>
    <mergeCell ref="G1099:G1110"/>
    <mergeCell ref="V1099:AB1099"/>
    <mergeCell ref="AC1099:AJ1099"/>
    <mergeCell ref="H1100:H1110"/>
    <mergeCell ref="I1100:I1109"/>
    <mergeCell ref="P1100:P1109"/>
    <mergeCell ref="V1100:AB1100"/>
    <mergeCell ref="AC1100:AJ1100"/>
    <mergeCell ref="J1101:J1104"/>
    <mergeCell ref="Q1101:Q1104"/>
    <mergeCell ref="V1101:AB1101"/>
    <mergeCell ref="AC1101:AJ1101"/>
    <mergeCell ref="K1102:K1103"/>
    <mergeCell ref="Y1102:Y1103"/>
    <mergeCell ref="AI1102:AI1103"/>
    <mergeCell ref="J1105:J1108"/>
    <mergeCell ref="Q1105:Q1108"/>
    <mergeCell ref="V1105:AB1105"/>
    <mergeCell ref="AC1105:AJ1105"/>
    <mergeCell ref="K1106:K1107"/>
    <mergeCell ref="Y1106:Y1107"/>
    <mergeCell ref="AI1106:AI1107"/>
    <mergeCell ref="AK1070:AK1071"/>
    <mergeCell ref="Z1070:Z1071"/>
    <mergeCell ref="AA1070:AA1071"/>
    <mergeCell ref="AB1070:AB1071"/>
    <mergeCell ref="AF1070:AF1071"/>
    <mergeCell ref="AG1070:AG1071"/>
    <mergeCell ref="AH1070:AH1071"/>
    <mergeCell ref="E1081:E1096"/>
    <mergeCell ref="V1081:AB1081"/>
    <mergeCell ref="AC1081:AJ1081"/>
    <mergeCell ref="F1082:F1095"/>
    <mergeCell ref="V1082:AB1082"/>
    <mergeCell ref="AC1082:AJ1082"/>
    <mergeCell ref="G1083:G1094"/>
    <mergeCell ref="V1083:AB1083"/>
    <mergeCell ref="AC1083:AJ1083"/>
    <mergeCell ref="H1084:H1094"/>
    <mergeCell ref="I1084:I1093"/>
    <mergeCell ref="P1084:P1093"/>
    <mergeCell ref="V1084:AB1084"/>
    <mergeCell ref="AC1084:AJ1084"/>
    <mergeCell ref="J1085:J1088"/>
    <mergeCell ref="Q1085:Q1088"/>
    <mergeCell ref="V1085:AB1085"/>
    <mergeCell ref="AC1085:AJ1085"/>
    <mergeCell ref="K1086:K1087"/>
    <mergeCell ref="Y1086:Y1087"/>
    <mergeCell ref="AI1086:AI1087"/>
    <mergeCell ref="AK1086:AK1087"/>
    <mergeCell ref="Z1086:Z1087"/>
    <mergeCell ref="AA1086:AA1087"/>
    <mergeCell ref="AB1086:AB1087"/>
    <mergeCell ref="AF1054:AF1055"/>
    <mergeCell ref="AG1054:AG1055"/>
    <mergeCell ref="AH1054:AH1055"/>
    <mergeCell ref="E1065:E1080"/>
    <mergeCell ref="V1065:AB1065"/>
    <mergeCell ref="AC1065:AJ1065"/>
    <mergeCell ref="F1066:F1079"/>
    <mergeCell ref="V1066:AB1066"/>
    <mergeCell ref="AC1066:AJ1066"/>
    <mergeCell ref="G1067:G1078"/>
    <mergeCell ref="V1067:AB1067"/>
    <mergeCell ref="AC1067:AJ1067"/>
    <mergeCell ref="H1068:H1078"/>
    <mergeCell ref="I1068:I1077"/>
    <mergeCell ref="P1068:P1077"/>
    <mergeCell ref="V1068:AB1068"/>
    <mergeCell ref="AC1068:AJ1068"/>
    <mergeCell ref="J1069:J1072"/>
    <mergeCell ref="Q1069:Q1072"/>
    <mergeCell ref="V1069:AB1069"/>
    <mergeCell ref="AC1069:AJ1069"/>
    <mergeCell ref="K1070:K1071"/>
    <mergeCell ref="Y1070:Y1071"/>
    <mergeCell ref="AI1070:AI1071"/>
    <mergeCell ref="J1073:J1076"/>
    <mergeCell ref="Q1073:Q1076"/>
    <mergeCell ref="V1073:AB1073"/>
    <mergeCell ref="AC1073:AJ1073"/>
    <mergeCell ref="K1074:K1075"/>
    <mergeCell ref="Y1074:Y1075"/>
    <mergeCell ref="AI1074:AI1075"/>
    <mergeCell ref="AK1038:AK1039"/>
    <mergeCell ref="Z1038:Z1039"/>
    <mergeCell ref="AA1038:AA1039"/>
    <mergeCell ref="AB1038:AB1039"/>
    <mergeCell ref="AF1038:AF1039"/>
    <mergeCell ref="AG1038:AG1039"/>
    <mergeCell ref="AH1038:AH1039"/>
    <mergeCell ref="E1049:E1064"/>
    <mergeCell ref="V1049:AB1049"/>
    <mergeCell ref="AC1049:AJ1049"/>
    <mergeCell ref="F1050:F1063"/>
    <mergeCell ref="V1050:AB1050"/>
    <mergeCell ref="AC1050:AJ1050"/>
    <mergeCell ref="G1051:G1062"/>
    <mergeCell ref="V1051:AB1051"/>
    <mergeCell ref="AC1051:AJ1051"/>
    <mergeCell ref="H1052:H1062"/>
    <mergeCell ref="I1052:I1061"/>
    <mergeCell ref="P1052:P1061"/>
    <mergeCell ref="V1052:AB1052"/>
    <mergeCell ref="AC1052:AJ1052"/>
    <mergeCell ref="J1053:J1056"/>
    <mergeCell ref="Q1053:Q1056"/>
    <mergeCell ref="V1053:AB1053"/>
    <mergeCell ref="AC1053:AJ1053"/>
    <mergeCell ref="K1054:K1055"/>
    <mergeCell ref="Y1054:Y1055"/>
    <mergeCell ref="AI1054:AI1055"/>
    <mergeCell ref="AK1054:AK1055"/>
    <mergeCell ref="Z1054:Z1055"/>
    <mergeCell ref="AA1054:AA1055"/>
    <mergeCell ref="AB1054:AB1055"/>
    <mergeCell ref="AF1022:AF1023"/>
    <mergeCell ref="AG1022:AG1023"/>
    <mergeCell ref="AH1022:AH1023"/>
    <mergeCell ref="E1033:E1048"/>
    <mergeCell ref="V1033:AB1033"/>
    <mergeCell ref="AC1033:AJ1033"/>
    <mergeCell ref="F1034:F1047"/>
    <mergeCell ref="V1034:AB1034"/>
    <mergeCell ref="AC1034:AJ1034"/>
    <mergeCell ref="G1035:G1046"/>
    <mergeCell ref="V1035:AB1035"/>
    <mergeCell ref="AC1035:AJ1035"/>
    <mergeCell ref="H1036:H1046"/>
    <mergeCell ref="I1036:I1045"/>
    <mergeCell ref="P1036:P1045"/>
    <mergeCell ref="V1036:AB1036"/>
    <mergeCell ref="AC1036:AJ1036"/>
    <mergeCell ref="J1037:J1040"/>
    <mergeCell ref="Q1037:Q1040"/>
    <mergeCell ref="V1037:AB1037"/>
    <mergeCell ref="AC1037:AJ1037"/>
    <mergeCell ref="K1038:K1039"/>
    <mergeCell ref="Y1038:Y1039"/>
    <mergeCell ref="AI1038:AI1039"/>
    <mergeCell ref="J1041:J1044"/>
    <mergeCell ref="Q1041:Q1044"/>
    <mergeCell ref="V1041:AB1041"/>
    <mergeCell ref="AC1041:AJ1041"/>
    <mergeCell ref="K1042:K1043"/>
    <mergeCell ref="Y1042:Y1043"/>
    <mergeCell ref="AI1042:AI1043"/>
    <mergeCell ref="AK1006:AK1007"/>
    <mergeCell ref="Z1006:Z1007"/>
    <mergeCell ref="AA1006:AA1007"/>
    <mergeCell ref="AB1006:AB1007"/>
    <mergeCell ref="AF1006:AF1007"/>
    <mergeCell ref="AG1006:AG1007"/>
    <mergeCell ref="AH1006:AH1007"/>
    <mergeCell ref="E1017:E1032"/>
    <mergeCell ref="V1017:AB1017"/>
    <mergeCell ref="AC1017:AJ1017"/>
    <mergeCell ref="F1018:F1031"/>
    <mergeCell ref="V1018:AB1018"/>
    <mergeCell ref="AC1018:AJ1018"/>
    <mergeCell ref="G1019:G1030"/>
    <mergeCell ref="V1019:AB1019"/>
    <mergeCell ref="AC1019:AJ1019"/>
    <mergeCell ref="H1020:H1030"/>
    <mergeCell ref="I1020:I1029"/>
    <mergeCell ref="P1020:P1029"/>
    <mergeCell ref="V1020:AB1020"/>
    <mergeCell ref="AC1020:AJ1020"/>
    <mergeCell ref="J1021:J1024"/>
    <mergeCell ref="Q1021:Q1024"/>
    <mergeCell ref="V1021:AB1021"/>
    <mergeCell ref="AC1021:AJ1021"/>
    <mergeCell ref="K1022:K1023"/>
    <mergeCell ref="Y1022:Y1023"/>
    <mergeCell ref="AI1022:AI1023"/>
    <mergeCell ref="AK1022:AK1023"/>
    <mergeCell ref="Z1022:Z1023"/>
    <mergeCell ref="AA1022:AA1023"/>
    <mergeCell ref="AB1022:AB1023"/>
    <mergeCell ref="AF990:AF991"/>
    <mergeCell ref="AG990:AG991"/>
    <mergeCell ref="AH990:AH991"/>
    <mergeCell ref="E1001:E1016"/>
    <mergeCell ref="V1001:AB1001"/>
    <mergeCell ref="AC1001:AJ1001"/>
    <mergeCell ref="F1002:F1015"/>
    <mergeCell ref="V1002:AB1002"/>
    <mergeCell ref="AC1002:AJ1002"/>
    <mergeCell ref="G1003:G1014"/>
    <mergeCell ref="V1003:AB1003"/>
    <mergeCell ref="AC1003:AJ1003"/>
    <mergeCell ref="H1004:H1014"/>
    <mergeCell ref="I1004:I1013"/>
    <mergeCell ref="P1004:P1013"/>
    <mergeCell ref="V1004:AB1004"/>
    <mergeCell ref="AC1004:AJ1004"/>
    <mergeCell ref="J1005:J1008"/>
    <mergeCell ref="Q1005:Q1008"/>
    <mergeCell ref="V1005:AB1005"/>
    <mergeCell ref="AC1005:AJ1005"/>
    <mergeCell ref="K1006:K1007"/>
    <mergeCell ref="Y1006:Y1007"/>
    <mergeCell ref="AI1006:AI1007"/>
    <mergeCell ref="J1009:J1012"/>
    <mergeCell ref="Q1009:Q1012"/>
    <mergeCell ref="V1009:AB1009"/>
    <mergeCell ref="AC1009:AJ1009"/>
    <mergeCell ref="K1010:K1011"/>
    <mergeCell ref="Y1010:Y1011"/>
    <mergeCell ref="AI1010:AI1011"/>
    <mergeCell ref="AK974:AK975"/>
    <mergeCell ref="Z974:Z975"/>
    <mergeCell ref="AA974:AA975"/>
    <mergeCell ref="AB974:AB975"/>
    <mergeCell ref="AF974:AF975"/>
    <mergeCell ref="AG974:AG975"/>
    <mergeCell ref="AH974:AH975"/>
    <mergeCell ref="E985:E1000"/>
    <mergeCell ref="V985:AB985"/>
    <mergeCell ref="AC985:AJ985"/>
    <mergeCell ref="F986:F999"/>
    <mergeCell ref="V986:AB986"/>
    <mergeCell ref="AC986:AJ986"/>
    <mergeCell ref="G987:G998"/>
    <mergeCell ref="V987:AB987"/>
    <mergeCell ref="AC987:AJ987"/>
    <mergeCell ref="H988:H998"/>
    <mergeCell ref="I988:I997"/>
    <mergeCell ref="P988:P997"/>
    <mergeCell ref="V988:AB988"/>
    <mergeCell ref="AC988:AJ988"/>
    <mergeCell ref="J989:J992"/>
    <mergeCell ref="Q989:Q992"/>
    <mergeCell ref="V989:AB989"/>
    <mergeCell ref="AC989:AJ989"/>
    <mergeCell ref="K990:K991"/>
    <mergeCell ref="Y990:Y991"/>
    <mergeCell ref="AI990:AI991"/>
    <mergeCell ref="AK990:AK991"/>
    <mergeCell ref="Z990:Z991"/>
    <mergeCell ref="AA990:AA991"/>
    <mergeCell ref="AB990:AB991"/>
    <mergeCell ref="AF958:AF959"/>
    <mergeCell ref="AG958:AG959"/>
    <mergeCell ref="AH958:AH959"/>
    <mergeCell ref="E969:E984"/>
    <mergeCell ref="V969:AB969"/>
    <mergeCell ref="AC969:AJ969"/>
    <mergeCell ref="F970:F983"/>
    <mergeCell ref="V970:AB970"/>
    <mergeCell ref="AC970:AJ970"/>
    <mergeCell ref="G971:G982"/>
    <mergeCell ref="V971:AB971"/>
    <mergeCell ref="AC971:AJ971"/>
    <mergeCell ref="H972:H982"/>
    <mergeCell ref="I972:I981"/>
    <mergeCell ref="P972:P981"/>
    <mergeCell ref="V972:AB972"/>
    <mergeCell ref="AC972:AJ972"/>
    <mergeCell ref="J973:J976"/>
    <mergeCell ref="Q973:Q976"/>
    <mergeCell ref="V973:AB973"/>
    <mergeCell ref="AC973:AJ973"/>
    <mergeCell ref="K974:K975"/>
    <mergeCell ref="Y974:Y975"/>
    <mergeCell ref="AI974:AI975"/>
    <mergeCell ref="J977:J980"/>
    <mergeCell ref="Q977:Q980"/>
    <mergeCell ref="V977:AB977"/>
    <mergeCell ref="AC977:AJ977"/>
    <mergeCell ref="K978:K979"/>
    <mergeCell ref="Y978:Y979"/>
    <mergeCell ref="AI978:AI979"/>
    <mergeCell ref="AK942:AK943"/>
    <mergeCell ref="Z942:Z943"/>
    <mergeCell ref="AA942:AA943"/>
    <mergeCell ref="AB942:AB943"/>
    <mergeCell ref="AF942:AF943"/>
    <mergeCell ref="AG942:AG943"/>
    <mergeCell ref="AH942:AH943"/>
    <mergeCell ref="E953:E968"/>
    <mergeCell ref="V953:AB953"/>
    <mergeCell ref="AC953:AJ953"/>
    <mergeCell ref="F954:F967"/>
    <mergeCell ref="V954:AB954"/>
    <mergeCell ref="AC954:AJ954"/>
    <mergeCell ref="G955:G966"/>
    <mergeCell ref="V955:AB955"/>
    <mergeCell ref="AC955:AJ955"/>
    <mergeCell ref="H956:H966"/>
    <mergeCell ref="I956:I965"/>
    <mergeCell ref="P956:P965"/>
    <mergeCell ref="V956:AB956"/>
    <mergeCell ref="AC956:AJ956"/>
    <mergeCell ref="J957:J960"/>
    <mergeCell ref="Q957:Q960"/>
    <mergeCell ref="V957:AB957"/>
    <mergeCell ref="AC957:AJ957"/>
    <mergeCell ref="K958:K959"/>
    <mergeCell ref="Y958:Y959"/>
    <mergeCell ref="AI958:AI959"/>
    <mergeCell ref="AK958:AK959"/>
    <mergeCell ref="Z958:Z959"/>
    <mergeCell ref="AA958:AA959"/>
    <mergeCell ref="AB958:AB959"/>
    <mergeCell ref="AF926:AF927"/>
    <mergeCell ref="AG926:AG927"/>
    <mergeCell ref="AH926:AH927"/>
    <mergeCell ref="E937:E952"/>
    <mergeCell ref="V937:AB937"/>
    <mergeCell ref="AC937:AJ937"/>
    <mergeCell ref="F938:F951"/>
    <mergeCell ref="V938:AB938"/>
    <mergeCell ref="AC938:AJ938"/>
    <mergeCell ref="G939:G950"/>
    <mergeCell ref="V939:AB939"/>
    <mergeCell ref="AC939:AJ939"/>
    <mergeCell ref="H940:H950"/>
    <mergeCell ref="I940:I949"/>
    <mergeCell ref="P940:P949"/>
    <mergeCell ref="V940:AB940"/>
    <mergeCell ref="AC940:AJ940"/>
    <mergeCell ref="J941:J944"/>
    <mergeCell ref="Q941:Q944"/>
    <mergeCell ref="V941:AB941"/>
    <mergeCell ref="AC941:AJ941"/>
    <mergeCell ref="K942:K943"/>
    <mergeCell ref="Y942:Y943"/>
    <mergeCell ref="AI942:AI943"/>
    <mergeCell ref="J945:J948"/>
    <mergeCell ref="Q945:Q948"/>
    <mergeCell ref="V945:AB945"/>
    <mergeCell ref="AC945:AJ945"/>
    <mergeCell ref="K946:K947"/>
    <mergeCell ref="Y946:Y947"/>
    <mergeCell ref="AI946:AI947"/>
    <mergeCell ref="AK910:AK911"/>
    <mergeCell ref="Z910:Z911"/>
    <mergeCell ref="AA910:AA911"/>
    <mergeCell ref="AB910:AB911"/>
    <mergeCell ref="AF910:AF911"/>
    <mergeCell ref="AG910:AG911"/>
    <mergeCell ref="AH910:AH911"/>
    <mergeCell ref="E921:E936"/>
    <mergeCell ref="V921:AB921"/>
    <mergeCell ref="AC921:AJ921"/>
    <mergeCell ref="F922:F935"/>
    <mergeCell ref="V922:AB922"/>
    <mergeCell ref="AC922:AJ922"/>
    <mergeCell ref="G923:G934"/>
    <mergeCell ref="V923:AB923"/>
    <mergeCell ref="AC923:AJ923"/>
    <mergeCell ref="H924:H934"/>
    <mergeCell ref="I924:I933"/>
    <mergeCell ref="P924:P933"/>
    <mergeCell ref="V924:AB924"/>
    <mergeCell ref="AC924:AJ924"/>
    <mergeCell ref="J925:J928"/>
    <mergeCell ref="Q925:Q928"/>
    <mergeCell ref="V925:AB925"/>
    <mergeCell ref="AC925:AJ925"/>
    <mergeCell ref="K926:K927"/>
    <mergeCell ref="Y926:Y927"/>
    <mergeCell ref="AI926:AI927"/>
    <mergeCell ref="AK926:AK927"/>
    <mergeCell ref="Z926:Z927"/>
    <mergeCell ref="AA926:AA927"/>
    <mergeCell ref="AB926:AB927"/>
    <mergeCell ref="AF894:AF895"/>
    <mergeCell ref="AG894:AG895"/>
    <mergeCell ref="AH894:AH895"/>
    <mergeCell ref="E905:E920"/>
    <mergeCell ref="V905:AB905"/>
    <mergeCell ref="AC905:AJ905"/>
    <mergeCell ref="F906:F919"/>
    <mergeCell ref="V906:AB906"/>
    <mergeCell ref="AC906:AJ906"/>
    <mergeCell ref="G907:G918"/>
    <mergeCell ref="V907:AB907"/>
    <mergeCell ref="AC907:AJ907"/>
    <mergeCell ref="H908:H918"/>
    <mergeCell ref="I908:I917"/>
    <mergeCell ref="P908:P917"/>
    <mergeCell ref="V908:AB908"/>
    <mergeCell ref="AC908:AJ908"/>
    <mergeCell ref="J909:J912"/>
    <mergeCell ref="Q909:Q912"/>
    <mergeCell ref="V909:AB909"/>
    <mergeCell ref="AC909:AJ909"/>
    <mergeCell ref="K910:K911"/>
    <mergeCell ref="Y910:Y911"/>
    <mergeCell ref="AI910:AI911"/>
    <mergeCell ref="J913:J916"/>
    <mergeCell ref="Q913:Q916"/>
    <mergeCell ref="V913:AB913"/>
    <mergeCell ref="AC913:AJ913"/>
    <mergeCell ref="K914:K915"/>
    <mergeCell ref="Y914:Y915"/>
    <mergeCell ref="AI914:AI915"/>
    <mergeCell ref="AK878:AK879"/>
    <mergeCell ref="Z878:Z879"/>
    <mergeCell ref="AA878:AA879"/>
    <mergeCell ref="AB878:AB879"/>
    <mergeCell ref="AF878:AF879"/>
    <mergeCell ref="AG878:AG879"/>
    <mergeCell ref="AH878:AH879"/>
    <mergeCell ref="E889:E904"/>
    <mergeCell ref="V889:AB889"/>
    <mergeCell ref="AC889:AJ889"/>
    <mergeCell ref="F890:F903"/>
    <mergeCell ref="V890:AB890"/>
    <mergeCell ref="AC890:AJ890"/>
    <mergeCell ref="G891:G902"/>
    <mergeCell ref="V891:AB891"/>
    <mergeCell ref="AC891:AJ891"/>
    <mergeCell ref="H892:H902"/>
    <mergeCell ref="I892:I901"/>
    <mergeCell ref="P892:P901"/>
    <mergeCell ref="V892:AB892"/>
    <mergeCell ref="AC892:AJ892"/>
    <mergeCell ref="J893:J896"/>
    <mergeCell ref="Q893:Q896"/>
    <mergeCell ref="V893:AB893"/>
    <mergeCell ref="AC893:AJ893"/>
    <mergeCell ref="K894:K895"/>
    <mergeCell ref="Y894:Y895"/>
    <mergeCell ref="AI894:AI895"/>
    <mergeCell ref="AK894:AK895"/>
    <mergeCell ref="Z894:Z895"/>
    <mergeCell ref="AA894:AA895"/>
    <mergeCell ref="AB894:AB895"/>
    <mergeCell ref="AF862:AF863"/>
    <mergeCell ref="AG862:AG863"/>
    <mergeCell ref="AH862:AH863"/>
    <mergeCell ref="E873:E888"/>
    <mergeCell ref="V873:AB873"/>
    <mergeCell ref="AC873:AJ873"/>
    <mergeCell ref="F874:F887"/>
    <mergeCell ref="V874:AB874"/>
    <mergeCell ref="AC874:AJ874"/>
    <mergeCell ref="G875:G886"/>
    <mergeCell ref="V875:AB875"/>
    <mergeCell ref="AC875:AJ875"/>
    <mergeCell ref="H876:H886"/>
    <mergeCell ref="I876:I885"/>
    <mergeCell ref="P876:P885"/>
    <mergeCell ref="V876:AB876"/>
    <mergeCell ref="AC876:AJ876"/>
    <mergeCell ref="J877:J880"/>
    <mergeCell ref="Q877:Q880"/>
    <mergeCell ref="V877:AB877"/>
    <mergeCell ref="AC877:AJ877"/>
    <mergeCell ref="K878:K879"/>
    <mergeCell ref="Y878:Y879"/>
    <mergeCell ref="AI878:AI879"/>
    <mergeCell ref="J881:J884"/>
    <mergeCell ref="Q881:Q884"/>
    <mergeCell ref="V881:AB881"/>
    <mergeCell ref="AC881:AJ881"/>
    <mergeCell ref="K882:K883"/>
    <mergeCell ref="Y882:Y883"/>
    <mergeCell ref="AI882:AI883"/>
    <mergeCell ref="AK846:AK847"/>
    <mergeCell ref="Z846:Z847"/>
    <mergeCell ref="AA846:AA847"/>
    <mergeCell ref="AB846:AB847"/>
    <mergeCell ref="AF846:AF847"/>
    <mergeCell ref="AG846:AG847"/>
    <mergeCell ref="AH846:AH847"/>
    <mergeCell ref="E857:E872"/>
    <mergeCell ref="V857:AB857"/>
    <mergeCell ref="AC857:AJ857"/>
    <mergeCell ref="F858:F871"/>
    <mergeCell ref="V858:AB858"/>
    <mergeCell ref="AC858:AJ858"/>
    <mergeCell ref="G859:G870"/>
    <mergeCell ref="V859:AB859"/>
    <mergeCell ref="AC859:AJ859"/>
    <mergeCell ref="H860:H870"/>
    <mergeCell ref="I860:I869"/>
    <mergeCell ref="P860:P869"/>
    <mergeCell ref="V860:AB860"/>
    <mergeCell ref="AC860:AJ860"/>
    <mergeCell ref="J861:J864"/>
    <mergeCell ref="Q861:Q864"/>
    <mergeCell ref="V861:AB861"/>
    <mergeCell ref="AC861:AJ861"/>
    <mergeCell ref="K862:K863"/>
    <mergeCell ref="Y862:Y863"/>
    <mergeCell ref="AI862:AI863"/>
    <mergeCell ref="AK862:AK863"/>
    <mergeCell ref="Z862:Z863"/>
    <mergeCell ref="AA862:AA863"/>
    <mergeCell ref="AB862:AB863"/>
    <mergeCell ref="AF830:AF831"/>
    <mergeCell ref="AG830:AG831"/>
    <mergeCell ref="AH830:AH831"/>
    <mergeCell ref="E841:E856"/>
    <mergeCell ref="V841:AB841"/>
    <mergeCell ref="AC841:AJ841"/>
    <mergeCell ref="F842:F855"/>
    <mergeCell ref="V842:AB842"/>
    <mergeCell ref="AC842:AJ842"/>
    <mergeCell ref="G843:G854"/>
    <mergeCell ref="V843:AB843"/>
    <mergeCell ref="AC843:AJ843"/>
    <mergeCell ref="H844:H854"/>
    <mergeCell ref="I844:I853"/>
    <mergeCell ref="P844:P853"/>
    <mergeCell ref="V844:AB844"/>
    <mergeCell ref="AC844:AJ844"/>
    <mergeCell ref="J845:J848"/>
    <mergeCell ref="Q845:Q848"/>
    <mergeCell ref="V845:AB845"/>
    <mergeCell ref="AC845:AJ845"/>
    <mergeCell ref="K846:K847"/>
    <mergeCell ref="Y846:Y847"/>
    <mergeCell ref="AI846:AI847"/>
    <mergeCell ref="J849:J852"/>
    <mergeCell ref="Q849:Q852"/>
    <mergeCell ref="V849:AB849"/>
    <mergeCell ref="AC849:AJ849"/>
    <mergeCell ref="K850:K851"/>
    <mergeCell ref="Y850:Y851"/>
    <mergeCell ref="AI850:AI851"/>
    <mergeCell ref="AK814:AK815"/>
    <mergeCell ref="Z814:Z815"/>
    <mergeCell ref="AA814:AA815"/>
    <mergeCell ref="AB814:AB815"/>
    <mergeCell ref="AF814:AF815"/>
    <mergeCell ref="AG814:AG815"/>
    <mergeCell ref="AH814:AH815"/>
    <mergeCell ref="E825:E840"/>
    <mergeCell ref="V825:AB825"/>
    <mergeCell ref="AC825:AJ825"/>
    <mergeCell ref="F826:F839"/>
    <mergeCell ref="V826:AB826"/>
    <mergeCell ref="AC826:AJ826"/>
    <mergeCell ref="G827:G838"/>
    <mergeCell ref="V827:AB827"/>
    <mergeCell ref="AC827:AJ827"/>
    <mergeCell ref="H828:H838"/>
    <mergeCell ref="I828:I837"/>
    <mergeCell ref="P828:P837"/>
    <mergeCell ref="V828:AB828"/>
    <mergeCell ref="AC828:AJ828"/>
    <mergeCell ref="J829:J832"/>
    <mergeCell ref="Q829:Q832"/>
    <mergeCell ref="V829:AB829"/>
    <mergeCell ref="AC829:AJ829"/>
    <mergeCell ref="K830:K831"/>
    <mergeCell ref="Y830:Y831"/>
    <mergeCell ref="AI830:AI831"/>
    <mergeCell ref="AK830:AK831"/>
    <mergeCell ref="Z830:Z831"/>
    <mergeCell ref="AA830:AA831"/>
    <mergeCell ref="AB830:AB831"/>
    <mergeCell ref="AF798:AF799"/>
    <mergeCell ref="AG798:AG799"/>
    <mergeCell ref="AH798:AH799"/>
    <mergeCell ref="E809:E824"/>
    <mergeCell ref="V809:AB809"/>
    <mergeCell ref="AC809:AJ809"/>
    <mergeCell ref="F810:F823"/>
    <mergeCell ref="V810:AB810"/>
    <mergeCell ref="AC810:AJ810"/>
    <mergeCell ref="G811:G822"/>
    <mergeCell ref="V811:AB811"/>
    <mergeCell ref="AC811:AJ811"/>
    <mergeCell ref="H812:H822"/>
    <mergeCell ref="I812:I821"/>
    <mergeCell ref="P812:P821"/>
    <mergeCell ref="V812:AB812"/>
    <mergeCell ref="AC812:AJ812"/>
    <mergeCell ref="J813:J816"/>
    <mergeCell ref="Q813:Q816"/>
    <mergeCell ref="V813:AB813"/>
    <mergeCell ref="AC813:AJ813"/>
    <mergeCell ref="K814:K815"/>
    <mergeCell ref="Y814:Y815"/>
    <mergeCell ref="AI814:AI815"/>
    <mergeCell ref="J817:J820"/>
    <mergeCell ref="Q817:Q820"/>
    <mergeCell ref="V817:AB817"/>
    <mergeCell ref="AC817:AJ817"/>
    <mergeCell ref="K818:K819"/>
    <mergeCell ref="Y818:Y819"/>
    <mergeCell ref="AI818:AI819"/>
    <mergeCell ref="AK782:AK783"/>
    <mergeCell ref="Z782:Z783"/>
    <mergeCell ref="AA782:AA783"/>
    <mergeCell ref="AB782:AB783"/>
    <mergeCell ref="AF782:AF783"/>
    <mergeCell ref="AG782:AG783"/>
    <mergeCell ref="AH782:AH783"/>
    <mergeCell ref="E793:E808"/>
    <mergeCell ref="V793:AB793"/>
    <mergeCell ref="AC793:AJ793"/>
    <mergeCell ref="F794:F807"/>
    <mergeCell ref="V794:AB794"/>
    <mergeCell ref="AC794:AJ794"/>
    <mergeCell ref="G795:G806"/>
    <mergeCell ref="V795:AB795"/>
    <mergeCell ref="AC795:AJ795"/>
    <mergeCell ref="H796:H806"/>
    <mergeCell ref="I796:I805"/>
    <mergeCell ref="P796:P805"/>
    <mergeCell ref="V796:AB796"/>
    <mergeCell ref="AC796:AJ796"/>
    <mergeCell ref="J797:J800"/>
    <mergeCell ref="Q797:Q800"/>
    <mergeCell ref="V797:AB797"/>
    <mergeCell ref="AC797:AJ797"/>
    <mergeCell ref="K798:K799"/>
    <mergeCell ref="Y798:Y799"/>
    <mergeCell ref="AI798:AI799"/>
    <mergeCell ref="AK798:AK799"/>
    <mergeCell ref="Z798:Z799"/>
    <mergeCell ref="AA798:AA799"/>
    <mergeCell ref="AB798:AB799"/>
    <mergeCell ref="AF766:AF767"/>
    <mergeCell ref="AG766:AG767"/>
    <mergeCell ref="AH766:AH767"/>
    <mergeCell ref="E777:E792"/>
    <mergeCell ref="V777:AB777"/>
    <mergeCell ref="AC777:AJ777"/>
    <mergeCell ref="F778:F791"/>
    <mergeCell ref="V778:AB778"/>
    <mergeCell ref="AC778:AJ778"/>
    <mergeCell ref="G779:G790"/>
    <mergeCell ref="V779:AB779"/>
    <mergeCell ref="AC779:AJ779"/>
    <mergeCell ref="H780:H790"/>
    <mergeCell ref="I780:I789"/>
    <mergeCell ref="P780:P789"/>
    <mergeCell ref="V780:AB780"/>
    <mergeCell ref="AC780:AJ780"/>
    <mergeCell ref="J781:J784"/>
    <mergeCell ref="Q781:Q784"/>
    <mergeCell ref="V781:AB781"/>
    <mergeCell ref="AC781:AJ781"/>
    <mergeCell ref="K782:K783"/>
    <mergeCell ref="Y782:Y783"/>
    <mergeCell ref="AI782:AI783"/>
    <mergeCell ref="J785:J788"/>
    <mergeCell ref="Q785:Q788"/>
    <mergeCell ref="V785:AB785"/>
    <mergeCell ref="AC785:AJ785"/>
    <mergeCell ref="K786:K787"/>
    <mergeCell ref="Y786:Y787"/>
    <mergeCell ref="AI786:AI787"/>
    <mergeCell ref="AK750:AK751"/>
    <mergeCell ref="Z750:Z751"/>
    <mergeCell ref="AA750:AA751"/>
    <mergeCell ref="AB750:AB751"/>
    <mergeCell ref="AF750:AF751"/>
    <mergeCell ref="AG750:AG751"/>
    <mergeCell ref="AH750:AH751"/>
    <mergeCell ref="E761:E776"/>
    <mergeCell ref="V761:AB761"/>
    <mergeCell ref="AC761:AJ761"/>
    <mergeCell ref="F762:F775"/>
    <mergeCell ref="V762:AB762"/>
    <mergeCell ref="AC762:AJ762"/>
    <mergeCell ref="G763:G774"/>
    <mergeCell ref="V763:AB763"/>
    <mergeCell ref="AC763:AJ763"/>
    <mergeCell ref="H764:H774"/>
    <mergeCell ref="I764:I773"/>
    <mergeCell ref="P764:P773"/>
    <mergeCell ref="V764:AB764"/>
    <mergeCell ref="AC764:AJ764"/>
    <mergeCell ref="J765:J768"/>
    <mergeCell ref="Q765:Q768"/>
    <mergeCell ref="V765:AB765"/>
    <mergeCell ref="AC765:AJ765"/>
    <mergeCell ref="K766:K767"/>
    <mergeCell ref="Y766:Y767"/>
    <mergeCell ref="AI766:AI767"/>
    <mergeCell ref="AK766:AK767"/>
    <mergeCell ref="Z766:Z767"/>
    <mergeCell ref="AA766:AA767"/>
    <mergeCell ref="AB766:AB767"/>
    <mergeCell ref="AF734:AF735"/>
    <mergeCell ref="AG734:AG735"/>
    <mergeCell ref="AH734:AH735"/>
    <mergeCell ref="E745:E760"/>
    <mergeCell ref="V745:AB745"/>
    <mergeCell ref="AC745:AJ745"/>
    <mergeCell ref="F746:F759"/>
    <mergeCell ref="V746:AB746"/>
    <mergeCell ref="AC746:AJ746"/>
    <mergeCell ref="G747:G758"/>
    <mergeCell ref="V747:AB747"/>
    <mergeCell ref="AC747:AJ747"/>
    <mergeCell ref="H748:H758"/>
    <mergeCell ref="I748:I757"/>
    <mergeCell ref="P748:P757"/>
    <mergeCell ref="V748:AB748"/>
    <mergeCell ref="AC748:AJ748"/>
    <mergeCell ref="J749:J752"/>
    <mergeCell ref="Q749:Q752"/>
    <mergeCell ref="V749:AB749"/>
    <mergeCell ref="AC749:AJ749"/>
    <mergeCell ref="K750:K751"/>
    <mergeCell ref="Y750:Y751"/>
    <mergeCell ref="AI750:AI751"/>
    <mergeCell ref="J753:J756"/>
    <mergeCell ref="Q753:Q756"/>
    <mergeCell ref="V753:AB753"/>
    <mergeCell ref="AC753:AJ753"/>
    <mergeCell ref="K754:K755"/>
    <mergeCell ref="Y754:Y755"/>
    <mergeCell ref="AI754:AI755"/>
    <mergeCell ref="AK718:AK719"/>
    <mergeCell ref="Z718:Z719"/>
    <mergeCell ref="AA718:AA719"/>
    <mergeCell ref="AB718:AB719"/>
    <mergeCell ref="AF718:AF719"/>
    <mergeCell ref="AG718:AG719"/>
    <mergeCell ref="AH718:AH719"/>
    <mergeCell ref="E729:E744"/>
    <mergeCell ref="V729:AB729"/>
    <mergeCell ref="AC729:AJ729"/>
    <mergeCell ref="F730:F743"/>
    <mergeCell ref="V730:AB730"/>
    <mergeCell ref="AC730:AJ730"/>
    <mergeCell ref="G731:G742"/>
    <mergeCell ref="V731:AB731"/>
    <mergeCell ref="AC731:AJ731"/>
    <mergeCell ref="H732:H742"/>
    <mergeCell ref="I732:I741"/>
    <mergeCell ref="P732:P741"/>
    <mergeCell ref="V732:AB732"/>
    <mergeCell ref="AC732:AJ732"/>
    <mergeCell ref="J733:J736"/>
    <mergeCell ref="Q733:Q736"/>
    <mergeCell ref="V733:AB733"/>
    <mergeCell ref="AC733:AJ733"/>
    <mergeCell ref="K734:K735"/>
    <mergeCell ref="Y734:Y735"/>
    <mergeCell ref="AI734:AI735"/>
    <mergeCell ref="AK734:AK735"/>
    <mergeCell ref="Z734:Z735"/>
    <mergeCell ref="AA734:AA735"/>
    <mergeCell ref="AB734:AB735"/>
    <mergeCell ref="AF702:AF703"/>
    <mergeCell ref="AG702:AG703"/>
    <mergeCell ref="AH702:AH703"/>
    <mergeCell ref="E713:E728"/>
    <mergeCell ref="V713:AB713"/>
    <mergeCell ref="AC713:AJ713"/>
    <mergeCell ref="F714:F727"/>
    <mergeCell ref="V714:AB714"/>
    <mergeCell ref="AC714:AJ714"/>
    <mergeCell ref="G715:G726"/>
    <mergeCell ref="V715:AB715"/>
    <mergeCell ref="AC715:AJ715"/>
    <mergeCell ref="H716:H726"/>
    <mergeCell ref="I716:I725"/>
    <mergeCell ref="P716:P725"/>
    <mergeCell ref="V716:AB716"/>
    <mergeCell ref="AC716:AJ716"/>
    <mergeCell ref="J717:J720"/>
    <mergeCell ref="Q717:Q720"/>
    <mergeCell ref="V717:AB717"/>
    <mergeCell ref="AC717:AJ717"/>
    <mergeCell ref="K718:K719"/>
    <mergeCell ref="Y718:Y719"/>
    <mergeCell ref="AI718:AI719"/>
    <mergeCell ref="J721:J724"/>
    <mergeCell ref="Q721:Q724"/>
    <mergeCell ref="V721:AB721"/>
    <mergeCell ref="AC721:AJ721"/>
    <mergeCell ref="K722:K723"/>
    <mergeCell ref="Y722:Y723"/>
    <mergeCell ref="AI722:AI723"/>
    <mergeCell ref="AK686:AK687"/>
    <mergeCell ref="Z686:Z687"/>
    <mergeCell ref="AA686:AA687"/>
    <mergeCell ref="AB686:AB687"/>
    <mergeCell ref="AF686:AF687"/>
    <mergeCell ref="AG686:AG687"/>
    <mergeCell ref="AH686:AH687"/>
    <mergeCell ref="E697:E712"/>
    <mergeCell ref="V697:AB697"/>
    <mergeCell ref="AC697:AJ697"/>
    <mergeCell ref="F698:F711"/>
    <mergeCell ref="V698:AB698"/>
    <mergeCell ref="AC698:AJ698"/>
    <mergeCell ref="G699:G710"/>
    <mergeCell ref="V699:AB699"/>
    <mergeCell ref="AC699:AJ699"/>
    <mergeCell ref="H700:H710"/>
    <mergeCell ref="I700:I709"/>
    <mergeCell ref="P700:P709"/>
    <mergeCell ref="V700:AB700"/>
    <mergeCell ref="AC700:AJ700"/>
    <mergeCell ref="J701:J704"/>
    <mergeCell ref="Q701:Q704"/>
    <mergeCell ref="V701:AB701"/>
    <mergeCell ref="AC701:AJ701"/>
    <mergeCell ref="K702:K703"/>
    <mergeCell ref="Y702:Y703"/>
    <mergeCell ref="AI702:AI703"/>
    <mergeCell ref="AK702:AK703"/>
    <mergeCell ref="Z702:Z703"/>
    <mergeCell ref="AA702:AA703"/>
    <mergeCell ref="AB702:AB703"/>
    <mergeCell ref="AF670:AF671"/>
    <mergeCell ref="AG670:AG671"/>
    <mergeCell ref="AH670:AH671"/>
    <mergeCell ref="E681:E696"/>
    <mergeCell ref="V681:AB681"/>
    <mergeCell ref="AC681:AJ681"/>
    <mergeCell ref="F682:F695"/>
    <mergeCell ref="V682:AB682"/>
    <mergeCell ref="AC682:AJ682"/>
    <mergeCell ref="G683:G694"/>
    <mergeCell ref="V683:AB683"/>
    <mergeCell ref="AC683:AJ683"/>
    <mergeCell ref="H684:H694"/>
    <mergeCell ref="I684:I693"/>
    <mergeCell ref="P684:P693"/>
    <mergeCell ref="V684:AB684"/>
    <mergeCell ref="AC684:AJ684"/>
    <mergeCell ref="J685:J688"/>
    <mergeCell ref="Q685:Q688"/>
    <mergeCell ref="V685:AB685"/>
    <mergeCell ref="AC685:AJ685"/>
    <mergeCell ref="K686:K687"/>
    <mergeCell ref="Y686:Y687"/>
    <mergeCell ref="AI686:AI687"/>
    <mergeCell ref="J689:J692"/>
    <mergeCell ref="Q689:Q692"/>
    <mergeCell ref="V689:AB689"/>
    <mergeCell ref="AC689:AJ689"/>
    <mergeCell ref="K690:K691"/>
    <mergeCell ref="Y690:Y691"/>
    <mergeCell ref="AI690:AI691"/>
    <mergeCell ref="AK654:AK655"/>
    <mergeCell ref="Z654:Z655"/>
    <mergeCell ref="AA654:AA655"/>
    <mergeCell ref="AB654:AB655"/>
    <mergeCell ref="AF654:AF655"/>
    <mergeCell ref="AG654:AG655"/>
    <mergeCell ref="AH654:AH655"/>
    <mergeCell ref="E665:E680"/>
    <mergeCell ref="V665:AB665"/>
    <mergeCell ref="AC665:AJ665"/>
    <mergeCell ref="F666:F679"/>
    <mergeCell ref="V666:AB666"/>
    <mergeCell ref="AC666:AJ666"/>
    <mergeCell ref="G667:G678"/>
    <mergeCell ref="V667:AB667"/>
    <mergeCell ref="AC667:AJ667"/>
    <mergeCell ref="H668:H678"/>
    <mergeCell ref="I668:I677"/>
    <mergeCell ref="P668:P677"/>
    <mergeCell ref="V668:AB668"/>
    <mergeCell ref="AC668:AJ668"/>
    <mergeCell ref="J669:J672"/>
    <mergeCell ref="Q669:Q672"/>
    <mergeCell ref="V669:AB669"/>
    <mergeCell ref="AC669:AJ669"/>
    <mergeCell ref="K670:K671"/>
    <mergeCell ref="Y670:Y671"/>
    <mergeCell ref="AI670:AI671"/>
    <mergeCell ref="AK670:AK671"/>
    <mergeCell ref="Z670:Z671"/>
    <mergeCell ref="AA670:AA671"/>
    <mergeCell ref="AB670:AB671"/>
    <mergeCell ref="AF638:AF639"/>
    <mergeCell ref="AG638:AG639"/>
    <mergeCell ref="AH638:AH639"/>
    <mergeCell ref="E649:E664"/>
    <mergeCell ref="V649:AB649"/>
    <mergeCell ref="AC649:AJ649"/>
    <mergeCell ref="F650:F663"/>
    <mergeCell ref="V650:AB650"/>
    <mergeCell ref="AC650:AJ650"/>
    <mergeCell ref="G651:G662"/>
    <mergeCell ref="V651:AB651"/>
    <mergeCell ref="AC651:AJ651"/>
    <mergeCell ref="H652:H662"/>
    <mergeCell ref="I652:I661"/>
    <mergeCell ref="P652:P661"/>
    <mergeCell ref="V652:AB652"/>
    <mergeCell ref="AC652:AJ652"/>
    <mergeCell ref="J653:J656"/>
    <mergeCell ref="Q653:Q656"/>
    <mergeCell ref="V653:AB653"/>
    <mergeCell ref="AC653:AJ653"/>
    <mergeCell ref="K654:K655"/>
    <mergeCell ref="Y654:Y655"/>
    <mergeCell ref="AI654:AI655"/>
    <mergeCell ref="J657:J660"/>
    <mergeCell ref="Q657:Q660"/>
    <mergeCell ref="V657:AB657"/>
    <mergeCell ref="AC657:AJ657"/>
    <mergeCell ref="K658:K659"/>
    <mergeCell ref="Y658:Y659"/>
    <mergeCell ref="AI658:AI659"/>
    <mergeCell ref="AK622:AK623"/>
    <mergeCell ref="Z622:Z623"/>
    <mergeCell ref="AA622:AA623"/>
    <mergeCell ref="AB622:AB623"/>
    <mergeCell ref="AF622:AF623"/>
    <mergeCell ref="AG622:AG623"/>
    <mergeCell ref="AH622:AH623"/>
    <mergeCell ref="E633:E648"/>
    <mergeCell ref="V633:AB633"/>
    <mergeCell ref="AC633:AJ633"/>
    <mergeCell ref="F634:F647"/>
    <mergeCell ref="V634:AB634"/>
    <mergeCell ref="AC634:AJ634"/>
    <mergeCell ref="G635:G646"/>
    <mergeCell ref="V635:AB635"/>
    <mergeCell ref="AC635:AJ635"/>
    <mergeCell ref="H636:H646"/>
    <mergeCell ref="I636:I645"/>
    <mergeCell ref="P636:P645"/>
    <mergeCell ref="V636:AB636"/>
    <mergeCell ref="AC636:AJ636"/>
    <mergeCell ref="J637:J640"/>
    <mergeCell ref="Q637:Q640"/>
    <mergeCell ref="V637:AB637"/>
    <mergeCell ref="AC637:AJ637"/>
    <mergeCell ref="K638:K639"/>
    <mergeCell ref="Y638:Y639"/>
    <mergeCell ref="AI638:AI639"/>
    <mergeCell ref="AK638:AK639"/>
    <mergeCell ref="Z638:Z639"/>
    <mergeCell ref="AA638:AA639"/>
    <mergeCell ref="AB638:AB639"/>
    <mergeCell ref="AF606:AF607"/>
    <mergeCell ref="AG606:AG607"/>
    <mergeCell ref="AH606:AH607"/>
    <mergeCell ref="E617:E632"/>
    <mergeCell ref="V617:AB617"/>
    <mergeCell ref="AC617:AJ617"/>
    <mergeCell ref="F618:F631"/>
    <mergeCell ref="V618:AB618"/>
    <mergeCell ref="AC618:AJ618"/>
    <mergeCell ref="G619:G630"/>
    <mergeCell ref="V619:AB619"/>
    <mergeCell ref="AC619:AJ619"/>
    <mergeCell ref="H620:H630"/>
    <mergeCell ref="I620:I629"/>
    <mergeCell ref="P620:P629"/>
    <mergeCell ref="V620:AB620"/>
    <mergeCell ref="AC620:AJ620"/>
    <mergeCell ref="J621:J624"/>
    <mergeCell ref="Q621:Q624"/>
    <mergeCell ref="V621:AB621"/>
    <mergeCell ref="AC621:AJ621"/>
    <mergeCell ref="K622:K623"/>
    <mergeCell ref="Y622:Y623"/>
    <mergeCell ref="AI622:AI623"/>
    <mergeCell ref="J625:J628"/>
    <mergeCell ref="Q625:Q628"/>
    <mergeCell ref="V625:AB625"/>
    <mergeCell ref="AC625:AJ625"/>
    <mergeCell ref="K626:K627"/>
    <mergeCell ref="Y626:Y627"/>
    <mergeCell ref="AI626:AI627"/>
    <mergeCell ref="AK590:AK591"/>
    <mergeCell ref="Z590:Z591"/>
    <mergeCell ref="AA590:AA591"/>
    <mergeCell ref="AB590:AB591"/>
    <mergeCell ref="AF590:AF591"/>
    <mergeCell ref="AG590:AG591"/>
    <mergeCell ref="AH590:AH591"/>
    <mergeCell ref="E601:E616"/>
    <mergeCell ref="V601:AB601"/>
    <mergeCell ref="AC601:AJ601"/>
    <mergeCell ref="F602:F615"/>
    <mergeCell ref="V602:AB602"/>
    <mergeCell ref="AC602:AJ602"/>
    <mergeCell ref="G603:G614"/>
    <mergeCell ref="V603:AB603"/>
    <mergeCell ref="AC603:AJ603"/>
    <mergeCell ref="H604:H614"/>
    <mergeCell ref="I604:I613"/>
    <mergeCell ref="P604:P613"/>
    <mergeCell ref="V604:AB604"/>
    <mergeCell ref="AC604:AJ604"/>
    <mergeCell ref="J605:J608"/>
    <mergeCell ref="Q605:Q608"/>
    <mergeCell ref="V605:AB605"/>
    <mergeCell ref="AC605:AJ605"/>
    <mergeCell ref="K606:K607"/>
    <mergeCell ref="Y606:Y607"/>
    <mergeCell ref="AI606:AI607"/>
    <mergeCell ref="AK606:AK607"/>
    <mergeCell ref="Z606:Z607"/>
    <mergeCell ref="AA606:AA607"/>
    <mergeCell ref="AB606:AB607"/>
    <mergeCell ref="AF574:AF575"/>
    <mergeCell ref="AG574:AG575"/>
    <mergeCell ref="AH574:AH575"/>
    <mergeCell ref="E585:E600"/>
    <mergeCell ref="V585:AB585"/>
    <mergeCell ref="AC585:AJ585"/>
    <mergeCell ref="F586:F599"/>
    <mergeCell ref="V586:AB586"/>
    <mergeCell ref="AC586:AJ586"/>
    <mergeCell ref="G587:G598"/>
    <mergeCell ref="V587:AB587"/>
    <mergeCell ref="AC587:AJ587"/>
    <mergeCell ref="H588:H598"/>
    <mergeCell ref="I588:I597"/>
    <mergeCell ref="P588:P597"/>
    <mergeCell ref="V588:AB588"/>
    <mergeCell ref="AC588:AJ588"/>
    <mergeCell ref="J589:J592"/>
    <mergeCell ref="Q589:Q592"/>
    <mergeCell ref="V589:AB589"/>
    <mergeCell ref="AC589:AJ589"/>
    <mergeCell ref="K590:K591"/>
    <mergeCell ref="Y590:Y591"/>
    <mergeCell ref="AI590:AI591"/>
    <mergeCell ref="J593:J596"/>
    <mergeCell ref="Q593:Q596"/>
    <mergeCell ref="V593:AB593"/>
    <mergeCell ref="AC593:AJ593"/>
    <mergeCell ref="K594:K595"/>
    <mergeCell ref="Y594:Y595"/>
    <mergeCell ref="AI594:AI595"/>
    <mergeCell ref="AK558:AK559"/>
    <mergeCell ref="Z558:Z559"/>
    <mergeCell ref="AA558:AA559"/>
    <mergeCell ref="AB558:AB559"/>
    <mergeCell ref="AF558:AF559"/>
    <mergeCell ref="AG558:AG559"/>
    <mergeCell ref="AH558:AH559"/>
    <mergeCell ref="E569:E584"/>
    <mergeCell ref="V569:AB569"/>
    <mergeCell ref="AC569:AJ569"/>
    <mergeCell ref="F570:F583"/>
    <mergeCell ref="V570:AB570"/>
    <mergeCell ref="AC570:AJ570"/>
    <mergeCell ref="G571:G582"/>
    <mergeCell ref="V571:AB571"/>
    <mergeCell ref="AC571:AJ571"/>
    <mergeCell ref="H572:H582"/>
    <mergeCell ref="I572:I581"/>
    <mergeCell ref="P572:P581"/>
    <mergeCell ref="V572:AB572"/>
    <mergeCell ref="AC572:AJ572"/>
    <mergeCell ref="J573:J576"/>
    <mergeCell ref="Q573:Q576"/>
    <mergeCell ref="V573:AB573"/>
    <mergeCell ref="AC573:AJ573"/>
    <mergeCell ref="K574:K575"/>
    <mergeCell ref="Y574:Y575"/>
    <mergeCell ref="AI574:AI575"/>
    <mergeCell ref="AK574:AK575"/>
    <mergeCell ref="Z574:Z575"/>
    <mergeCell ref="AA574:AA575"/>
    <mergeCell ref="AB574:AB575"/>
    <mergeCell ref="AF542:AF543"/>
    <mergeCell ref="AG542:AG543"/>
    <mergeCell ref="AH542:AH543"/>
    <mergeCell ref="E553:E568"/>
    <mergeCell ref="V553:AB553"/>
    <mergeCell ref="AC553:AJ553"/>
    <mergeCell ref="F554:F567"/>
    <mergeCell ref="V554:AB554"/>
    <mergeCell ref="AC554:AJ554"/>
    <mergeCell ref="G555:G566"/>
    <mergeCell ref="V555:AB555"/>
    <mergeCell ref="AC555:AJ555"/>
    <mergeCell ref="H556:H566"/>
    <mergeCell ref="I556:I565"/>
    <mergeCell ref="P556:P565"/>
    <mergeCell ref="V556:AB556"/>
    <mergeCell ref="AC556:AJ556"/>
    <mergeCell ref="J557:J560"/>
    <mergeCell ref="Q557:Q560"/>
    <mergeCell ref="V557:AB557"/>
    <mergeCell ref="AC557:AJ557"/>
    <mergeCell ref="K558:K559"/>
    <mergeCell ref="Y558:Y559"/>
    <mergeCell ref="AI558:AI559"/>
    <mergeCell ref="J561:J564"/>
    <mergeCell ref="Q561:Q564"/>
    <mergeCell ref="V561:AB561"/>
    <mergeCell ref="AC561:AJ561"/>
    <mergeCell ref="K562:K563"/>
    <mergeCell ref="Y562:Y563"/>
    <mergeCell ref="AI562:AI563"/>
    <mergeCell ref="AK526:AK527"/>
    <mergeCell ref="Z526:Z527"/>
    <mergeCell ref="AA526:AA527"/>
    <mergeCell ref="AB526:AB527"/>
    <mergeCell ref="AF526:AF527"/>
    <mergeCell ref="AG526:AG527"/>
    <mergeCell ref="AH526:AH527"/>
    <mergeCell ref="E537:E552"/>
    <mergeCell ref="V537:AB537"/>
    <mergeCell ref="AC537:AJ537"/>
    <mergeCell ref="F538:F551"/>
    <mergeCell ref="V538:AB538"/>
    <mergeCell ref="AC538:AJ538"/>
    <mergeCell ref="G539:G550"/>
    <mergeCell ref="V539:AB539"/>
    <mergeCell ref="AC539:AJ539"/>
    <mergeCell ref="H540:H550"/>
    <mergeCell ref="I540:I549"/>
    <mergeCell ref="P540:P549"/>
    <mergeCell ref="V540:AB540"/>
    <mergeCell ref="AC540:AJ540"/>
    <mergeCell ref="J541:J544"/>
    <mergeCell ref="Q541:Q544"/>
    <mergeCell ref="V541:AB541"/>
    <mergeCell ref="AC541:AJ541"/>
    <mergeCell ref="K542:K543"/>
    <mergeCell ref="Y542:Y543"/>
    <mergeCell ref="AI542:AI543"/>
    <mergeCell ref="AK542:AK543"/>
    <mergeCell ref="Z542:Z543"/>
    <mergeCell ref="AA542:AA543"/>
    <mergeCell ref="AB542:AB543"/>
    <mergeCell ref="AF510:AF511"/>
    <mergeCell ref="AG510:AG511"/>
    <mergeCell ref="AH510:AH511"/>
    <mergeCell ref="E521:E536"/>
    <mergeCell ref="V521:AB521"/>
    <mergeCell ref="AC521:AJ521"/>
    <mergeCell ref="F522:F535"/>
    <mergeCell ref="V522:AB522"/>
    <mergeCell ref="AC522:AJ522"/>
    <mergeCell ref="G523:G534"/>
    <mergeCell ref="V523:AB523"/>
    <mergeCell ref="AC523:AJ523"/>
    <mergeCell ref="H524:H534"/>
    <mergeCell ref="I524:I533"/>
    <mergeCell ref="P524:P533"/>
    <mergeCell ref="V524:AB524"/>
    <mergeCell ref="AC524:AJ524"/>
    <mergeCell ref="J525:J528"/>
    <mergeCell ref="Q525:Q528"/>
    <mergeCell ref="V525:AB525"/>
    <mergeCell ref="AC525:AJ525"/>
    <mergeCell ref="K526:K527"/>
    <mergeCell ref="Y526:Y527"/>
    <mergeCell ref="AI526:AI527"/>
    <mergeCell ref="J529:J532"/>
    <mergeCell ref="Q529:Q532"/>
    <mergeCell ref="V529:AB529"/>
    <mergeCell ref="AC529:AJ529"/>
    <mergeCell ref="K530:K531"/>
    <mergeCell ref="Y530:Y531"/>
    <mergeCell ref="AI530:AI531"/>
    <mergeCell ref="AK494:AK495"/>
    <mergeCell ref="Z494:Z495"/>
    <mergeCell ref="AA494:AA495"/>
    <mergeCell ref="AB494:AB495"/>
    <mergeCell ref="AF494:AF495"/>
    <mergeCell ref="AG494:AG495"/>
    <mergeCell ref="AH494:AH495"/>
    <mergeCell ref="E505:E520"/>
    <mergeCell ref="V505:AB505"/>
    <mergeCell ref="AC505:AJ505"/>
    <mergeCell ref="F506:F519"/>
    <mergeCell ref="V506:AB506"/>
    <mergeCell ref="AC506:AJ506"/>
    <mergeCell ref="G507:G518"/>
    <mergeCell ref="V507:AB507"/>
    <mergeCell ref="AC507:AJ507"/>
    <mergeCell ref="H508:H518"/>
    <mergeCell ref="I508:I517"/>
    <mergeCell ref="P508:P517"/>
    <mergeCell ref="V508:AB508"/>
    <mergeCell ref="AC508:AJ508"/>
    <mergeCell ref="J509:J512"/>
    <mergeCell ref="Q509:Q512"/>
    <mergeCell ref="V509:AB509"/>
    <mergeCell ref="AC509:AJ509"/>
    <mergeCell ref="K510:K511"/>
    <mergeCell ref="Y510:Y511"/>
    <mergeCell ref="AI510:AI511"/>
    <mergeCell ref="AK510:AK511"/>
    <mergeCell ref="Z510:Z511"/>
    <mergeCell ref="AA510:AA511"/>
    <mergeCell ref="AB510:AB511"/>
    <mergeCell ref="AF478:AF479"/>
    <mergeCell ref="AG478:AG479"/>
    <mergeCell ref="AH478:AH479"/>
    <mergeCell ref="E489:E504"/>
    <mergeCell ref="V489:AB489"/>
    <mergeCell ref="AC489:AJ489"/>
    <mergeCell ref="F490:F503"/>
    <mergeCell ref="V490:AB490"/>
    <mergeCell ref="AC490:AJ490"/>
    <mergeCell ref="G491:G502"/>
    <mergeCell ref="V491:AB491"/>
    <mergeCell ref="AC491:AJ491"/>
    <mergeCell ref="H492:H502"/>
    <mergeCell ref="I492:I501"/>
    <mergeCell ref="P492:P501"/>
    <mergeCell ref="V492:AB492"/>
    <mergeCell ref="AC492:AJ492"/>
    <mergeCell ref="J493:J496"/>
    <mergeCell ref="Q493:Q496"/>
    <mergeCell ref="V493:AB493"/>
    <mergeCell ref="AC493:AJ493"/>
    <mergeCell ref="K494:K495"/>
    <mergeCell ref="Y494:Y495"/>
    <mergeCell ref="AI494:AI495"/>
    <mergeCell ref="J497:J500"/>
    <mergeCell ref="Q497:Q500"/>
    <mergeCell ref="V497:AB497"/>
    <mergeCell ref="AC497:AJ497"/>
    <mergeCell ref="K498:K499"/>
    <mergeCell ref="Y498:Y499"/>
    <mergeCell ref="AI498:AI499"/>
    <mergeCell ref="AK462:AK463"/>
    <mergeCell ref="Z462:Z463"/>
    <mergeCell ref="AA462:AA463"/>
    <mergeCell ref="AB462:AB463"/>
    <mergeCell ref="AF462:AF463"/>
    <mergeCell ref="AG462:AG463"/>
    <mergeCell ref="AH462:AH463"/>
    <mergeCell ref="E473:E488"/>
    <mergeCell ref="V473:AB473"/>
    <mergeCell ref="AC473:AJ473"/>
    <mergeCell ref="F474:F487"/>
    <mergeCell ref="V474:AB474"/>
    <mergeCell ref="AC474:AJ474"/>
    <mergeCell ref="G475:G486"/>
    <mergeCell ref="V475:AB475"/>
    <mergeCell ref="AC475:AJ475"/>
    <mergeCell ref="H476:H486"/>
    <mergeCell ref="I476:I485"/>
    <mergeCell ref="P476:P485"/>
    <mergeCell ref="V476:AB476"/>
    <mergeCell ref="AC476:AJ476"/>
    <mergeCell ref="J477:J480"/>
    <mergeCell ref="Q477:Q480"/>
    <mergeCell ref="V477:AB477"/>
    <mergeCell ref="AC477:AJ477"/>
    <mergeCell ref="K478:K479"/>
    <mergeCell ref="Y478:Y479"/>
    <mergeCell ref="AI478:AI479"/>
    <mergeCell ref="AK478:AK479"/>
    <mergeCell ref="Z478:Z479"/>
    <mergeCell ref="AA478:AA479"/>
    <mergeCell ref="AB478:AB479"/>
    <mergeCell ref="AF446:AF447"/>
    <mergeCell ref="AG446:AG447"/>
    <mergeCell ref="AH446:AH447"/>
    <mergeCell ref="E457:E472"/>
    <mergeCell ref="V457:AB457"/>
    <mergeCell ref="AC457:AJ457"/>
    <mergeCell ref="F458:F471"/>
    <mergeCell ref="V458:AB458"/>
    <mergeCell ref="AC458:AJ458"/>
    <mergeCell ref="G459:G470"/>
    <mergeCell ref="V459:AB459"/>
    <mergeCell ref="AC459:AJ459"/>
    <mergeCell ref="H460:H470"/>
    <mergeCell ref="I460:I469"/>
    <mergeCell ref="P460:P469"/>
    <mergeCell ref="V460:AB460"/>
    <mergeCell ref="AC460:AJ460"/>
    <mergeCell ref="J461:J464"/>
    <mergeCell ref="Q461:Q464"/>
    <mergeCell ref="V461:AB461"/>
    <mergeCell ref="AC461:AJ461"/>
    <mergeCell ref="K462:K463"/>
    <mergeCell ref="Y462:Y463"/>
    <mergeCell ref="AI462:AI463"/>
    <mergeCell ref="J465:J468"/>
    <mergeCell ref="Q465:Q468"/>
    <mergeCell ref="V465:AB465"/>
    <mergeCell ref="AC465:AJ465"/>
    <mergeCell ref="K466:K467"/>
    <mergeCell ref="Y466:Y467"/>
    <mergeCell ref="AI466:AI467"/>
    <mergeCell ref="AK430:AK431"/>
    <mergeCell ref="Z430:Z431"/>
    <mergeCell ref="AA430:AA431"/>
    <mergeCell ref="AB430:AB431"/>
    <mergeCell ref="AF430:AF431"/>
    <mergeCell ref="AG430:AG431"/>
    <mergeCell ref="AH430:AH431"/>
    <mergeCell ref="E441:E456"/>
    <mergeCell ref="V441:AB441"/>
    <mergeCell ref="AC441:AJ441"/>
    <mergeCell ref="F442:F455"/>
    <mergeCell ref="V442:AB442"/>
    <mergeCell ref="AC442:AJ442"/>
    <mergeCell ref="G443:G454"/>
    <mergeCell ref="V443:AB443"/>
    <mergeCell ref="AC443:AJ443"/>
    <mergeCell ref="H444:H454"/>
    <mergeCell ref="I444:I453"/>
    <mergeCell ref="P444:P453"/>
    <mergeCell ref="V444:AB444"/>
    <mergeCell ref="AC444:AJ444"/>
    <mergeCell ref="J445:J448"/>
    <mergeCell ref="Q445:Q448"/>
    <mergeCell ref="V445:AB445"/>
    <mergeCell ref="AC445:AJ445"/>
    <mergeCell ref="K446:K447"/>
    <mergeCell ref="Y446:Y447"/>
    <mergeCell ref="AI446:AI447"/>
    <mergeCell ref="AK446:AK447"/>
    <mergeCell ref="Z446:Z447"/>
    <mergeCell ref="AA446:AA447"/>
    <mergeCell ref="AB446:AB447"/>
    <mergeCell ref="AF414:AF415"/>
    <mergeCell ref="AG414:AG415"/>
    <mergeCell ref="AH414:AH415"/>
    <mergeCell ref="E425:E440"/>
    <mergeCell ref="V425:AB425"/>
    <mergeCell ref="AC425:AJ425"/>
    <mergeCell ref="F426:F439"/>
    <mergeCell ref="V426:AB426"/>
    <mergeCell ref="AC426:AJ426"/>
    <mergeCell ref="G427:G438"/>
    <mergeCell ref="V427:AB427"/>
    <mergeCell ref="AC427:AJ427"/>
    <mergeCell ref="H428:H438"/>
    <mergeCell ref="I428:I437"/>
    <mergeCell ref="P428:P437"/>
    <mergeCell ref="V428:AB428"/>
    <mergeCell ref="AC428:AJ428"/>
    <mergeCell ref="J429:J432"/>
    <mergeCell ref="Q429:Q432"/>
    <mergeCell ref="V429:AB429"/>
    <mergeCell ref="AC429:AJ429"/>
    <mergeCell ref="K430:K431"/>
    <mergeCell ref="Y430:Y431"/>
    <mergeCell ref="AI430:AI431"/>
    <mergeCell ref="J433:J436"/>
    <mergeCell ref="Q433:Q436"/>
    <mergeCell ref="V433:AB433"/>
    <mergeCell ref="AC433:AJ433"/>
    <mergeCell ref="K434:K435"/>
    <mergeCell ref="Y434:Y435"/>
    <mergeCell ref="AI434:AI435"/>
    <mergeCell ref="AK398:AK399"/>
    <mergeCell ref="Z398:Z399"/>
    <mergeCell ref="AA398:AA399"/>
    <mergeCell ref="AB398:AB399"/>
    <mergeCell ref="AF398:AF399"/>
    <mergeCell ref="AG398:AG399"/>
    <mergeCell ref="AH398:AH399"/>
    <mergeCell ref="E409:E424"/>
    <mergeCell ref="V409:AB409"/>
    <mergeCell ref="AC409:AJ409"/>
    <mergeCell ref="F410:F423"/>
    <mergeCell ref="V410:AB410"/>
    <mergeCell ref="AC410:AJ410"/>
    <mergeCell ref="G411:G422"/>
    <mergeCell ref="V411:AB411"/>
    <mergeCell ref="AC411:AJ411"/>
    <mergeCell ref="H412:H422"/>
    <mergeCell ref="I412:I421"/>
    <mergeCell ref="P412:P421"/>
    <mergeCell ref="V412:AB412"/>
    <mergeCell ref="AC412:AJ412"/>
    <mergeCell ref="J413:J416"/>
    <mergeCell ref="Q413:Q416"/>
    <mergeCell ref="V413:AB413"/>
    <mergeCell ref="AC413:AJ413"/>
    <mergeCell ref="K414:K415"/>
    <mergeCell ref="Y414:Y415"/>
    <mergeCell ref="AI414:AI415"/>
    <mergeCell ref="AK414:AK415"/>
    <mergeCell ref="Z414:Z415"/>
    <mergeCell ref="AA414:AA415"/>
    <mergeCell ref="AB414:AB415"/>
    <mergeCell ref="AF382:AF383"/>
    <mergeCell ref="AG382:AG383"/>
    <mergeCell ref="AH382:AH383"/>
    <mergeCell ref="E393:E408"/>
    <mergeCell ref="V393:AB393"/>
    <mergeCell ref="AC393:AJ393"/>
    <mergeCell ref="F394:F407"/>
    <mergeCell ref="V394:AB394"/>
    <mergeCell ref="AC394:AJ394"/>
    <mergeCell ref="G395:G406"/>
    <mergeCell ref="V395:AB395"/>
    <mergeCell ref="AC395:AJ395"/>
    <mergeCell ref="H396:H406"/>
    <mergeCell ref="I396:I405"/>
    <mergeCell ref="P396:P405"/>
    <mergeCell ref="V396:AB396"/>
    <mergeCell ref="AC396:AJ396"/>
    <mergeCell ref="J397:J400"/>
    <mergeCell ref="Q397:Q400"/>
    <mergeCell ref="V397:AB397"/>
    <mergeCell ref="AC397:AJ397"/>
    <mergeCell ref="K398:K399"/>
    <mergeCell ref="Y398:Y399"/>
    <mergeCell ref="AI398:AI399"/>
    <mergeCell ref="J401:J404"/>
    <mergeCell ref="Q401:Q404"/>
    <mergeCell ref="V401:AB401"/>
    <mergeCell ref="AC401:AJ401"/>
    <mergeCell ref="K402:K403"/>
    <mergeCell ref="Y402:Y403"/>
    <mergeCell ref="AI402:AI403"/>
    <mergeCell ref="AK366:AK367"/>
    <mergeCell ref="Z366:Z367"/>
    <mergeCell ref="AA366:AA367"/>
    <mergeCell ref="AB366:AB367"/>
    <mergeCell ref="AF366:AF367"/>
    <mergeCell ref="AG366:AG367"/>
    <mergeCell ref="AH366:AH367"/>
    <mergeCell ref="E377:E392"/>
    <mergeCell ref="V377:AB377"/>
    <mergeCell ref="AC377:AJ377"/>
    <mergeCell ref="F378:F391"/>
    <mergeCell ref="V378:AB378"/>
    <mergeCell ref="AC378:AJ378"/>
    <mergeCell ref="G379:G390"/>
    <mergeCell ref="V379:AB379"/>
    <mergeCell ref="AC379:AJ379"/>
    <mergeCell ref="H380:H390"/>
    <mergeCell ref="I380:I389"/>
    <mergeCell ref="P380:P389"/>
    <mergeCell ref="V380:AB380"/>
    <mergeCell ref="AC380:AJ380"/>
    <mergeCell ref="J381:J384"/>
    <mergeCell ref="Q381:Q384"/>
    <mergeCell ref="V381:AB381"/>
    <mergeCell ref="AC381:AJ381"/>
    <mergeCell ref="K382:K383"/>
    <mergeCell ref="Y382:Y383"/>
    <mergeCell ref="AI382:AI383"/>
    <mergeCell ref="AK382:AK383"/>
    <mergeCell ref="Z382:Z383"/>
    <mergeCell ref="AA382:AA383"/>
    <mergeCell ref="AB382:AB383"/>
    <mergeCell ref="AF350:AF351"/>
    <mergeCell ref="AG350:AG351"/>
    <mergeCell ref="AH350:AH351"/>
    <mergeCell ref="E361:E376"/>
    <mergeCell ref="V361:AB361"/>
    <mergeCell ref="AC361:AJ361"/>
    <mergeCell ref="F362:F375"/>
    <mergeCell ref="V362:AB362"/>
    <mergeCell ref="AC362:AJ362"/>
    <mergeCell ref="G363:G374"/>
    <mergeCell ref="V363:AB363"/>
    <mergeCell ref="AC363:AJ363"/>
    <mergeCell ref="H364:H374"/>
    <mergeCell ref="I364:I373"/>
    <mergeCell ref="P364:P373"/>
    <mergeCell ref="V364:AB364"/>
    <mergeCell ref="AC364:AJ364"/>
    <mergeCell ref="J365:J368"/>
    <mergeCell ref="Q365:Q368"/>
    <mergeCell ref="V365:AB365"/>
    <mergeCell ref="AC365:AJ365"/>
    <mergeCell ref="K366:K367"/>
    <mergeCell ref="Y366:Y367"/>
    <mergeCell ref="AI366:AI367"/>
    <mergeCell ref="J369:J372"/>
    <mergeCell ref="Q369:Q372"/>
    <mergeCell ref="V369:AB369"/>
    <mergeCell ref="AC369:AJ369"/>
    <mergeCell ref="K370:K371"/>
    <mergeCell ref="Y370:Y371"/>
    <mergeCell ref="AI370:AI371"/>
    <mergeCell ref="AK334:AK335"/>
    <mergeCell ref="Z334:Z335"/>
    <mergeCell ref="AA334:AA335"/>
    <mergeCell ref="AB334:AB335"/>
    <mergeCell ref="AF334:AF335"/>
    <mergeCell ref="AG334:AG335"/>
    <mergeCell ref="AH334:AH335"/>
    <mergeCell ref="E345:E360"/>
    <mergeCell ref="V345:AB345"/>
    <mergeCell ref="AC345:AJ345"/>
    <mergeCell ref="F346:F359"/>
    <mergeCell ref="V346:AB346"/>
    <mergeCell ref="AC346:AJ346"/>
    <mergeCell ref="G347:G358"/>
    <mergeCell ref="V347:AB347"/>
    <mergeCell ref="AC347:AJ347"/>
    <mergeCell ref="H348:H358"/>
    <mergeCell ref="I348:I357"/>
    <mergeCell ref="P348:P357"/>
    <mergeCell ref="V348:AB348"/>
    <mergeCell ref="AC348:AJ348"/>
    <mergeCell ref="J349:J352"/>
    <mergeCell ref="Q349:Q352"/>
    <mergeCell ref="V349:AB349"/>
    <mergeCell ref="AC349:AJ349"/>
    <mergeCell ref="K350:K351"/>
    <mergeCell ref="Y350:Y351"/>
    <mergeCell ref="AI350:AI351"/>
    <mergeCell ref="AK350:AK351"/>
    <mergeCell ref="Z350:Z351"/>
    <mergeCell ref="AA350:AA351"/>
    <mergeCell ref="AB350:AB351"/>
    <mergeCell ref="AF318:AF319"/>
    <mergeCell ref="AG318:AG319"/>
    <mergeCell ref="AH318:AH319"/>
    <mergeCell ref="E329:E344"/>
    <mergeCell ref="V329:AB329"/>
    <mergeCell ref="AC329:AJ329"/>
    <mergeCell ref="F330:F343"/>
    <mergeCell ref="V330:AB330"/>
    <mergeCell ref="AC330:AJ330"/>
    <mergeCell ref="G331:G342"/>
    <mergeCell ref="V331:AB331"/>
    <mergeCell ref="AC331:AJ331"/>
    <mergeCell ref="H332:H342"/>
    <mergeCell ref="I332:I341"/>
    <mergeCell ref="P332:P341"/>
    <mergeCell ref="V332:AB332"/>
    <mergeCell ref="AC332:AJ332"/>
    <mergeCell ref="J333:J336"/>
    <mergeCell ref="Q333:Q336"/>
    <mergeCell ref="V333:AB333"/>
    <mergeCell ref="AC333:AJ333"/>
    <mergeCell ref="K334:K335"/>
    <mergeCell ref="Y334:Y335"/>
    <mergeCell ref="AI334:AI335"/>
    <mergeCell ref="J337:J340"/>
    <mergeCell ref="Q337:Q340"/>
    <mergeCell ref="V337:AB337"/>
    <mergeCell ref="AC337:AJ337"/>
    <mergeCell ref="K338:K339"/>
    <mergeCell ref="Y338:Y339"/>
    <mergeCell ref="AI338:AI339"/>
    <mergeCell ref="AK302:AK303"/>
    <mergeCell ref="Z302:Z303"/>
    <mergeCell ref="AA302:AA303"/>
    <mergeCell ref="AB302:AB303"/>
    <mergeCell ref="AF302:AF303"/>
    <mergeCell ref="AG302:AG303"/>
    <mergeCell ref="AH302:AH303"/>
    <mergeCell ref="E313:E328"/>
    <mergeCell ref="V313:AB313"/>
    <mergeCell ref="AC313:AJ313"/>
    <mergeCell ref="F314:F327"/>
    <mergeCell ref="V314:AB314"/>
    <mergeCell ref="AC314:AJ314"/>
    <mergeCell ref="G315:G326"/>
    <mergeCell ref="V315:AB315"/>
    <mergeCell ref="AC315:AJ315"/>
    <mergeCell ref="H316:H326"/>
    <mergeCell ref="I316:I325"/>
    <mergeCell ref="P316:P325"/>
    <mergeCell ref="V316:AB316"/>
    <mergeCell ref="AC316:AJ316"/>
    <mergeCell ref="J317:J320"/>
    <mergeCell ref="Q317:Q320"/>
    <mergeCell ref="V317:AB317"/>
    <mergeCell ref="AC317:AJ317"/>
    <mergeCell ref="K318:K319"/>
    <mergeCell ref="Y318:Y319"/>
    <mergeCell ref="AI318:AI319"/>
    <mergeCell ref="AK318:AK319"/>
    <mergeCell ref="Z318:Z319"/>
    <mergeCell ref="AA318:AA319"/>
    <mergeCell ref="AB318:AB319"/>
    <mergeCell ref="AF286:AF287"/>
    <mergeCell ref="AG286:AG287"/>
    <mergeCell ref="AH286:AH287"/>
    <mergeCell ref="E297:E312"/>
    <mergeCell ref="V297:AB297"/>
    <mergeCell ref="AC297:AJ297"/>
    <mergeCell ref="F298:F311"/>
    <mergeCell ref="V298:AB298"/>
    <mergeCell ref="AC298:AJ298"/>
    <mergeCell ref="G299:G310"/>
    <mergeCell ref="V299:AB299"/>
    <mergeCell ref="AC299:AJ299"/>
    <mergeCell ref="H300:H310"/>
    <mergeCell ref="I300:I309"/>
    <mergeCell ref="P300:P309"/>
    <mergeCell ref="V300:AB300"/>
    <mergeCell ref="AC300:AJ300"/>
    <mergeCell ref="J301:J304"/>
    <mergeCell ref="Q301:Q304"/>
    <mergeCell ref="V301:AB301"/>
    <mergeCell ref="AC301:AJ301"/>
    <mergeCell ref="K302:K303"/>
    <mergeCell ref="Y302:Y303"/>
    <mergeCell ref="AI302:AI303"/>
    <mergeCell ref="J305:J308"/>
    <mergeCell ref="Q305:Q308"/>
    <mergeCell ref="V305:AB305"/>
    <mergeCell ref="AC305:AJ305"/>
    <mergeCell ref="K306:K307"/>
    <mergeCell ref="Y306:Y307"/>
    <mergeCell ref="AI306:AI307"/>
    <mergeCell ref="AK270:AK271"/>
    <mergeCell ref="Z270:Z271"/>
    <mergeCell ref="AA270:AA271"/>
    <mergeCell ref="AB270:AB271"/>
    <mergeCell ref="AF270:AF271"/>
    <mergeCell ref="AG270:AG271"/>
    <mergeCell ref="AH270:AH271"/>
    <mergeCell ref="E281:E296"/>
    <mergeCell ref="V281:AB281"/>
    <mergeCell ref="AC281:AJ281"/>
    <mergeCell ref="F282:F295"/>
    <mergeCell ref="V282:AB282"/>
    <mergeCell ref="AC282:AJ282"/>
    <mergeCell ref="G283:G294"/>
    <mergeCell ref="V283:AB283"/>
    <mergeCell ref="AC283:AJ283"/>
    <mergeCell ref="H284:H294"/>
    <mergeCell ref="I284:I293"/>
    <mergeCell ref="P284:P293"/>
    <mergeCell ref="V284:AB284"/>
    <mergeCell ref="AC284:AJ284"/>
    <mergeCell ref="J285:J288"/>
    <mergeCell ref="Q285:Q288"/>
    <mergeCell ref="V285:AB285"/>
    <mergeCell ref="AC285:AJ285"/>
    <mergeCell ref="K286:K287"/>
    <mergeCell ref="Y286:Y287"/>
    <mergeCell ref="AI286:AI287"/>
    <mergeCell ref="AK286:AK287"/>
    <mergeCell ref="Z286:Z287"/>
    <mergeCell ref="AA286:AA287"/>
    <mergeCell ref="AB286:AB287"/>
    <mergeCell ref="AF254:AF255"/>
    <mergeCell ref="AG254:AG255"/>
    <mergeCell ref="AH254:AH255"/>
    <mergeCell ref="E265:E280"/>
    <mergeCell ref="V265:AB265"/>
    <mergeCell ref="AC265:AJ265"/>
    <mergeCell ref="F266:F279"/>
    <mergeCell ref="V266:AB266"/>
    <mergeCell ref="AC266:AJ266"/>
    <mergeCell ref="G267:G278"/>
    <mergeCell ref="V267:AB267"/>
    <mergeCell ref="AC267:AJ267"/>
    <mergeCell ref="H268:H278"/>
    <mergeCell ref="I268:I277"/>
    <mergeCell ref="P268:P277"/>
    <mergeCell ref="V268:AB268"/>
    <mergeCell ref="AC268:AJ268"/>
    <mergeCell ref="J269:J272"/>
    <mergeCell ref="Q269:Q272"/>
    <mergeCell ref="V269:AB269"/>
    <mergeCell ref="AC269:AJ269"/>
    <mergeCell ref="K270:K271"/>
    <mergeCell ref="Y270:Y271"/>
    <mergeCell ref="AI270:AI271"/>
    <mergeCell ref="J273:J276"/>
    <mergeCell ref="Q273:Q276"/>
    <mergeCell ref="V273:AB273"/>
    <mergeCell ref="AC273:AJ273"/>
    <mergeCell ref="K274:K275"/>
    <mergeCell ref="Y274:Y275"/>
    <mergeCell ref="AI274:AI275"/>
    <mergeCell ref="AK238:AK239"/>
    <mergeCell ref="Z238:Z239"/>
    <mergeCell ref="AA238:AA239"/>
    <mergeCell ref="AB238:AB239"/>
    <mergeCell ref="AF238:AF239"/>
    <mergeCell ref="AG238:AG239"/>
    <mergeCell ref="AH238:AH239"/>
    <mergeCell ref="E249:E264"/>
    <mergeCell ref="V249:AB249"/>
    <mergeCell ref="AC249:AJ249"/>
    <mergeCell ref="F250:F263"/>
    <mergeCell ref="V250:AB250"/>
    <mergeCell ref="AC250:AJ250"/>
    <mergeCell ref="G251:G262"/>
    <mergeCell ref="V251:AB251"/>
    <mergeCell ref="AC251:AJ251"/>
    <mergeCell ref="H252:H262"/>
    <mergeCell ref="I252:I261"/>
    <mergeCell ref="P252:P261"/>
    <mergeCell ref="V252:AB252"/>
    <mergeCell ref="AC252:AJ252"/>
    <mergeCell ref="J253:J256"/>
    <mergeCell ref="Q253:Q256"/>
    <mergeCell ref="V253:AB253"/>
    <mergeCell ref="AC253:AJ253"/>
    <mergeCell ref="K254:K255"/>
    <mergeCell ref="Y254:Y255"/>
    <mergeCell ref="AI254:AI255"/>
    <mergeCell ref="AK254:AK255"/>
    <mergeCell ref="Z254:Z255"/>
    <mergeCell ref="AA254:AA255"/>
    <mergeCell ref="AB254:AB255"/>
    <mergeCell ref="AF222:AF223"/>
    <mergeCell ref="AG222:AG223"/>
    <mergeCell ref="AH222:AH223"/>
    <mergeCell ref="E233:E248"/>
    <mergeCell ref="V233:AB233"/>
    <mergeCell ref="AC233:AJ233"/>
    <mergeCell ref="F234:F247"/>
    <mergeCell ref="V234:AB234"/>
    <mergeCell ref="AC234:AJ234"/>
    <mergeCell ref="G235:G246"/>
    <mergeCell ref="V235:AB235"/>
    <mergeCell ref="AC235:AJ235"/>
    <mergeCell ref="H236:H246"/>
    <mergeCell ref="I236:I245"/>
    <mergeCell ref="P236:P245"/>
    <mergeCell ref="V236:AB236"/>
    <mergeCell ref="AC236:AJ236"/>
    <mergeCell ref="J237:J240"/>
    <mergeCell ref="Q237:Q240"/>
    <mergeCell ref="V237:AB237"/>
    <mergeCell ref="AC237:AJ237"/>
    <mergeCell ref="K238:K239"/>
    <mergeCell ref="Y238:Y239"/>
    <mergeCell ref="AI238:AI239"/>
    <mergeCell ref="J241:J244"/>
    <mergeCell ref="Q241:Q244"/>
    <mergeCell ref="V241:AB241"/>
    <mergeCell ref="AC241:AJ241"/>
    <mergeCell ref="K242:K243"/>
    <mergeCell ref="Y242:Y243"/>
    <mergeCell ref="AI242:AI243"/>
    <mergeCell ref="AK206:AK207"/>
    <mergeCell ref="Z206:Z207"/>
    <mergeCell ref="AA206:AA207"/>
    <mergeCell ref="AB206:AB207"/>
    <mergeCell ref="AF206:AF207"/>
    <mergeCell ref="AG206:AG207"/>
    <mergeCell ref="AH206:AH207"/>
    <mergeCell ref="E217:E232"/>
    <mergeCell ref="V217:AB217"/>
    <mergeCell ref="AC217:AJ217"/>
    <mergeCell ref="F218:F231"/>
    <mergeCell ref="V218:AB218"/>
    <mergeCell ref="AC218:AJ218"/>
    <mergeCell ref="G219:G230"/>
    <mergeCell ref="V219:AB219"/>
    <mergeCell ref="AC219:AJ219"/>
    <mergeCell ref="H220:H230"/>
    <mergeCell ref="I220:I229"/>
    <mergeCell ref="P220:P229"/>
    <mergeCell ref="V220:AB220"/>
    <mergeCell ref="AC220:AJ220"/>
    <mergeCell ref="J221:J224"/>
    <mergeCell ref="Q221:Q224"/>
    <mergeCell ref="V221:AB221"/>
    <mergeCell ref="AC221:AJ221"/>
    <mergeCell ref="K222:K223"/>
    <mergeCell ref="Y222:Y223"/>
    <mergeCell ref="AI222:AI223"/>
    <mergeCell ref="AK222:AK223"/>
    <mergeCell ref="Z222:Z223"/>
    <mergeCell ref="AA222:AA223"/>
    <mergeCell ref="AB222:AB223"/>
    <mergeCell ref="AF190:AF191"/>
    <mergeCell ref="AG190:AG191"/>
    <mergeCell ref="AH190:AH191"/>
    <mergeCell ref="E201:E216"/>
    <mergeCell ref="V201:AB201"/>
    <mergeCell ref="AC201:AJ201"/>
    <mergeCell ref="F202:F215"/>
    <mergeCell ref="V202:AB202"/>
    <mergeCell ref="AC202:AJ202"/>
    <mergeCell ref="G203:G214"/>
    <mergeCell ref="V203:AB203"/>
    <mergeCell ref="AC203:AJ203"/>
    <mergeCell ref="H204:H214"/>
    <mergeCell ref="I204:I213"/>
    <mergeCell ref="P204:P213"/>
    <mergeCell ref="V204:AB204"/>
    <mergeCell ref="AC204:AJ204"/>
    <mergeCell ref="J205:J208"/>
    <mergeCell ref="Q205:Q208"/>
    <mergeCell ref="V205:AB205"/>
    <mergeCell ref="AC205:AJ205"/>
    <mergeCell ref="K206:K207"/>
    <mergeCell ref="Y206:Y207"/>
    <mergeCell ref="AI206:AI207"/>
    <mergeCell ref="J209:J212"/>
    <mergeCell ref="Q209:Q212"/>
    <mergeCell ref="V209:AB209"/>
    <mergeCell ref="AC209:AJ209"/>
    <mergeCell ref="K210:K211"/>
    <mergeCell ref="Y210:Y211"/>
    <mergeCell ref="AI210:AI211"/>
    <mergeCell ref="AK174:AK175"/>
    <mergeCell ref="Z174:Z175"/>
    <mergeCell ref="AA174:AA175"/>
    <mergeCell ref="AB174:AB175"/>
    <mergeCell ref="AF174:AF175"/>
    <mergeCell ref="AG174:AG175"/>
    <mergeCell ref="AH174:AH175"/>
    <mergeCell ref="E185:E200"/>
    <mergeCell ref="V185:AB185"/>
    <mergeCell ref="AC185:AJ185"/>
    <mergeCell ref="F186:F199"/>
    <mergeCell ref="V186:AB186"/>
    <mergeCell ref="AC186:AJ186"/>
    <mergeCell ref="G187:G198"/>
    <mergeCell ref="V187:AB187"/>
    <mergeCell ref="AC187:AJ187"/>
    <mergeCell ref="H188:H198"/>
    <mergeCell ref="I188:I197"/>
    <mergeCell ref="P188:P197"/>
    <mergeCell ref="V188:AB188"/>
    <mergeCell ref="AC188:AJ188"/>
    <mergeCell ref="J189:J192"/>
    <mergeCell ref="Q189:Q192"/>
    <mergeCell ref="V189:AB189"/>
    <mergeCell ref="AC189:AJ189"/>
    <mergeCell ref="K190:K191"/>
    <mergeCell ref="Y190:Y191"/>
    <mergeCell ref="AI190:AI191"/>
    <mergeCell ref="AK190:AK191"/>
    <mergeCell ref="Z190:Z191"/>
    <mergeCell ref="AA190:AA191"/>
    <mergeCell ref="AB190:AB191"/>
    <mergeCell ref="AF158:AF159"/>
    <mergeCell ref="AG158:AG159"/>
    <mergeCell ref="AH158:AH159"/>
    <mergeCell ref="E169:E184"/>
    <mergeCell ref="V169:AB169"/>
    <mergeCell ref="AC169:AJ169"/>
    <mergeCell ref="F170:F183"/>
    <mergeCell ref="V170:AB170"/>
    <mergeCell ref="AC170:AJ170"/>
    <mergeCell ref="G171:G182"/>
    <mergeCell ref="V171:AB171"/>
    <mergeCell ref="AC171:AJ171"/>
    <mergeCell ref="H172:H182"/>
    <mergeCell ref="I172:I181"/>
    <mergeCell ref="P172:P181"/>
    <mergeCell ref="V172:AB172"/>
    <mergeCell ref="AC172:AJ172"/>
    <mergeCell ref="J173:J176"/>
    <mergeCell ref="Q173:Q176"/>
    <mergeCell ref="V173:AB173"/>
    <mergeCell ref="AC173:AJ173"/>
    <mergeCell ref="K174:K175"/>
    <mergeCell ref="Y174:Y175"/>
    <mergeCell ref="AI174:AI175"/>
    <mergeCell ref="J177:J180"/>
    <mergeCell ref="Q177:Q180"/>
    <mergeCell ref="V177:AB177"/>
    <mergeCell ref="AC177:AJ177"/>
    <mergeCell ref="K178:K179"/>
    <mergeCell ref="Y178:Y179"/>
    <mergeCell ref="AI178:AI179"/>
    <mergeCell ref="AK142:AK143"/>
    <mergeCell ref="Z142:Z143"/>
    <mergeCell ref="AA142:AA143"/>
    <mergeCell ref="AB142:AB143"/>
    <mergeCell ref="AF142:AF143"/>
    <mergeCell ref="AG142:AG143"/>
    <mergeCell ref="AH142:AH143"/>
    <mergeCell ref="E153:E168"/>
    <mergeCell ref="V153:AB153"/>
    <mergeCell ref="AC153:AJ153"/>
    <mergeCell ref="F154:F167"/>
    <mergeCell ref="V154:AB154"/>
    <mergeCell ref="AC154:AJ154"/>
    <mergeCell ref="G155:G166"/>
    <mergeCell ref="V155:AB155"/>
    <mergeCell ref="AC155:AJ155"/>
    <mergeCell ref="H156:H166"/>
    <mergeCell ref="I156:I165"/>
    <mergeCell ref="P156:P165"/>
    <mergeCell ref="V156:AB156"/>
    <mergeCell ref="AC156:AJ156"/>
    <mergeCell ref="J157:J160"/>
    <mergeCell ref="Q157:Q160"/>
    <mergeCell ref="V157:AB157"/>
    <mergeCell ref="AC157:AJ157"/>
    <mergeCell ref="K158:K159"/>
    <mergeCell ref="Y158:Y159"/>
    <mergeCell ref="AI158:AI159"/>
    <mergeCell ref="AK158:AK159"/>
    <mergeCell ref="Z158:Z159"/>
    <mergeCell ref="AA158:AA159"/>
    <mergeCell ref="AB158:AB159"/>
    <mergeCell ref="AF126:AF127"/>
    <mergeCell ref="AG126:AG127"/>
    <mergeCell ref="AH126:AH127"/>
    <mergeCell ref="E137:E152"/>
    <mergeCell ref="V137:AB137"/>
    <mergeCell ref="AC137:AJ137"/>
    <mergeCell ref="F138:F151"/>
    <mergeCell ref="V138:AB138"/>
    <mergeCell ref="AC138:AJ138"/>
    <mergeCell ref="G139:G150"/>
    <mergeCell ref="V139:AB139"/>
    <mergeCell ref="AC139:AJ139"/>
    <mergeCell ref="H140:H150"/>
    <mergeCell ref="I140:I149"/>
    <mergeCell ref="P140:P149"/>
    <mergeCell ref="V140:AB140"/>
    <mergeCell ref="AC140:AJ140"/>
    <mergeCell ref="J141:J144"/>
    <mergeCell ref="Q141:Q144"/>
    <mergeCell ref="V141:AB141"/>
    <mergeCell ref="AC141:AJ141"/>
    <mergeCell ref="K142:K143"/>
    <mergeCell ref="Y142:Y143"/>
    <mergeCell ref="AI142:AI143"/>
    <mergeCell ref="J145:J148"/>
    <mergeCell ref="Q145:Q148"/>
    <mergeCell ref="V145:AB145"/>
    <mergeCell ref="AC145:AJ145"/>
    <mergeCell ref="K146:K147"/>
    <mergeCell ref="Y146:Y147"/>
    <mergeCell ref="AI146:AI147"/>
    <mergeCell ref="AK110:AK111"/>
    <mergeCell ref="Z110:Z111"/>
    <mergeCell ref="AA110:AA111"/>
    <mergeCell ref="AB110:AB111"/>
    <mergeCell ref="AF110:AF111"/>
    <mergeCell ref="AG110:AG111"/>
    <mergeCell ref="AH110:AH111"/>
    <mergeCell ref="E121:E136"/>
    <mergeCell ref="V121:AB121"/>
    <mergeCell ref="AC121:AJ121"/>
    <mergeCell ref="F122:F135"/>
    <mergeCell ref="V122:AB122"/>
    <mergeCell ref="AC122:AJ122"/>
    <mergeCell ref="G123:G134"/>
    <mergeCell ref="V123:AB123"/>
    <mergeCell ref="AC123:AJ123"/>
    <mergeCell ref="H124:H134"/>
    <mergeCell ref="I124:I133"/>
    <mergeCell ref="P124:P133"/>
    <mergeCell ref="V124:AB124"/>
    <mergeCell ref="AC124:AJ124"/>
    <mergeCell ref="J125:J128"/>
    <mergeCell ref="Q125:Q128"/>
    <mergeCell ref="V125:AB125"/>
    <mergeCell ref="AC125:AJ125"/>
    <mergeCell ref="K126:K127"/>
    <mergeCell ref="Y126:Y127"/>
    <mergeCell ref="AI126:AI127"/>
    <mergeCell ref="AK126:AK127"/>
    <mergeCell ref="Z126:Z127"/>
    <mergeCell ref="AA126:AA127"/>
    <mergeCell ref="AB126:AB127"/>
    <mergeCell ref="AF94:AF95"/>
    <mergeCell ref="AG94:AG95"/>
    <mergeCell ref="AH94:AH95"/>
    <mergeCell ref="E105:E120"/>
    <mergeCell ref="V105:AB105"/>
    <mergeCell ref="AC105:AJ105"/>
    <mergeCell ref="F106:F119"/>
    <mergeCell ref="V106:AB106"/>
    <mergeCell ref="AC106:AJ106"/>
    <mergeCell ref="G107:G118"/>
    <mergeCell ref="V107:AB107"/>
    <mergeCell ref="AC107:AJ107"/>
    <mergeCell ref="H108:H118"/>
    <mergeCell ref="I108:I117"/>
    <mergeCell ref="P108:P117"/>
    <mergeCell ref="V108:AB108"/>
    <mergeCell ref="AC108:AJ108"/>
    <mergeCell ref="J109:J112"/>
    <mergeCell ref="Q109:Q112"/>
    <mergeCell ref="V109:AB109"/>
    <mergeCell ref="AC109:AJ109"/>
    <mergeCell ref="K110:K111"/>
    <mergeCell ref="Y110:Y111"/>
    <mergeCell ref="AI110:AI111"/>
    <mergeCell ref="J113:J116"/>
    <mergeCell ref="Q113:Q116"/>
    <mergeCell ref="V113:AB113"/>
    <mergeCell ref="AC113:AJ113"/>
    <mergeCell ref="K114:K115"/>
    <mergeCell ref="Y114:Y115"/>
    <mergeCell ref="AI114:AI115"/>
    <mergeCell ref="AK78:AK79"/>
    <mergeCell ref="Z78:Z79"/>
    <mergeCell ref="AA78:AA79"/>
    <mergeCell ref="AB78:AB79"/>
    <mergeCell ref="AF78:AF79"/>
    <mergeCell ref="AG78:AG79"/>
    <mergeCell ref="AH78:AH79"/>
    <mergeCell ref="E89:E104"/>
    <mergeCell ref="V89:AB89"/>
    <mergeCell ref="AC89:AJ89"/>
    <mergeCell ref="F90:F103"/>
    <mergeCell ref="V90:AB90"/>
    <mergeCell ref="AC90:AJ90"/>
    <mergeCell ref="G91:G102"/>
    <mergeCell ref="V91:AB91"/>
    <mergeCell ref="AC91:AJ91"/>
    <mergeCell ref="H92:H102"/>
    <mergeCell ref="I92:I101"/>
    <mergeCell ref="P92:P101"/>
    <mergeCell ref="V92:AB92"/>
    <mergeCell ref="AC92:AJ92"/>
    <mergeCell ref="J93:J96"/>
    <mergeCell ref="Q93:Q96"/>
    <mergeCell ref="V93:AB93"/>
    <mergeCell ref="AC93:AJ93"/>
    <mergeCell ref="K94:K95"/>
    <mergeCell ref="Y94:Y95"/>
    <mergeCell ref="AI94:AI95"/>
    <mergeCell ref="AK94:AK95"/>
    <mergeCell ref="Z94:Z95"/>
    <mergeCell ref="AA94:AA95"/>
    <mergeCell ref="AB94:AB95"/>
    <mergeCell ref="AA62:AA63"/>
    <mergeCell ref="AB62:AB63"/>
    <mergeCell ref="AF62:AF63"/>
    <mergeCell ref="AG62:AG63"/>
    <mergeCell ref="AH62:AH63"/>
    <mergeCell ref="E73:E88"/>
    <mergeCell ref="V73:AB73"/>
    <mergeCell ref="AC73:AJ73"/>
    <mergeCell ref="F74:F87"/>
    <mergeCell ref="V74:AB74"/>
    <mergeCell ref="AC74:AJ74"/>
    <mergeCell ref="G75:G86"/>
    <mergeCell ref="V75:AB75"/>
    <mergeCell ref="AC75:AJ75"/>
    <mergeCell ref="H76:H86"/>
    <mergeCell ref="I76:I85"/>
    <mergeCell ref="P76:P85"/>
    <mergeCell ref="V76:AB76"/>
    <mergeCell ref="AC76:AJ76"/>
    <mergeCell ref="J77:J80"/>
    <mergeCell ref="Q77:Q80"/>
    <mergeCell ref="V77:AB77"/>
    <mergeCell ref="AC77:AJ77"/>
    <mergeCell ref="K78:K79"/>
    <mergeCell ref="Y78:Y79"/>
    <mergeCell ref="AI78:AI79"/>
    <mergeCell ref="Q81:Q84"/>
    <mergeCell ref="V81:AB81"/>
    <mergeCell ref="AC81:AJ81"/>
    <mergeCell ref="K82:K83"/>
    <mergeCell ref="Y82:Y83"/>
    <mergeCell ref="AI82:AI83"/>
    <mergeCell ref="AK46:AK47"/>
    <mergeCell ref="T1163:AK1163"/>
    <mergeCell ref="T1165:AK1165"/>
    <mergeCell ref="K46:K47"/>
    <mergeCell ref="Y46:Y47"/>
    <mergeCell ref="Z46:Z47"/>
    <mergeCell ref="AA46:AA47"/>
    <mergeCell ref="AB46:AB47"/>
    <mergeCell ref="AF46:AF47"/>
    <mergeCell ref="E57:E72"/>
    <mergeCell ref="V57:AB57"/>
    <mergeCell ref="AC57:AJ57"/>
    <mergeCell ref="F58:F71"/>
    <mergeCell ref="V58:AB58"/>
    <mergeCell ref="AC58:AJ58"/>
    <mergeCell ref="G59:G70"/>
    <mergeCell ref="V59:AB59"/>
    <mergeCell ref="AC59:AJ59"/>
    <mergeCell ref="H60:H70"/>
    <mergeCell ref="I60:I69"/>
    <mergeCell ref="P60:P69"/>
    <mergeCell ref="V60:AB60"/>
    <mergeCell ref="AC60:AJ60"/>
    <mergeCell ref="J61:J64"/>
    <mergeCell ref="Q61:Q64"/>
    <mergeCell ref="V61:AB61"/>
    <mergeCell ref="AC61:AJ61"/>
    <mergeCell ref="K62:K63"/>
    <mergeCell ref="Y62:Y63"/>
    <mergeCell ref="AI62:AI63"/>
    <mergeCell ref="AK62:AK63"/>
    <mergeCell ref="Z62:Z63"/>
    <mergeCell ref="Z40:AA40"/>
    <mergeCell ref="AG40:AH40"/>
    <mergeCell ref="E41:E56"/>
    <mergeCell ref="V41:AB41"/>
    <mergeCell ref="AC41:AJ41"/>
    <mergeCell ref="F42:F55"/>
    <mergeCell ref="V42:AB42"/>
    <mergeCell ref="AC42:AJ42"/>
    <mergeCell ref="G43:G54"/>
    <mergeCell ref="V43:AB43"/>
    <mergeCell ref="AC43:AJ43"/>
    <mergeCell ref="H44:H54"/>
    <mergeCell ref="I44:I53"/>
    <mergeCell ref="P44:P53"/>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6687 X132223 X197759 X263295 X328831 X394367 X459903 X525439 X590975 X656511 X722047 X787583 X853119 X918655 X984191 AE16 AE66687 AE132223 AE197759 AE263295 AE328831 AE394367 AE459903 AE525439 AE590975 AE656511 AE722047 AE787583 AE853119 AE918655 AE984191 X47 AE8 X8 AE47 X63 AE63 X79 AE79 X95 AE95 X111 AE111 X127 AE127 X143 AE143 X159 AE159 X175 AE175 X191 AE191 X207 AE207 X223 AE223 X239 AE239 X255 AE255 X271 AE271 X287 AE287 X303 AE303 X319 AE319 X335 AE335 X351 AE351 X367 AE367 X383 AE383 X399 AE399 X415 AE415 X431 AE431 X447 AE447 X463 AE463 X479 AE479 X495 AE495 X511 AE511 X527 AE527 X543 AE543 X559 AE559 X575 AE575 X591 AE591 X607 AE607 X623 AE623 X639 AE639 X655 AE655 X671 AE671 X687 AE687 X703 AE703 X719 AE719 X735 AE735 X751 AE751 X767 AE767 X783 AE783 X799 AE799 X815 AE815 X831 AE831 X847 AE847 X863 AE863 X879 AE879 X895 AE895 X911 AE911 X927 AE927 X943 AE943 X959 AE959 X975 AE975 X991 AE991 X1007 AE1007 X1023 AE1023 X1039 AE1039 X1055 AE1055 X1071 AE1071 X1087 AE1087 X1103 AE1103 X1119 AE1119 X1135 AE1135 X1151 AE1151 X51 AE51 X67 AE67 X83 AE83 X99 AE99 X115 AE115 X131 AE131 X147 AE147 X163 AE163 X179 AE179 X195 AE195 X211 AE211 X227 AE227 X243 AE243 X259 AE259 X275 AE275 X291 AE291 X307 AE307 X323 AE323 X339 AE339 X355 AE355 X371 AE371 X387 AE387 X403 AE403 X419 AE419 X435 AE435 X451 AE451 X467 AE467 X483 AE483 X499 AE499 X515 AE515 X531 AE531 X547 AE547 X563 AE563 X579 AE579 X595 AE595 X611 AE611 X627 AE627 X643 AE643 X659 AE659 X675 AE675 X691 AE691 X707 AE707 X723 AE723 X739 AE739 X755 AE755 X771 AE771 X787 AE787 X803 AE803 X819 AE819 X835 AE835 X851 AE851 X867 AE867 X883 AE883 X899 AE899 X915 AE915 X931 AE931 X947 AE947 X963 AE963 X979 AE979 X995 AE995 X1011 AE1011 X1027 AE1027 X1043 AE1043 X1059 AE1059 X1075 AE1075 X1091 AE1091 X1107 AE1107 X1123 AE1123 X1139 AE1139 X1155 AE1155"/>
    <dataValidation type="list" allowBlank="1" showInputMessage="1" showErrorMessage="1" errorTitle="Ошибка" error="Выберите значение из списка" sqref="V984188 V66684 V132220 V197756 V263292 V328828 V394364 V459900 V525436 V590972 V656508 V722044 V787580 V853116 V918652 AC984188 AC66684 AC132220 AC197756 AC263292 AC328828 AC394364 AC459900 AC525436 AC590972 AC656508 AC722044 AC787580 AC853116 AC918652">
      <formula1>kind_of_scheme_in</formula1>
    </dataValidation>
    <dataValidation type="textLength" operator="lessThanOrEqual" allowBlank="1" showInputMessage="1" showErrorMessage="1" errorTitle="Ошибка" error="Допускается ввод не более 900 символов!" sqref="AK66680:AK66687 AK132216:AK132223 AK197752:AK197759 AK263288:AK263295 AK328824:AK328831 AK394360:AK394367 AK459896:AK459903 AK525432:AK525439 AK590968:AK590975 AK656504:AK656511 AK722040:AK722047 AK787576:AK787583 AK853112:AK853119 AK918648:AK918655 AK984184:AK984191 T46 T7 AC44:AJ44 AC5:AJ5 AC60 AD60 AE60 AF60 AG60 AH60 AI60 AJ60 T62 AC76 AD76 AE76 AF76 AG76 AH76 AI76 AJ76 T78 AC92 AD92 AE92 AF92 AG92 AH92 AI92 AJ92 T94 AC108 AD108 AE108 AF108 AG108 AH108 AI108 AJ108 T110 AC124 AD124 AE124 AF124 AG124 AH124 AI124 AJ124 T126 AC140 AD140 AE140 AF140 AG140 AH140 AI140 AJ140 T142 AC156 AD156 AE156 AF156 AG156 AH156 AI156 AJ156 T158 AC172 AD172 AE172 AF172 AG172 AH172 AI172 AJ172 T174 AC188 AD188 AE188 AF188 AG188 AH188 AI188 AJ188 T190 AC204 AD204 AE204 AF204 AG204 AH204 AI204 AJ204 T206 AC220 AD220 AE220 AF220 AG220 AH220 AI220 AJ220 T222 AC236 AD236 AE236 AF236 AG236 AH236 AI236 AJ236 T238 AC252 AD252 AE252 AF252 AG252 AH252 AI252 AJ252 T254 AC268 AD268 AE268 AF268 AG268 AH268 AI268 AJ268 T270 AC284 AD284 AE284 AF284 AG284 AH284 AI284 AJ284 T286 AC300 AD300 AE300 AF300 AG300 AH300 AI300 AJ300 T302 AC316 AD316 AE316 AF316 AG316 AH316 AI316 AJ316 T318 AC332 AD332 AE332 AF332 AG332 AH332 AI332 AJ332 T334 AC348 AD348 AE348 AF348 AG348 AH348 AI348 AJ348 T350 AC364 AD364 AE364 AF364 AG364 AH364 AI364 AJ364 T366 AC380 AD380 AE380 AF380 AG380 AH380 AI380 AJ380 T382 AC396 AD396 AE396 AF396 AG396 AH396 AI396 AJ396 T398 AC412 AD412 AE412 AF412 AG412 AH412 AI412 AJ412 T414 AC428 AD428 AE428 AF428 AG428 AH428 AI428 AJ428 T430 AC444 AD444 AE444 AF444 AG444 AH444 AI444 AJ444 T446 AC460 AD460 AE460 AF460 AG460 AH460 AI460 AJ460 T462 AC476 AD476 AE476 AF476 AG476 AH476 AI476 AJ476 T478 AC492 AD492 AE492 AF492 AG492 AH492 AI492 AJ492 T494 AC508 AD508 AE508 AF508 AG508 AH508 AI508 AJ508 T510 AC524 AD524 AE524 AF524 AG524 AH524 AI524 AJ524 T526 AC540 AD540 AE540 AF540 AG540 AH540 AI540 AJ540 T542 AC556 AD556 AE556 AF556 AG556 AH556 AI556 AJ556 T558 AC572 AD572 AE572 AF572 AG572 AH572 AI572 AJ572 T574 AC588 AD588 AE588 AF588 AG588 AH588 AI588 AJ588 T590 AC604 AD604 AE604 AF604 AG604 AH604 AI604 AJ604 T606 AC620 AD620 AE620 AF620 AG620 AH620 AI620 AJ620 T622 AC636 AD636 AE636 AF636 AG636 AH636 AI636 AJ636 T638 AC652 AD652 AE652 AF652 AG652 AH652 AI652 AJ652 T654 AC668 AD668 AE668 AF668 AG668 AH668 AI668 AJ668 T670 AC684 AD684 AE684 AF684 AG684 AH684 AI684 AJ684 T686 AC700 AD700 AE700 AF700 AG700 AH700 AI700 AJ700 T702 AC716 AD716 AE716 AF716 AG716 AH716 AI716 AJ716 T718 AC732 AD732 AE732 AF732 AG732 AH732 AI732 AJ732 T734 AC748 AD748 AE748 AF748 AG748 AH748 AI748 AJ748 T750 AC764 AD764 AE764 AF764 AG764 AH764 AI764 AJ764 T766 AC780 AD780 AE780 AF780 AG780 AH780 AI780 AJ780 T782 AC796 AD796 AE796 AF796 AG796 AH796 AI796 AJ796 T798 AC812 AD812 AE812 AF812 AG812 AH812 AI812 AJ812 T814 AC828 AD828 AE828 AF828 AG828 AH828 AI828 AJ828 T830 AC844 AD844 AE844 AF844 AG844 AH844 AI844 AJ844 T846 AC860 AD860 AE860 AF860 AG860 AH860 AI860 AJ860 T862 AC876 AD876 AE876 AF876 AG876 AH876 AI876 AJ876 T878 AC892 AD892 AE892 AF892 AG892 AH892 AI892 AJ892 T894 AC908 AD908 AE908 AF908 AG908 AH908 AI908 AJ908 T910 AC924 AD924 AE924 AF924 AG924 AH924 AI924 AJ924 T926 AC940 AD940 AE940 AF940 AG940 AH940 AI940 AJ940 T942 AC956 AD956 AE956 AF956 AG956 AH956 AI956 AJ956 T958 AC972 AD972 AE972 AF972 AG972 AH972 AI972 AJ972 T974 AC988 AD988 AE988 AF988 AG988 AH988 AI988 AJ988 T990 AC1004 AD1004 AE1004 AF1004 AG1004 AH1004 AI1004 AJ1004 T1006 AC1020 AD1020 AE1020 AF1020 AG1020 AH1020 AI1020 AJ1020 T1022 AC1036 AD1036 AE1036 AF1036 AG1036 AH1036 AI1036 AJ1036 T1038 AC1052 AD1052 AE1052 AF1052 AG1052 AH1052 AI1052 AJ1052 T1054 AC1068 AD1068 AE1068 AF1068 AG1068 AH1068 AI1068 AJ1068 T1070 AC1084 AD1084 AE1084 AF1084 AG1084 AH1084 AI1084 AJ1084 T1086 AC1100 AD1100 AE1100 AF1100 AG1100 AH1100 AI1100 AJ1100 T1102 AC1116 AD1116 AE1116 AF1116 AG1116 AH1116 AI1116 AJ1116 T1118 AC1132 AD1132 AE1132 AF1132 AG1132 AH1132 AI1132 AJ1132 T1134 AC1148 AD1148 AE1148 AF1148 AG1148 AH1148 AI1148 AJ1148 T1150 T50 T66 T82 T98 T114 T130 T146 T162 T178 T194 T210 T226 T242 T258 T274 T290 T306 T322 T338 T354 T370 T386 T402 T418 T434 T450 T466 T482 T498 T514 T530 T546 T562 T578 T594 T610 T626 T642 T658 T674 T690 T706 T722 T738 T754 T770 T786 T802 T818 T834 T850 T866 T882 T898 T914 T930 T946 T962 T978 T994 T1010 T1026 T1042 T1058 T1074 T1090 T1106 T1122 T1138 T1154">
      <formula1>900</formula1>
    </dataValidation>
    <dataValidation type="list" allowBlank="1" showInputMessage="1" showErrorMessage="1" errorTitle="Ошибка" error="Выберите значение из списка" sqref="T66686 T132222 T197758 T263294 T328830 T394366 T459902 T525438 T590974 T656510 T722046 T787582 T853118 T918654 T98419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6686 Y132222 Y197758 Y263294 Y328830 Y394366 Y459902 Y525438 Y590974 Y656510 Y722046 Y787582 Y853118 Y918654 Y984190 AA66686 AA132222 AA197758 AA263294 AA328830 AA394366 AA459902 AA525438 AA590974 AA656510 AA722046 AA787582 AA853118 AA918654 AA984190 AF15 AF66686 AF132222 AF197758 AF263294 AF328830 AF394366 AF459902 AF525438 AF590974 AF656510 AF722046 AF787582 AF853118 AF918654 AF984190 AH66686 AH132222 AH197758 AH263294 AH328830 AH394366 AH459902 AH525438 AH590974 AH656510 AH722046 AH787582 AH853118 AH918654 AH984190 AH46 AF46 AH15 Y46 AA46 AH7 AF7 Y7 AA7 Y62 AA62 AF62 AH62 Y78 AA78 AF78 AH78 Y94 AA94 AF94 AH94 Y110 AA110 AF110 AH110 Y126 AA126 AF126 AH126 Y142 AA142 AF142 AH142 Y158 AA158 AF158 AH158 Y174 AA174 AF174 AH174 Y190 AA190 AF190 AH190 Y206 AA206 AF206 AH206 Y222 AA222 AF222 AH222 Y238 AA238 AF238 AH238 Y254 AA254 AF254 AH254 Y270 AA270 AF270 AH270 Y286 AA286 AF286 AH286 Y302 AA302 AF302 AH302 Y318 AA318 AF318 AH318 Y334 AA334 AF334 AH334 Y350 AA350 AF350 AH350 Y366 AA366 AF366 AH366 Y382 AA382 AF382 AH382 Y398 AA398 AF398 AH398 Y414 AA414 AF414 AH414 Y430 AA430 AF430 AH430 Y446 AA446 AF446 AH446 Y462 AA462 AF462 AH462 Y478 AA478 AF478 AH478 Y494 AA494 AF494 AH494 Y510 AA510 AF510 AH510 Y526 AA526 AF526 AH526 Y542 AA542 AF542 AH542 Y558 AA558 AF558 AH558 Y574 AA574 AF574 AH574 Y590 AA590 AF590 AH590 Y606 AA606 AF606 AH606 Y622 AA622 AF622 AH622 Y638 AA638 AF638 AH638 Y654 AA654 AF654 AH654 Y670 AA670 AF670 AH670 Y686 AA686 AF686 AH686 Y702 AA702 AF702 AH702 Y718 AA718 AF718 AH718 Y734 AA734 AF734 AH734 Y750 AA750 AF750 AH750 Y766 AA766 AF766 AH766 Y782 AA782 AF782 AH782 Y798 AA798 AF798 AH798 Y814 AA814 AF814 AH814 Y830 AA830 AF830 AH830 Y846 AA846 AF846 AH846 Y862 AA862 AF862 AH862 Y878 AA878 AF878 AH878 Y894 AA894 AF894 AH894 Y910 AA910 AF910 AH910 Y926 AA926 AF926 AH926 Y942 AA942 AF942 AH942 Y958 AA958 AF958 AH958 Y974 AA974 AF974 AH974 Y990 AA990 AF990 AH990 Y1006 AA1006 AF1006 AH1006 Y1022 AA1022 AF1022 AH1022 Y1038 AA1038 AF1038 AH1038 Y1054 AA1054 AF1054 AH1054 Y1070 AA1070 AF1070 AH1070 Y1086 AA1086 AF1086 AH1086 Y1102 AA1102 AF1102 AH1102 Y1118 AA1118 AF1118 AH1118 Y1134 AA1134 AF1134 AH1134 Y1150 AA1150 AF1150 AH1150 Y50 AA50 AF50 AH50 Y66 AA66 AF66 AH66 Y82 AA82 AF82 AH82 Y98 AA98 AF98 AH98 Y114 AA114 AF114 AH114 Y130 AA130 AF130 AH130 Y146 AA146 AF146 AH146 Y162 AA162 AF162 AH162 Y178 AA178 AF178 AH178 Y194 AA194 AF194 AH194 Y210 AA210 AF210 AH210 Y226 AA226 AF226 AH226 Y242 AA242 AF242 AH242 Y258 AA258 AF258 AH258 Y274 AA274 AF274 AH274 Y290 AA290 AF290 AH290 Y306 AA306 AF306 AH306 Y322 AA322 AF322 AH322 Y338 AA338 AF338 AH338 Y354 AA354 AF354 AH354 Y370 AA370 AF370 AH370 Y386 AA386 AF386 AH386 Y402 AA402 AF402 AH402 Y418 AA418 AF418 AH418 Y434 AA434 AF434 AH434 Y450 AA450 AF450 AH450 Y466 AA466 AF466 AH466 Y482 AA482 AF482 AH482 Y498 AA498 AF498 AH498 Y514 AA514 AF514 AH514 Y530 AA530 AF530 AH530 Y546 AA546 AF546 AH546 Y562 AA562 AF562 AH562 Y578 AA578 AF578 AH578 Y594 AA594 AF594 AH594 Y610 AA610 AF610 AH610 Y626 AA626 AF626 AH626 Y642 AA642 AF642 AH642 Y658 AA658 AF658 AH658 Y674 AA674 AF674 AH674 Y690 AA690 AF690 AH690 Y706 AA706 AF706 AH706 Y722 AA722 AF722 AH722 Y738 AA738 AF738 AH738 Y754 AA754 AF754 AH754 Y770 AA770 AF770 AH770 Y786 AA786 AF786 AH786 Y802 AA802 AF802 AH802 Y818 AA818 AF818 AH818 Y834 AA834 AF834 AH834 Y850 AA850 AF850 AH850 Y866 AA866 AF866 AH866 Y882 AA882 AF882 AH882 Y898 AA898 AF898 AH898 Y914 AA914 AF914 AH914 Y930 AA930 AF930 AH930 Y946 AA946 AF946 AH946 Y962 AA962 AF962 AH962 Y978 AA978 AF978 AH978 Y994 AA994 AF994 AH994 Y1010 AA1010 AF1010 AH1010 Y1026 AA1026 AF1026 AH1026 Y1042 AA1042 AF1042 AH1042 Y1058 AA1058 AF1058 AH1058 Y1074 AA1074 AF1074 AH1074 Y1090 AA1090 AF1090 AH1090 Y1106 AA1106 AF1106 AH1106 Y1122 AA1122 AF1122 AH1122 Y1138 AA1138 AF1138 AH1138 Y1154 AA1154 AF1154 AH1154"/>
    <dataValidation allowBlank="1" showInputMessage="1" showErrorMessage="1" prompt="Для выбора выполните двойной щелчок левой клавиши мыши по соответствующей ячейке." sqref="Z66686 Z132222 Z197758 Z263294 Z328830 Z394366 Z459902 Z525438 Z590974 Z656510 Z722046 Z787582 Z853118 Z918654 Z984190 AB132222 AB459902 AB197758 AB263294 AB328830 AB394366 AB525438 AB590974 AB656510 AB722046 AB787582 AB853118 AB918654 AB984190 AB66686 AG66686 AG132222 AG197758 AG263294 AG328830 AG394366 AG459902 AG525438 AG590974 AG656510 AG722046 AG787582 AG853118 AG918654 AG984190 AI46 AI525438 AI197758 AI590974 AI656510 AI15 AI722046 AI787582 AI853118 AI918654 AI984190 AI66686 AI132222 AI459902 AI263294 AG46 AI7 Z46 AB46 AG15 AG7 Z7 AB7 AI328830 AI394366 Z62 AB62 AG62 AI62 Z78 AB78 AG78 AI78 Z94 AB94 AG94 AI94 Z110 AB110 AG110 AI110 Z126 AB126 AG126 AI126 Z142 AB142 AG142 AI142 Z158 AB158 AG158 AI158 Z174 AB174 AG174 AI174 Z190 AB190 AG190 AI190 Z206 AB206 AG206 AI206 Z222 AB222 AG222 AI222 Z238 AB238 AG238 AI238 Z254 AB254 AG254 AI254 Z270 AB270 AG270 AI270 Z286 AB286 AG286 AI286 Z302 AB302 AG302 AI302 Z318 AB318 AG318 AI318 Z334 AB334 AG334 AI334 Z350 AB350 AG350 AI350 Z366 AB366 AG366 AI366 Z382 AB382 AG382 AI382 Z398 AB398 AG398 AI398 Z414 AB414 AG414 AI414 Z430 AB430 AG430 AI430 Z446 AB446 AG446 AI446 Z462 AB462 AG462 AI462 Z478 AB478 AG478 AI478 Z494 AB494 AG494 AI494 Z510 AB510 AG510 AI510 Z526 AB526 AG526 AI526 Z542 AB542 AG542 AI542 Z558 AB558 AG558 AI558 Z574 AB574 AG574 AI574 Z590 AB590 AG590 AI590 Z606 AB606 AG606 AI606 Z622 AB622 AG622 AI622 Z638 AB638 AG638 AI638 Z654 AB654 AG654 AI654 Z670 AB670 AG670 AI670 Z686 AB686 AG686 AI686 Z702 AB702 AG702 AI702 Z718 AB718 AG718 AI718 Z734 AB734 AG734 AI734 Z750 AB750 AG750 AI750 Z766 AB766 AG766 AI766 Z782 AB782 AG782 AI782 Z798 AB798 AG798 AI798 Z814 AB814 AG814 AI814 Z830 AB830 AG830 AI830 Z846 AB846 AG846 AI846 Z862 AB862 AG862 AI862 Z878 AB878 AG878 AI878 Z894 AB894 AG894 AI894 Z910 AB910 AG910 AI910 Z926 AB926 AG926 AI926 Z942 AB942 AG942 AI942 Z958 AB958 AG958 AI958 Z974 AB974 AG974 AI974 Z990 AB990 AG990 AI990 Z1006 AB1006 AG1006 AI1006 Z1022 AB1022 AG1022 AI1022 Z1038 AB1038 AG1038 AI1038 Z1054 AB1054 AG1054 AI1054 Z1070 AB1070 AG1070 AI1070 Z1086 AB1086 AG1086 AI1086 Z1102 AB1102 AG1102 AI1102 Z1118 AB1118 AG1118 AI1118 Z1134 AB1134 AG1134 AI1134 Z1150 AB1150 AG1150 AI1150 Z50 AB50 AG50 AI50 Z66 AB66 AG66 AI66 Z82 AB82 AG82 AI82 Z98 AB98 AG98 AI98 Z114 AB114 AG114 AI114 Z130 AB130 AG130 AI130 Z146 AB146 AG146 AI146 Z162 AB162 AG162 AI162 Z178 AB178 AG178 AI178 Z194 AB194 AG194 AI194 Z210 AB210 AG210 AI210 Z226 AB226 AG226 AI226 Z242 AB242 AG242 AI242 Z258 AB258 AG258 AI258 Z274 AB274 AG274 AI274 Z290 AB290 AG290 AI290 Z306 AB306 AG306 AI306 Z322 AB322 AG322 AI322 Z338 AB338 AG338 AI338 Z354 AB354 AG354 AI354 Z370 AB370 AG370 AI370 Z386 AB386 AG386 AI386 Z402 AB402 AG402 AI402 Z418 AB418 AG418 AI418 Z434 AB434 AG434 AI434 Z450 AB450 AG450 AI450 Z466 AB466 AG466 AI466 Z482 AB482 AG482 AI482 Z498 AB498 AG498 AI498 Z514 AB514 AG514 AI514 Z530 AB530 AG530 AI530 Z546 AB546 AG546 AI546 Z562 AB562 AG562 AI562 Z578 AB578 AG578 AI578 Z594 AB594 AG594 AI594 Z610 AB610 AG610 AI610 Z626 AB626 AG626 AI626 Z642 AB642 AG642 AI642 Z658 AB658 AG658 AI658 Z674 AB674 AG674 AI674 Z690 AB690 AG690 AI690 Z706 AB706 AG706 AI706 Z722 AB722 AG722 AI722 Z738 AB738 AG738 AI738 Z754 AB754 AG754 AI754 Z770 AB770 AG770 AI770 Z786 AB786 AG786 AI786 Z802 AB802 AG802 AI802 Z818 AB818 AG818 AI818 Z834 AB834 AG834 AI834 Z850 AB850 AG850 AI850 Z866 AB866 AG866 AI866 Z882 AB882 AG882 AI882 Z898 AB898 AG898 AI898 Z914 AB914 AG914 AI914 Z930 AB930 AG930 AI930 Z946 AB946 AG946 AI946 Z962 AB962 AG962 AI962 Z978 AB978 AG978 AI978 Z994 AB994 AG994 AI994 Z1010 AB1010 AG1010 AI1010 Z1026 AB1026 AG1026 AI1026 Z1042 AB1042 AG1042 AI1042 Z1058 AB1058 AG1058 AI1058 Z1074 AB1074 AG1074 AI1074 Z1090 AB1090 AG1090 AI1090 Z1106 AB1106 AG1106 AI1106 Z1122 AB1122 AG1122 AI1122 Z1138 AB1138 AG1138 AI1138 Z1154 AB1154 AG1154 AI1154"/>
    <dataValidation allowBlank="1" sqref="S132224:AK132230 S197760:AK197766 S263296:AK263302 S328832:AK328838 S394368:AK394374 S459904:AK459910 S525440:AK525446 S590976:AK590982 S656512:AK656518 S722048:AK722054 S787584:AK787590 S853120:AK853126 S918656:AK918662 S984192:AK984198 S66688:AK66694"/>
    <dataValidation type="list" allowBlank="1" showInputMessage="1" errorTitle="Ошибка" error="Выберите значение из списка" prompt="Выберите значение из списка" sqref="V984189:AJ984189 V66685:AJ66685 V132221:AJ132221 V197757:AJ197757 V263293:AJ263293 V328829:AJ328829 V394365:AJ394365 V459901:AJ459901 V525437:AJ525437 V590973:AJ590973 V656509:AJ656509 V722045:AJ722045 V787581:AJ787581 V853117:AJ853117 V918653:AJ918653">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4"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8883">
        <v>1</v>
      </c>
      <c r="F2" s="1284"/>
      <c r="G2" s="1284"/>
      <c r="H2" s="1284"/>
      <c r="I2" s="1284"/>
      <c r="J2" s="1284"/>
      <c r="K2" s="1284"/>
      <c r="L2" s="1285"/>
      <c r="M2" s="1286"/>
      <c r="N2" s="1286"/>
      <c r="O2" s="1286"/>
      <c r="P2" s="1330"/>
      <c r="Q2" s="787"/>
      <c r="R2" s="276"/>
      <c r="S2" s="1382" t="e">
        <f>INDEX(PT_DIFFERENTIATION_NUM_NTAR,MATCH(A2,PT_DIFFERENTIATION_NTAR_ID,0))</f>
        <v>#N/A</v>
      </c>
      <c r="T2" s="212" t="s">
        <v>211</v>
      </c>
      <c r="U2" s="214"/>
      <c r="V2" s="8870"/>
      <c r="W2" s="8870"/>
      <c r="X2" s="8870"/>
      <c r="Y2" s="8870"/>
      <c r="Z2" s="8870"/>
      <c r="AA2" s="8870"/>
      <c r="AB2" s="8870"/>
      <c r="AC2" s="8871"/>
      <c r="AD2" s="8869" t="e">
        <f>INDEX(PT_DIFFERENTIATION_NTAR,MATCH(A2,PT_DIFFERENTIATION_NTAR_ID,0))</f>
        <v>#N/A</v>
      </c>
      <c r="AE2" s="8870"/>
      <c r="AF2" s="8870"/>
      <c r="AG2" s="8870"/>
      <c r="AH2" s="8870"/>
      <c r="AI2" s="8870"/>
      <c r="AJ2" s="8870"/>
      <c r="AK2" s="8870"/>
      <c r="AL2" s="8870"/>
      <c r="AM2" s="8870"/>
      <c r="AN2" s="8870"/>
      <c r="AO2" s="8870"/>
      <c r="AP2" s="8870"/>
      <c r="AQ2" s="8870"/>
      <c r="AR2" s="8870"/>
      <c r="AS2" s="8870"/>
      <c r="AT2" s="8870"/>
      <c r="AU2" s="8870"/>
      <c r="AV2" s="8870"/>
      <c r="AW2" s="8870"/>
      <c r="AX2" s="8870"/>
      <c r="AY2" s="8870"/>
      <c r="AZ2" s="8870"/>
      <c r="BA2" s="8870"/>
      <c r="BB2" s="887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8884"/>
      <c r="F3" s="8883">
        <v>1</v>
      </c>
      <c r="G3" s="1284"/>
      <c r="H3" s="1284"/>
      <c r="I3" s="1284"/>
      <c r="J3" s="1284"/>
      <c r="K3" s="1284"/>
      <c r="L3" s="1285"/>
      <c r="M3" s="1286"/>
      <c r="N3" s="1286"/>
      <c r="O3" s="1286"/>
      <c r="P3" s="1331"/>
      <c r="Q3" s="1332"/>
      <c r="R3" s="274"/>
      <c r="S3" s="1382" t="e">
        <f>INDEX(PT_DIFFERENTIATION_NUM_TER,MATCH(B3,PT_DIFFERENTIATION_TER_ID,0))</f>
        <v>#N/A</v>
      </c>
      <c r="T3" s="224" t="s">
        <v>862</v>
      </c>
      <c r="U3" s="214"/>
      <c r="V3" s="8870"/>
      <c r="W3" s="8870"/>
      <c r="X3" s="8870"/>
      <c r="Y3" s="8870"/>
      <c r="Z3" s="8870"/>
      <c r="AA3" s="8870"/>
      <c r="AB3" s="8870"/>
      <c r="AC3" s="8871"/>
      <c r="AD3" s="8869" t="e">
        <f>INDEX(PT_DIFFERENTIATION_TER,MATCH(B3,PT_DIFFERENTIATION_TER_ID,0))</f>
        <v>#N/A</v>
      </c>
      <c r="AE3" s="8870"/>
      <c r="AF3" s="8870"/>
      <c r="AG3" s="8870"/>
      <c r="AH3" s="8870"/>
      <c r="AI3" s="8870"/>
      <c r="AJ3" s="8870"/>
      <c r="AK3" s="8870"/>
      <c r="AL3" s="8870"/>
      <c r="AM3" s="8870"/>
      <c r="AN3" s="8870"/>
      <c r="AO3" s="8870"/>
      <c r="AP3" s="8870"/>
      <c r="AQ3" s="8870"/>
      <c r="AR3" s="8870"/>
      <c r="AS3" s="8870"/>
      <c r="AT3" s="8870"/>
      <c r="AU3" s="8870"/>
      <c r="AV3" s="8870"/>
      <c r="AW3" s="8870"/>
      <c r="AX3" s="8870"/>
      <c r="AY3" s="8870"/>
      <c r="AZ3" s="8870"/>
      <c r="BA3" s="8870"/>
      <c r="BB3" s="8871"/>
      <c r="BC3" s="1182" t="s">
        <v>863</v>
      </c>
      <c r="BE3" s="424"/>
      <c r="BF3" s="424" t="str">
        <f t="shared" si="0"/>
        <v>Территория действия тарифа</v>
      </c>
      <c r="BG3" s="424"/>
      <c r="BH3" s="424"/>
    </row>
    <row r="4" spans="1:60" ht="42" hidden="1" customHeight="1">
      <c r="A4" s="1284"/>
      <c r="B4" s="1284"/>
      <c r="C4" s="1284"/>
      <c r="D4" s="1284"/>
      <c r="E4" s="8884"/>
      <c r="F4" s="8884"/>
      <c r="G4" s="8883">
        <v>1</v>
      </c>
      <c r="H4" s="1284"/>
      <c r="I4" s="1284"/>
      <c r="J4" s="1284"/>
      <c r="K4" s="1284"/>
      <c r="L4" s="1285"/>
      <c r="M4" s="1286"/>
      <c r="N4" s="1286"/>
      <c r="O4" s="1286"/>
      <c r="P4" s="1333"/>
      <c r="Q4" s="1332"/>
      <c r="R4" s="274"/>
      <c r="S4" s="1382" t="e">
        <f>INDEX(PT_DIFFERENTIATION_NUM_CS,MATCH(C4,PT_DIFFERENTIATION_CS_ID,0))</f>
        <v>#N/A</v>
      </c>
      <c r="T4" s="225" t="s">
        <v>943</v>
      </c>
      <c r="U4" s="214"/>
      <c r="V4" s="8870"/>
      <c r="W4" s="8870"/>
      <c r="X4" s="8870"/>
      <c r="Y4" s="8870"/>
      <c r="Z4" s="8870"/>
      <c r="AA4" s="8870"/>
      <c r="AB4" s="8870"/>
      <c r="AC4" s="8871"/>
      <c r="AD4" s="8869" t="e">
        <f>INDEX(PT_DIFFERENTIATION_CS,MATCH(C4,PT_DIFFERENTIATION_CS_ID,0))</f>
        <v>#N/A</v>
      </c>
      <c r="AE4" s="8870"/>
      <c r="AF4" s="8870"/>
      <c r="AG4" s="8870"/>
      <c r="AH4" s="8870"/>
      <c r="AI4" s="8870"/>
      <c r="AJ4" s="8870"/>
      <c r="AK4" s="8870"/>
      <c r="AL4" s="8870"/>
      <c r="AM4" s="8870"/>
      <c r="AN4" s="8870"/>
      <c r="AO4" s="8870"/>
      <c r="AP4" s="8870"/>
      <c r="AQ4" s="8870"/>
      <c r="AR4" s="8870"/>
      <c r="AS4" s="8870"/>
      <c r="AT4" s="8870"/>
      <c r="AU4" s="8870"/>
      <c r="AV4" s="8870"/>
      <c r="AW4" s="8870"/>
      <c r="AX4" s="8870"/>
      <c r="AY4" s="8870"/>
      <c r="AZ4" s="8870"/>
      <c r="BA4" s="8870"/>
      <c r="BB4" s="8871"/>
      <c r="BC4" s="1182" t="s">
        <v>944</v>
      </c>
      <c r="BE4" s="424"/>
      <c r="BF4" s="424" t="str">
        <f t="shared" si="0"/>
        <v>Наименование централизованной системы холодного водоснабжения</v>
      </c>
      <c r="BG4" s="424"/>
      <c r="BH4" s="424"/>
    </row>
    <row r="5" spans="1:60" s="1562" customFormat="1" ht="14.25" hidden="1" customHeight="1">
      <c r="A5" s="1265"/>
      <c r="B5" s="1265"/>
      <c r="C5" s="1265"/>
      <c r="D5" s="1265"/>
      <c r="E5" s="8884"/>
      <c r="F5" s="8884"/>
      <c r="G5" s="8884"/>
      <c r="H5" s="8883">
        <v>1</v>
      </c>
      <c r="I5" s="1265"/>
      <c r="J5" s="1265"/>
      <c r="K5" s="1265"/>
      <c r="L5" s="1268"/>
      <c r="M5" s="1238"/>
      <c r="N5" s="1238"/>
      <c r="O5" s="1238"/>
      <c r="P5" s="1412"/>
      <c r="Q5" s="1413"/>
      <c r="R5" s="278"/>
      <c r="S5" s="953"/>
      <c r="T5" s="1414"/>
      <c r="U5" s="1305"/>
      <c r="V5" s="8911"/>
      <c r="W5" s="8911"/>
      <c r="X5" s="8911"/>
      <c r="Y5" s="8911"/>
      <c r="Z5" s="8911"/>
      <c r="AA5" s="8911"/>
      <c r="AB5" s="8911"/>
      <c r="AC5" s="8912"/>
      <c r="AD5" s="8910"/>
      <c r="AE5" s="8911"/>
      <c r="AF5" s="8911"/>
      <c r="AG5" s="8911"/>
      <c r="AH5" s="8911"/>
      <c r="AI5" s="8911"/>
      <c r="AJ5" s="8911"/>
      <c r="AK5" s="8911"/>
      <c r="AL5" s="8911"/>
      <c r="AM5" s="8911"/>
      <c r="AN5" s="8911"/>
      <c r="AO5" s="8911"/>
      <c r="AP5" s="8911"/>
      <c r="AQ5" s="8911"/>
      <c r="AR5" s="8911"/>
      <c r="AS5" s="8911"/>
      <c r="AT5" s="8911"/>
      <c r="AU5" s="8911"/>
      <c r="AV5" s="8911"/>
      <c r="AW5" s="8911"/>
      <c r="AX5" s="8911"/>
      <c r="AY5" s="8911"/>
      <c r="AZ5" s="8911"/>
      <c r="BA5" s="8911"/>
      <c r="BB5" s="8912"/>
      <c r="BC5" s="1306" t="s">
        <v>867</v>
      </c>
      <c r="BE5" s="424"/>
      <c r="BF5" s="424" t="str">
        <f t="shared" si="0"/>
        <v/>
      </c>
      <c r="BG5" s="424"/>
      <c r="BH5" s="424"/>
    </row>
    <row r="6" spans="1:60" s="1562" customFormat="1" ht="14.25" hidden="1" customHeight="1">
      <c r="A6" s="1265"/>
      <c r="B6" s="1265"/>
      <c r="C6" s="1265"/>
      <c r="D6" s="1265"/>
      <c r="E6" s="8884"/>
      <c r="F6" s="8884"/>
      <c r="G6" s="8884"/>
      <c r="H6" s="8884"/>
      <c r="I6" s="8881" t="str">
        <f>S5&amp;".1"</f>
        <v>.1</v>
      </c>
      <c r="J6" s="1265"/>
      <c r="K6" s="1265"/>
      <c r="L6" s="1268" t="s">
        <v>868</v>
      </c>
      <c r="M6" s="434"/>
      <c r="N6" s="434"/>
      <c r="O6" s="434"/>
      <c r="P6" s="8882">
        <v>1</v>
      </c>
      <c r="Q6" s="1379"/>
      <c r="R6" s="277"/>
      <c r="S6" s="953"/>
      <c r="T6" s="1304"/>
      <c r="U6" s="1305"/>
      <c r="V6" s="8911"/>
      <c r="W6" s="8911"/>
      <c r="X6" s="8911"/>
      <c r="Y6" s="8911"/>
      <c r="Z6" s="8911"/>
      <c r="AA6" s="8911"/>
      <c r="AB6" s="8911"/>
      <c r="AC6" s="8912"/>
      <c r="AD6" s="8910"/>
      <c r="AE6" s="8911"/>
      <c r="AF6" s="8911"/>
      <c r="AG6" s="8911"/>
      <c r="AH6" s="8911"/>
      <c r="AI6" s="8911"/>
      <c r="AJ6" s="8911"/>
      <c r="AK6" s="8911"/>
      <c r="AL6" s="8911"/>
      <c r="AM6" s="8911"/>
      <c r="AN6" s="8911"/>
      <c r="AO6" s="8911"/>
      <c r="AP6" s="8911"/>
      <c r="AQ6" s="8911"/>
      <c r="AR6" s="8911"/>
      <c r="AS6" s="8911"/>
      <c r="AT6" s="8911"/>
      <c r="AU6" s="8911"/>
      <c r="AV6" s="8911"/>
      <c r="AW6" s="8911"/>
      <c r="AX6" s="8911"/>
      <c r="AY6" s="8911"/>
      <c r="AZ6" s="8911"/>
      <c r="BA6" s="8911"/>
      <c r="BB6" s="8912"/>
      <c r="BC6" s="1306"/>
      <c r="BE6" s="424"/>
      <c r="BF6" s="424" t="str">
        <f t="shared" si="0"/>
        <v/>
      </c>
      <c r="BG6" s="424"/>
      <c r="BH6" s="424"/>
    </row>
    <row r="7" spans="1:60" s="1562" customFormat="1" ht="14.25" hidden="1" customHeight="1">
      <c r="A7" s="1265"/>
      <c r="B7" s="1265"/>
      <c r="C7" s="1265"/>
      <c r="D7" s="1265"/>
      <c r="E7" s="8884"/>
      <c r="F7" s="8884"/>
      <c r="G7" s="8884"/>
      <c r="H7" s="8884"/>
      <c r="I7" s="8904"/>
      <c r="J7" s="8881" t="str">
        <f>S5&amp;".1"</f>
        <v>.1</v>
      </c>
      <c r="K7" s="1265"/>
      <c r="L7" s="1268"/>
      <c r="M7" s="434"/>
      <c r="N7" s="434"/>
      <c r="O7" s="434"/>
      <c r="P7" s="8882"/>
      <c r="Q7" s="8882">
        <v>1</v>
      </c>
      <c r="R7" s="278"/>
      <c r="S7" s="953"/>
      <c r="T7" s="1320"/>
      <c r="U7" s="1305"/>
      <c r="V7" s="8911"/>
      <c r="W7" s="8911"/>
      <c r="X7" s="8911"/>
      <c r="Y7" s="8911"/>
      <c r="Z7" s="8911"/>
      <c r="AA7" s="8911"/>
      <c r="AB7" s="8911"/>
      <c r="AC7" s="8912"/>
      <c r="AD7" s="8910"/>
      <c r="AE7" s="8911"/>
      <c r="AF7" s="8911"/>
      <c r="AG7" s="8911"/>
      <c r="AH7" s="8911"/>
      <c r="AI7" s="8911"/>
      <c r="AJ7" s="8911"/>
      <c r="AK7" s="8911"/>
      <c r="AL7" s="8911"/>
      <c r="AM7" s="8911"/>
      <c r="AN7" s="8911"/>
      <c r="AO7" s="8911"/>
      <c r="AP7" s="8911"/>
      <c r="AQ7" s="8911"/>
      <c r="AR7" s="8911"/>
      <c r="AS7" s="8911"/>
      <c r="AT7" s="8911"/>
      <c r="AU7" s="8911"/>
      <c r="AV7" s="8911"/>
      <c r="AW7" s="8911"/>
      <c r="AX7" s="8911"/>
      <c r="AY7" s="8911"/>
      <c r="AZ7" s="8911"/>
      <c r="BA7" s="8911"/>
      <c r="BB7" s="8912"/>
      <c r="BC7" s="1306"/>
      <c r="BE7" s="424"/>
      <c r="BF7" s="424" t="str">
        <f t="shared" si="0"/>
        <v/>
      </c>
      <c r="BG7" s="424"/>
      <c r="BH7" s="424"/>
    </row>
    <row r="8" spans="1:60" ht="11.25" hidden="1" customHeight="1">
      <c r="A8" s="1284"/>
      <c r="B8" s="1284"/>
      <c r="C8" s="1284"/>
      <c r="D8" s="1284"/>
      <c r="E8" s="8884"/>
      <c r="F8" s="8884"/>
      <c r="G8" s="8884"/>
      <c r="H8" s="8884"/>
      <c r="I8" s="8904"/>
      <c r="J8" s="8904"/>
      <c r="K8" s="8881" t="e">
        <f>S4&amp;".1"</f>
        <v>#N/A</v>
      </c>
      <c r="L8" s="1285"/>
      <c r="P8" s="8882"/>
      <c r="Q8" s="8882"/>
      <c r="R8" s="8939">
        <v>1</v>
      </c>
      <c r="S8" s="8933" t="e">
        <f>$K8</f>
        <v>#N/A</v>
      </c>
      <c r="T8" s="8952"/>
      <c r="U8" s="214"/>
      <c r="V8" s="666"/>
      <c r="W8" s="1181"/>
      <c r="X8" s="666"/>
      <c r="Y8" s="1181"/>
      <c r="Z8" s="1653"/>
      <c r="AA8" s="1377" t="s">
        <v>63</v>
      </c>
      <c r="AB8" s="1653"/>
      <c r="AC8" s="1377" t="s">
        <v>63</v>
      </c>
      <c r="AD8" s="8808" t="s">
        <v>63</v>
      </c>
      <c r="AE8" s="8919"/>
      <c r="AF8" s="8838">
        <v>1</v>
      </c>
      <c r="AG8" s="8956"/>
      <c r="AH8" s="8734" t="s">
        <v>63</v>
      </c>
      <c r="AI8" s="8919"/>
      <c r="AJ8" s="8838">
        <v>1</v>
      </c>
      <c r="AK8" s="8955" t="s">
        <v>24</v>
      </c>
      <c r="AL8" s="8734" t="s">
        <v>63</v>
      </c>
      <c r="AM8" s="8828"/>
      <c r="AN8" s="8838">
        <v>1</v>
      </c>
      <c r="AO8" s="8949"/>
      <c r="AP8" s="8950" t="s">
        <v>63</v>
      </c>
      <c r="AQ8" s="227"/>
      <c r="AR8" s="1380">
        <v>1</v>
      </c>
      <c r="AS8" s="1383" t="s">
        <v>24</v>
      </c>
      <c r="AT8" s="666"/>
      <c r="AU8" s="1181"/>
      <c r="AV8" s="666"/>
      <c r="AW8" s="1181"/>
      <c r="AX8" s="1653"/>
      <c r="AY8" s="1377" t="s">
        <v>63</v>
      </c>
      <c r="AZ8" s="1653"/>
      <c r="BA8" s="1377" t="s">
        <v>63</v>
      </c>
      <c r="BB8" s="1270"/>
      <c r="BC8" s="8878" t="s">
        <v>965</v>
      </c>
      <c r="BE8" s="424"/>
      <c r="BF8" s="424" t="str">
        <f t="shared" si="0"/>
        <v/>
      </c>
      <c r="BG8" s="424"/>
      <c r="BH8" s="424"/>
    </row>
    <row r="9" spans="1:60" ht="11.25" hidden="1" customHeight="1">
      <c r="A9" s="1284"/>
      <c r="B9" s="1284"/>
      <c r="C9" s="1284"/>
      <c r="D9" s="1284"/>
      <c r="E9" s="8884"/>
      <c r="F9" s="8884"/>
      <c r="G9" s="8884"/>
      <c r="H9" s="8884"/>
      <c r="I9" s="8904"/>
      <c r="J9" s="8904"/>
      <c r="K9" s="8881"/>
      <c r="L9" s="1285"/>
      <c r="P9" s="8882"/>
      <c r="Q9" s="8882"/>
      <c r="R9" s="8939"/>
      <c r="S9" s="8934"/>
      <c r="T9" s="8953"/>
      <c r="U9" s="214"/>
      <c r="V9" s="1314"/>
      <c r="W9" s="1411"/>
      <c r="X9" s="1314"/>
      <c r="Y9" s="1411"/>
      <c r="Z9" s="1314"/>
      <c r="AA9" s="1314"/>
      <c r="AB9" s="1314"/>
      <c r="AC9" s="1314"/>
      <c r="AD9" s="8809"/>
      <c r="AE9" s="8919"/>
      <c r="AF9" s="8838"/>
      <c r="AG9" s="8956"/>
      <c r="AH9" s="8734"/>
      <c r="AI9" s="8919"/>
      <c r="AJ9" s="8838"/>
      <c r="AK9" s="8955"/>
      <c r="AL9" s="8734"/>
      <c r="AM9" s="8833"/>
      <c r="AN9" s="8838"/>
      <c r="AO9" s="8949"/>
      <c r="AP9" s="8951"/>
      <c r="AQ9" s="234"/>
      <c r="AR9" s="345"/>
      <c r="AS9" s="345" t="s">
        <v>966</v>
      </c>
      <c r="AT9" s="1314"/>
      <c r="AU9" s="1411"/>
      <c r="AV9" s="1314"/>
      <c r="AW9" s="1411"/>
      <c r="AX9" s="1314"/>
      <c r="AY9" s="1314"/>
      <c r="AZ9" s="1314"/>
      <c r="BA9" s="1314"/>
      <c r="BB9" s="1318"/>
      <c r="BC9" s="8879"/>
      <c r="BE9" s="424"/>
      <c r="BF9" s="424"/>
      <c r="BG9" s="424"/>
      <c r="BH9" s="424"/>
    </row>
    <row r="10" spans="1:60" ht="11.25" hidden="1" customHeight="1">
      <c r="A10" s="1284"/>
      <c r="B10" s="1284"/>
      <c r="C10" s="1284"/>
      <c r="D10" s="1284"/>
      <c r="E10" s="8884"/>
      <c r="F10" s="8884"/>
      <c r="G10" s="8884"/>
      <c r="H10" s="8884"/>
      <c r="I10" s="8904"/>
      <c r="J10" s="8904"/>
      <c r="K10" s="8881"/>
      <c r="L10" s="1285"/>
      <c r="P10" s="8882"/>
      <c r="Q10" s="8882"/>
      <c r="R10" s="8939"/>
      <c r="S10" s="8934"/>
      <c r="T10" s="8953"/>
      <c r="U10" s="214"/>
      <c r="V10" s="1314"/>
      <c r="W10" s="1411"/>
      <c r="X10" s="1314"/>
      <c r="Y10" s="1411"/>
      <c r="Z10" s="1314"/>
      <c r="AA10" s="1314"/>
      <c r="AB10" s="1314"/>
      <c r="AC10" s="1314"/>
      <c r="AD10" s="8809"/>
      <c r="AE10" s="8919"/>
      <c r="AF10" s="8838"/>
      <c r="AG10" s="8956"/>
      <c r="AH10" s="8734"/>
      <c r="AI10" s="8919"/>
      <c r="AJ10" s="8838"/>
      <c r="AK10" s="8955"/>
      <c r="AL10" s="8734"/>
      <c r="AM10" s="234"/>
      <c r="AN10" s="1415"/>
      <c r="AO10" s="1415" t="s">
        <v>967</v>
      </c>
      <c r="AP10" s="345"/>
      <c r="AQ10" s="345"/>
      <c r="AR10" s="345"/>
      <c r="AS10" s="1314"/>
      <c r="AT10" s="1314"/>
      <c r="AU10" s="1411"/>
      <c r="AV10" s="1314"/>
      <c r="AW10" s="1411"/>
      <c r="AX10" s="1314"/>
      <c r="AY10" s="1314"/>
      <c r="AZ10" s="1314"/>
      <c r="BA10" s="1314"/>
      <c r="BB10" s="1318"/>
      <c r="BC10" s="8879"/>
      <c r="BE10" s="424"/>
      <c r="BF10" s="424"/>
      <c r="BG10" s="424"/>
      <c r="BH10" s="424"/>
    </row>
    <row r="11" spans="1:60" ht="11.25" hidden="1" customHeight="1">
      <c r="A11" s="1284"/>
      <c r="B11" s="1284"/>
      <c r="C11" s="1284"/>
      <c r="D11" s="1284"/>
      <c r="E11" s="8884"/>
      <c r="F11" s="8884"/>
      <c r="G11" s="8884"/>
      <c r="H11" s="8884"/>
      <c r="I11" s="8904"/>
      <c r="J11" s="8904"/>
      <c r="K11" s="8881"/>
      <c r="L11" s="1285"/>
      <c r="P11" s="8882"/>
      <c r="Q11" s="8882"/>
      <c r="R11" s="8939"/>
      <c r="S11" s="8934"/>
      <c r="T11" s="8953"/>
      <c r="U11" s="214"/>
      <c r="V11" s="1314"/>
      <c r="W11" s="1411"/>
      <c r="X11" s="1314"/>
      <c r="Y11" s="1411"/>
      <c r="Z11" s="1314"/>
      <c r="AA11" s="1314"/>
      <c r="AB11" s="1314"/>
      <c r="AC11" s="1314"/>
      <c r="AD11" s="8809"/>
      <c r="AE11" s="8919"/>
      <c r="AF11" s="8838"/>
      <c r="AG11" s="8956"/>
      <c r="AH11" s="8734"/>
      <c r="AI11" s="208"/>
      <c r="AJ11" s="344"/>
      <c r="AK11" s="229" t="s">
        <v>968</v>
      </c>
      <c r="AL11" s="1314"/>
      <c r="AM11" s="1314"/>
      <c r="AN11" s="1314"/>
      <c r="AO11" s="1314"/>
      <c r="AP11" s="1314"/>
      <c r="AQ11" s="1314"/>
      <c r="AR11" s="1314"/>
      <c r="AS11" s="1314"/>
      <c r="AT11" s="1314"/>
      <c r="AU11" s="1411"/>
      <c r="AV11" s="1314"/>
      <c r="AW11" s="1411"/>
      <c r="AX11" s="1314"/>
      <c r="AY11" s="1314"/>
      <c r="AZ11" s="1314"/>
      <c r="BA11" s="1314"/>
      <c r="BB11" s="1318"/>
      <c r="BC11" s="8879"/>
      <c r="BE11" s="424"/>
      <c r="BF11" s="424"/>
      <c r="BG11" s="424"/>
      <c r="BH11" s="424"/>
    </row>
    <row r="12" spans="1:60" ht="11.25" hidden="1" customHeight="1">
      <c r="A12" s="1284"/>
      <c r="B12" s="1284"/>
      <c r="C12" s="1284"/>
      <c r="D12" s="1284"/>
      <c r="E12" s="8884"/>
      <c r="F12" s="8884"/>
      <c r="G12" s="8884"/>
      <c r="H12" s="8884"/>
      <c r="I12" s="8904"/>
      <c r="J12" s="8904"/>
      <c r="K12" s="8881"/>
      <c r="L12" s="1285"/>
      <c r="P12" s="8882"/>
      <c r="Q12" s="8882"/>
      <c r="R12" s="8939"/>
      <c r="S12" s="8935"/>
      <c r="T12" s="8954"/>
      <c r="U12" s="214"/>
      <c r="V12" s="1314"/>
      <c r="W12" s="1315" t="str">
        <f>Z8&amp;"-"&amp;AB8</f>
        <v>-</v>
      </c>
      <c r="X12" s="1314"/>
      <c r="Y12" s="1315" t="str">
        <f>AB8&amp;"-"&amp;AD8</f>
        <v>-да</v>
      </c>
      <c r="Z12" s="1314"/>
      <c r="AA12" s="1314"/>
      <c r="AB12" s="1314"/>
      <c r="AC12" s="1314"/>
      <c r="AD12" s="8739"/>
      <c r="AE12" s="228"/>
      <c r="AF12" s="230"/>
      <c r="AG12" s="345" t="s">
        <v>969</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8879"/>
      <c r="BE12" s="424"/>
      <c r="BF12" s="424" t="str">
        <f t="shared" ref="BF12:BF18" si="1">IF(T12="","",T12)</f>
        <v/>
      </c>
      <c r="BG12" s="424"/>
      <c r="BH12" s="424"/>
    </row>
    <row r="13" spans="1:60" ht="11.25" hidden="1" customHeight="1">
      <c r="A13" s="1284"/>
      <c r="B13" s="1284"/>
      <c r="C13" s="1284"/>
      <c r="D13" s="1284"/>
      <c r="E13" s="8884"/>
      <c r="F13" s="8884"/>
      <c r="G13" s="8884"/>
      <c r="H13" s="8884"/>
      <c r="I13" s="8904"/>
      <c r="J13" s="8881"/>
      <c r="K13" s="1284"/>
      <c r="L13" s="1285"/>
      <c r="P13" s="8882"/>
      <c r="Q13" s="8882"/>
      <c r="R13" s="277"/>
      <c r="S13" s="1203"/>
      <c r="T13" s="202" t="s">
        <v>929</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8880"/>
      <c r="BE13" s="424"/>
      <c r="BF13" s="424" t="str">
        <f t="shared" si="1"/>
        <v>Добавить строку</v>
      </c>
      <c r="BG13" s="424"/>
      <c r="BH13" s="424"/>
    </row>
    <row r="14" spans="1:60" s="1562" customFormat="1" ht="14.25" hidden="1" customHeight="1">
      <c r="A14" s="1265"/>
      <c r="B14" s="1265"/>
      <c r="C14" s="1265"/>
      <c r="D14" s="1265"/>
      <c r="E14" s="8884"/>
      <c r="F14" s="8884"/>
      <c r="G14" s="8884"/>
      <c r="H14" s="8884"/>
      <c r="I14" s="8881"/>
      <c r="J14" s="1265"/>
      <c r="K14" s="1265"/>
      <c r="L14" s="1268"/>
      <c r="M14" s="434"/>
      <c r="N14" s="434"/>
      <c r="O14" s="434"/>
      <c r="P14" s="8882"/>
      <c r="Q14" s="1379"/>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8884"/>
      <c r="F15" s="8884"/>
      <c r="G15" s="8884"/>
      <c r="H15" s="8883"/>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8884"/>
      <c r="F16" s="8884"/>
      <c r="G16" s="8883"/>
      <c r="H16" s="1237"/>
      <c r="I16" s="1237"/>
      <c r="J16" s="1237"/>
      <c r="K16" s="1237"/>
      <c r="L16" s="1381"/>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8884"/>
      <c r="F17" s="8883"/>
      <c r="G17" s="1237"/>
      <c r="H17" s="1237"/>
      <c r="I17" s="1237"/>
      <c r="J17" s="1237"/>
      <c r="K17" s="1237"/>
      <c r="L17" s="1381"/>
      <c r="M17" s="1244"/>
      <c r="N17" s="1244"/>
      <c r="P17" s="1239"/>
      <c r="Q17" s="1240"/>
      <c r="R17" s="1239"/>
      <c r="S17" s="1245"/>
      <c r="T17" s="1248" t="s">
        <v>314</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8883"/>
      <c r="F18" s="1265"/>
      <c r="G18" s="1265"/>
      <c r="H18" s="1265"/>
      <c r="I18" s="1265"/>
      <c r="J18" s="1265"/>
      <c r="K18" s="1265"/>
      <c r="L18" s="1268"/>
      <c r="M18" s="1244"/>
      <c r="N18" s="1244"/>
      <c r="O18" s="442"/>
      <c r="P18" s="308"/>
      <c r="Q18" s="1266"/>
      <c r="R18" s="308"/>
      <c r="S18" s="1245"/>
      <c r="T18" s="1248" t="s">
        <v>315</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53</v>
      </c>
      <c r="AE20" s="1416"/>
      <c r="AF20" s="471">
        <v>1</v>
      </c>
      <c r="AG20" s="1417"/>
      <c r="AH20" s="1247" t="s">
        <v>53</v>
      </c>
      <c r="AI20" s="1416"/>
      <c r="AJ20" s="471">
        <v>1</v>
      </c>
      <c r="AK20" s="1417"/>
      <c r="AL20" s="1247" t="s">
        <v>53</v>
      </c>
      <c r="AM20" s="1418"/>
      <c r="AN20" s="471">
        <v>1</v>
      </c>
      <c r="AO20" s="1419"/>
      <c r="AP20" s="1247" t="s">
        <v>53</v>
      </c>
      <c r="AQ20" s="1418"/>
      <c r="AR20" s="471">
        <v>1</v>
      </c>
      <c r="AS20" s="1419"/>
      <c r="AT20" s="246"/>
      <c r="AU20" s="313"/>
      <c r="AV20" s="246"/>
      <c r="AW20" s="313"/>
      <c r="AX20" s="1655"/>
      <c r="AY20" s="1378" t="s">
        <v>63</v>
      </c>
      <c r="AZ20" s="1655"/>
      <c r="BA20" s="1378" t="s">
        <v>63</v>
      </c>
    </row>
    <row r="21" spans="1:60" ht="14.25" hidden="1" customHeight="1">
      <c r="BD21" s="420"/>
      <c r="BE21" s="420"/>
      <c r="BF21" s="420"/>
      <c r="BG21" s="420"/>
      <c r="BH21" s="420"/>
    </row>
    <row r="22" spans="1:60" ht="14.25" hidden="1" customHeight="1">
      <c r="O22" s="1288" t="s">
        <v>880</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881</v>
      </c>
      <c r="P24" s="1423"/>
      <c r="Q24" s="1425"/>
      <c r="R24" s="1425"/>
      <c r="AA24" s="1422" t="s">
        <v>883</v>
      </c>
      <c r="AC24" s="1422" t="s">
        <v>884</v>
      </c>
      <c r="AD24" s="1422" t="s">
        <v>930</v>
      </c>
      <c r="AH24" s="1422" t="s">
        <v>930</v>
      </c>
      <c r="AK24" s="1422" t="s">
        <v>970</v>
      </c>
      <c r="AL24" s="1422" t="s">
        <v>930</v>
      </c>
      <c r="AP24" s="1422" t="s">
        <v>930</v>
      </c>
      <c r="AY24" s="1422" t="s">
        <v>883</v>
      </c>
      <c r="BA24" s="1422" t="s">
        <v>884</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88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8867"/>
      <c r="U28" s="8867"/>
      <c r="V28" s="8867"/>
      <c r="W28" s="8867"/>
      <c r="X28" s="8867"/>
      <c r="Y28" s="8867"/>
      <c r="Z28" s="8867"/>
      <c r="AA28" s="8867"/>
      <c r="AB28" s="8867"/>
      <c r="AC28" s="8867"/>
      <c r="AD28" s="8867"/>
      <c r="AE28" s="8867"/>
      <c r="AF28" s="8867"/>
      <c r="AG28" s="8867"/>
      <c r="AH28" s="8867"/>
      <c r="AI28" s="8867"/>
      <c r="AJ28" s="8867"/>
      <c r="AK28" s="8867"/>
      <c r="AL28" s="8867"/>
      <c r="AM28" s="8867"/>
      <c r="AN28" s="8867"/>
      <c r="AO28" s="8867"/>
      <c r="AP28" s="8867"/>
      <c r="AQ28" s="8867"/>
      <c r="AR28" s="8867"/>
      <c r="AS28" s="8867"/>
      <c r="AT28" s="8867"/>
      <c r="AU28" s="8867"/>
      <c r="AV28" s="8867"/>
      <c r="AW28" s="8867"/>
      <c r="AX28" s="8867"/>
      <c r="AY28" s="8867"/>
      <c r="AZ28" s="8867"/>
      <c r="BA28" s="1157"/>
    </row>
    <row r="29" spans="1:60" ht="14.25" customHeight="1">
      <c r="Q29" s="206"/>
      <c r="R29" s="300"/>
      <c r="S29" s="8814" t="str">
        <f>IF(org=0,"Не определено",org)</f>
        <v>ГУП СК "Ставрополькрайводоканал"</v>
      </c>
      <c r="T29" s="8814"/>
      <c r="U29" s="8814"/>
      <c r="V29" s="8814"/>
      <c r="W29" s="8814"/>
      <c r="X29" s="8814"/>
      <c r="Y29" s="8814"/>
      <c r="Z29" s="8814"/>
      <c r="AA29" s="8814"/>
      <c r="AB29" s="8814"/>
      <c r="AC29" s="8814"/>
      <c r="AD29" s="8814"/>
      <c r="AE29" s="8814"/>
      <c r="AF29" s="8814"/>
      <c r="AG29" s="8814"/>
      <c r="AH29" s="8814"/>
      <c r="AI29" s="8814"/>
      <c r="AJ29" s="8814"/>
      <c r="AK29" s="8814"/>
      <c r="AL29" s="8814"/>
      <c r="AM29" s="8814"/>
      <c r="AN29" s="8814"/>
      <c r="AO29" s="8814"/>
      <c r="AP29" s="8814"/>
      <c r="AQ29" s="8814"/>
      <c r="AR29" s="8814"/>
      <c r="AS29" s="8814"/>
      <c r="AT29" s="8814"/>
      <c r="AU29" s="8814"/>
      <c r="AV29" s="8814"/>
      <c r="AW29" s="8814"/>
      <c r="AX29" s="8814"/>
      <c r="AY29" s="8814"/>
      <c r="AZ29" s="8814"/>
      <c r="BA29" s="1157"/>
    </row>
    <row r="30" spans="1:60" ht="14.25" hidden="1"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hidden="1" customHeight="1">
      <c r="A31" s="1289"/>
      <c r="B31" s="1289"/>
      <c r="C31" s="1289"/>
      <c r="D31" s="1289"/>
      <c r="E31" s="1289"/>
      <c r="F31" s="1289"/>
      <c r="G31" s="1289"/>
      <c r="H31" s="1289"/>
      <c r="I31" s="1289"/>
      <c r="J31" s="1289"/>
      <c r="K31" s="1289"/>
      <c r="L31" s="1290"/>
      <c r="M31" s="1289"/>
      <c r="N31" s="1289"/>
      <c r="O31" s="1289"/>
      <c r="P31" s="1289"/>
      <c r="Q31" s="1289"/>
      <c r="S31" s="8875" t="s">
        <v>38</v>
      </c>
      <c r="T31" s="8875"/>
      <c r="U31" s="1293"/>
      <c r="V31" s="8876" t="str">
        <f>IF(TITLE_NAME_OR_PR_CHANGE="",IF(TITLE_NAME_OR_PR="","",TITLE_NAME_OR_PR),TITLE_NAME_OR_PR_CHANGE)</f>
        <v/>
      </c>
      <c r="W31" s="8876"/>
      <c r="X31" s="8876"/>
      <c r="Y31" s="8876"/>
      <c r="Z31" s="8876"/>
      <c r="AA31" s="8876"/>
      <c r="AB31" s="8876"/>
      <c r="AC31" s="248"/>
      <c r="AD31" s="8876" t="str">
        <f>IF(TITLE_NAME_OR_PR_CHANGE="",IF(TITLE_NAME_OR_PR="","",TITLE_NAME_OR_PR),TITLE_NAME_OR_PR_CHANGE)</f>
        <v/>
      </c>
      <c r="AE31" s="8876"/>
      <c r="AF31" s="8876"/>
      <c r="AG31" s="8876"/>
      <c r="AH31" s="8876"/>
      <c r="AI31" s="8876"/>
      <c r="AJ31" s="8876"/>
      <c r="AK31" s="8876"/>
      <c r="AL31" s="8876"/>
      <c r="AM31" s="8876"/>
      <c r="AN31" s="8876"/>
      <c r="AO31" s="8876"/>
      <c r="AP31" s="8876"/>
      <c r="AQ31" s="8876"/>
      <c r="AR31" s="8876"/>
      <c r="AS31" s="8876"/>
      <c r="AT31" s="8876"/>
      <c r="AU31" s="8876"/>
      <c r="AV31" s="8876"/>
      <c r="AW31" s="8876"/>
      <c r="AX31" s="8876"/>
      <c r="AY31" s="8876"/>
      <c r="AZ31" s="8876"/>
      <c r="BA31" s="248"/>
      <c r="BB31" s="248"/>
      <c r="BC31" s="196"/>
      <c r="BD31" s="292"/>
      <c r="BE31" s="292"/>
      <c r="BF31" s="292"/>
      <c r="BG31" s="292"/>
      <c r="BH31" s="292"/>
    </row>
    <row r="32" spans="1:60" s="1771" customFormat="1" ht="18.75" hidden="1" customHeight="1">
      <c r="A32" s="1289"/>
      <c r="B32" s="1289"/>
      <c r="C32" s="1289"/>
      <c r="D32" s="1289"/>
      <c r="E32" s="1289"/>
      <c r="F32" s="1289"/>
      <c r="G32" s="1289"/>
      <c r="H32" s="1289"/>
      <c r="I32" s="1289"/>
      <c r="J32" s="1289"/>
      <c r="K32" s="1289"/>
      <c r="L32" s="1290"/>
      <c r="M32" s="1289"/>
      <c r="N32" s="1289"/>
      <c r="O32" s="1289"/>
      <c r="P32" s="1289"/>
      <c r="Q32" s="1289"/>
      <c r="S32" s="8875" t="s">
        <v>886</v>
      </c>
      <c r="T32" s="8875"/>
      <c r="U32" s="1293"/>
      <c r="V32" s="8885">
        <f>IF(TITLE_DATE_PR_CHANGE="",IF(TITLE_DATE_PR="","",TITLE_DATE_PR),TITLE_DATE_PR_CHANGE)</f>
        <v>45281.411851851852</v>
      </c>
      <c r="W32" s="8885"/>
      <c r="X32" s="8885"/>
      <c r="Y32" s="8885"/>
      <c r="Z32" s="8885"/>
      <c r="AA32" s="8885"/>
      <c r="AB32" s="8885"/>
      <c r="AC32" s="248"/>
      <c r="AD32" s="8885">
        <f>IF(TITLE_DATE_PR_CHANGE="",IF(TITLE_DATE_PR="","",TITLE_DATE_PR),TITLE_DATE_PR_CHANGE)</f>
        <v>45281.411851851852</v>
      </c>
      <c r="AE32" s="8885"/>
      <c r="AF32" s="8885"/>
      <c r="AG32" s="8885"/>
      <c r="AH32" s="8885"/>
      <c r="AI32" s="8885"/>
      <c r="AJ32" s="8885"/>
      <c r="AK32" s="8885"/>
      <c r="AL32" s="8885"/>
      <c r="AM32" s="8885"/>
      <c r="AN32" s="8885"/>
      <c r="AO32" s="8885"/>
      <c r="AP32" s="8885"/>
      <c r="AQ32" s="8885"/>
      <c r="AR32" s="8885"/>
      <c r="AS32" s="8885"/>
      <c r="AT32" s="8885"/>
      <c r="AU32" s="8885"/>
      <c r="AV32" s="8885"/>
      <c r="AW32" s="8885"/>
      <c r="AX32" s="8885"/>
      <c r="AY32" s="8885"/>
      <c r="AZ32" s="8885"/>
      <c r="BA32" s="248"/>
      <c r="BB32" s="248"/>
      <c r="BC32" s="196"/>
      <c r="BD32" s="292"/>
      <c r="BE32" s="292"/>
      <c r="BF32" s="292"/>
      <c r="BG32" s="292"/>
      <c r="BH32" s="292"/>
    </row>
    <row r="33" spans="1:60" s="1771" customFormat="1" ht="18.75" hidden="1" customHeight="1">
      <c r="A33" s="1289"/>
      <c r="B33" s="1289"/>
      <c r="C33" s="1289"/>
      <c r="D33" s="1289"/>
      <c r="E33" s="1289"/>
      <c r="F33" s="1289"/>
      <c r="G33" s="1289"/>
      <c r="H33" s="1289"/>
      <c r="I33" s="1289"/>
      <c r="J33" s="1289"/>
      <c r="K33" s="1289"/>
      <c r="L33" s="1290"/>
      <c r="M33" s="1289"/>
      <c r="N33" s="1289"/>
      <c r="O33" s="1289"/>
      <c r="P33" s="1289"/>
      <c r="Q33" s="1289"/>
      <c r="S33" s="8875" t="s">
        <v>887</v>
      </c>
      <c r="T33" s="8875"/>
      <c r="U33" s="1293"/>
      <c r="V33" s="8876" t="str">
        <f>IF(TITLE_NUMBER_PR_CHANGE="",IF(TITLE_NUMBER_PR="","",TITLE_NUMBER_PR),TITLE_NUMBER_PR_CHANGE)</f>
        <v>06-11/11398</v>
      </c>
      <c r="W33" s="8876"/>
      <c r="X33" s="8876"/>
      <c r="Y33" s="8876"/>
      <c r="Z33" s="8876"/>
      <c r="AA33" s="8876"/>
      <c r="AB33" s="8876"/>
      <c r="AC33" s="248"/>
      <c r="AD33" s="8876" t="str">
        <f>IF(TITLE_NUMBER_PR_CHANGE="",IF(TITLE_NUMBER_PR="","",TITLE_NUMBER_PR),TITLE_NUMBER_PR_CHANGE)</f>
        <v>06-11/11398</v>
      </c>
      <c r="AE33" s="8876"/>
      <c r="AF33" s="8876"/>
      <c r="AG33" s="8876"/>
      <c r="AH33" s="8876"/>
      <c r="AI33" s="8876"/>
      <c r="AJ33" s="8876"/>
      <c r="AK33" s="8876"/>
      <c r="AL33" s="8876"/>
      <c r="AM33" s="8876"/>
      <c r="AN33" s="8876"/>
      <c r="AO33" s="8876"/>
      <c r="AP33" s="8876"/>
      <c r="AQ33" s="8876"/>
      <c r="AR33" s="8876"/>
      <c r="AS33" s="8876"/>
      <c r="AT33" s="8876"/>
      <c r="AU33" s="8876"/>
      <c r="AV33" s="8876"/>
      <c r="AW33" s="8876"/>
      <c r="AX33" s="8876"/>
      <c r="AY33" s="8876"/>
      <c r="AZ33" s="8876"/>
      <c r="BA33" s="248"/>
      <c r="BB33" s="248"/>
      <c r="BC33" s="196"/>
      <c r="BD33" s="292"/>
      <c r="BE33" s="292"/>
      <c r="BF33" s="292"/>
      <c r="BG33" s="292"/>
      <c r="BH33" s="292"/>
    </row>
    <row r="34" spans="1:60" s="1771" customFormat="1" ht="18.75" hidden="1" customHeight="1">
      <c r="A34" s="1289"/>
      <c r="B34" s="1289"/>
      <c r="C34" s="1289"/>
      <c r="D34" s="1289"/>
      <c r="E34" s="1289"/>
      <c r="F34" s="1289"/>
      <c r="G34" s="1289"/>
      <c r="H34" s="1289"/>
      <c r="I34" s="1289"/>
      <c r="J34" s="1289"/>
      <c r="K34" s="1289"/>
      <c r="L34" s="1290"/>
      <c r="M34" s="1289"/>
      <c r="N34" s="1289"/>
      <c r="O34" s="1289"/>
      <c r="P34" s="1289"/>
      <c r="Q34" s="1289"/>
      <c r="S34" s="8875" t="s">
        <v>39</v>
      </c>
      <c r="T34" s="8875"/>
      <c r="U34" s="1293"/>
      <c r="V34" s="8876" t="str">
        <f>IF(TITLE_IST_PUB_CHANGE="",IF(TITLE_IST_PUB="","",TITLE_IST_PUB),TITLE_IST_PUB_CHANGE)</f>
        <v/>
      </c>
      <c r="W34" s="8876"/>
      <c r="X34" s="8876"/>
      <c r="Y34" s="8876"/>
      <c r="Z34" s="8876"/>
      <c r="AA34" s="8876"/>
      <c r="AB34" s="8876"/>
      <c r="AC34" s="248"/>
      <c r="AD34" s="8876" t="str">
        <f>IF(TITLE_IST_PUB_CHANGE="",IF(TITLE_IST_PUB="","",TITLE_IST_PUB),TITLE_IST_PUB_CHANGE)</f>
        <v/>
      </c>
      <c r="AE34" s="8876"/>
      <c r="AF34" s="8876"/>
      <c r="AG34" s="8876"/>
      <c r="AH34" s="8876"/>
      <c r="AI34" s="8876"/>
      <c r="AJ34" s="8876"/>
      <c r="AK34" s="8876"/>
      <c r="AL34" s="8876"/>
      <c r="AM34" s="8876"/>
      <c r="AN34" s="8876"/>
      <c r="AO34" s="8876"/>
      <c r="AP34" s="8876"/>
      <c r="AQ34" s="8876"/>
      <c r="AR34" s="8876"/>
      <c r="AS34" s="8876"/>
      <c r="AT34" s="8876"/>
      <c r="AU34" s="8876"/>
      <c r="AV34" s="8876"/>
      <c r="AW34" s="8876"/>
      <c r="AX34" s="8876"/>
      <c r="AY34" s="8876"/>
      <c r="AZ34" s="8876"/>
      <c r="BA34" s="248"/>
      <c r="BB34" s="248"/>
      <c r="BC34" s="196"/>
      <c r="BD34" s="292"/>
      <c r="BE34" s="292"/>
      <c r="BF34" s="292"/>
      <c r="BG34" s="292"/>
      <c r="BH34" s="292"/>
    </row>
    <row r="35" spans="1:60" ht="14.25"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customHeight="1">
      <c r="A36" s="1289"/>
      <c r="B36" s="1289"/>
      <c r="C36" s="1289"/>
      <c r="D36" s="1289"/>
      <c r="E36" s="1289"/>
      <c r="F36" s="1289"/>
      <c r="G36" s="1289"/>
      <c r="H36" s="1289"/>
      <c r="I36" s="1289"/>
      <c r="J36" s="1289"/>
      <c r="K36" s="1289"/>
      <c r="L36" s="1290"/>
      <c r="M36" s="1289"/>
      <c r="N36" s="1289"/>
      <c r="O36" s="1289"/>
      <c r="P36" s="1289"/>
      <c r="Q36" s="1289"/>
      <c r="S36" s="8875" t="s">
        <v>886</v>
      </c>
      <c r="T36" s="8875"/>
      <c r="U36" s="1293"/>
      <c r="V36" s="8885">
        <f>IF(TITLE_DATE_PR_CHANGE="",IF(TITLE_DATE_PR="","",TITLE_DATE_PR),TITLE_DATE_PR_CHANGE)</f>
        <v>45281.411851851852</v>
      </c>
      <c r="W36" s="8885"/>
      <c r="X36" s="8885"/>
      <c r="Y36" s="8885"/>
      <c r="Z36" s="8885"/>
      <c r="AA36" s="8885"/>
      <c r="AB36" s="8885"/>
      <c r="AC36" s="248"/>
      <c r="AD36" s="8885">
        <f>IF(TITLE_DATE_PR_CHANGE="",IF(TITLE_DATE_PR="","",TITLE_DATE_PR),TITLE_DATE_PR_CHANGE)</f>
        <v>45281.411851851852</v>
      </c>
      <c r="AE36" s="8885"/>
      <c r="AF36" s="8885"/>
      <c r="AG36" s="8885"/>
      <c r="AH36" s="8885"/>
      <c r="AI36" s="8885"/>
      <c r="AJ36" s="8885"/>
      <c r="AK36" s="8885"/>
      <c r="AL36" s="8885"/>
      <c r="AM36" s="8885"/>
      <c r="AN36" s="8885"/>
      <c r="AO36" s="8885"/>
      <c r="AP36" s="8885"/>
      <c r="AQ36" s="8885"/>
      <c r="AR36" s="8885"/>
      <c r="AS36" s="8885"/>
      <c r="AT36" s="8885"/>
      <c r="AU36" s="8885"/>
      <c r="AV36" s="8885"/>
      <c r="AW36" s="8885"/>
      <c r="AX36" s="8885"/>
      <c r="AY36" s="8885"/>
      <c r="AZ36" s="8885"/>
      <c r="BA36" s="248"/>
      <c r="BB36" s="248"/>
      <c r="BC36" s="196"/>
      <c r="BD36" s="292"/>
      <c r="BE36" s="292"/>
      <c r="BF36" s="292"/>
      <c r="BG36" s="292"/>
      <c r="BH36" s="292"/>
    </row>
    <row r="37" spans="1:60" s="1771" customFormat="1" ht="18.75" customHeight="1">
      <c r="A37" s="1289"/>
      <c r="B37" s="1289"/>
      <c r="C37" s="1289"/>
      <c r="D37" s="1289"/>
      <c r="E37" s="1289"/>
      <c r="F37" s="1289"/>
      <c r="G37" s="1289"/>
      <c r="H37" s="1289"/>
      <c r="I37" s="1289"/>
      <c r="J37" s="1289"/>
      <c r="K37" s="1289"/>
      <c r="L37" s="1290"/>
      <c r="M37" s="1289"/>
      <c r="N37" s="1289"/>
      <c r="O37" s="1289"/>
      <c r="P37" s="1289"/>
      <c r="Q37" s="1289"/>
      <c r="S37" s="8875" t="s">
        <v>887</v>
      </c>
      <c r="T37" s="8875"/>
      <c r="U37" s="1293"/>
      <c r="V37" s="8876" t="str">
        <f>IF(TITLE_NUMBER_PR_CHANGE="",IF(TITLE_NUMBER_PR="","",TITLE_NUMBER_PR),TITLE_NUMBER_PR_CHANGE)</f>
        <v>06-11/11398</v>
      </c>
      <c r="W37" s="8876"/>
      <c r="X37" s="8876"/>
      <c r="Y37" s="8876"/>
      <c r="Z37" s="8876"/>
      <c r="AA37" s="8876"/>
      <c r="AB37" s="8876"/>
      <c r="AC37" s="248"/>
      <c r="AD37" s="8876" t="str">
        <f>IF(TITLE_NUMBER_PR_CHANGE="",IF(TITLE_NUMBER_PR="","",TITLE_NUMBER_PR),TITLE_NUMBER_PR_CHANGE)</f>
        <v>06-11/11398</v>
      </c>
      <c r="AE37" s="8876"/>
      <c r="AF37" s="8876"/>
      <c r="AG37" s="8876"/>
      <c r="AH37" s="8876"/>
      <c r="AI37" s="8876"/>
      <c r="AJ37" s="8876"/>
      <c r="AK37" s="8876"/>
      <c r="AL37" s="8876"/>
      <c r="AM37" s="8876"/>
      <c r="AN37" s="8876"/>
      <c r="AO37" s="8876"/>
      <c r="AP37" s="8876"/>
      <c r="AQ37" s="8876"/>
      <c r="AR37" s="8876"/>
      <c r="AS37" s="8876"/>
      <c r="AT37" s="8876"/>
      <c r="AU37" s="8876"/>
      <c r="AV37" s="8876"/>
      <c r="AW37" s="8876"/>
      <c r="AX37" s="8876"/>
      <c r="AY37" s="8876"/>
      <c r="AZ37" s="8876"/>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372"/>
      <c r="V38" s="248"/>
      <c r="W38" s="248"/>
      <c r="X38" s="248"/>
      <c r="Y38" s="248"/>
      <c r="Z38" s="248"/>
      <c r="AA38" s="248"/>
      <c r="AB38" s="248"/>
      <c r="AC38" s="194" t="s">
        <v>890</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890</v>
      </c>
      <c r="BD38" s="292"/>
      <c r="BE38" s="292"/>
      <c r="BF38" s="292"/>
      <c r="BG38" s="292"/>
      <c r="BH38" s="292"/>
    </row>
    <row r="39" spans="1:60" ht="14.25" customHeight="1">
      <c r="Q39" s="206"/>
      <c r="R39" s="300"/>
      <c r="S39" s="1200"/>
      <c r="T39" s="286"/>
      <c r="U39" s="1158"/>
      <c r="V39" s="8877"/>
      <c r="W39" s="8877"/>
      <c r="X39" s="8877"/>
      <c r="Y39" s="8877"/>
      <c r="Z39" s="8877"/>
      <c r="AA39" s="8877"/>
      <c r="AB39" s="8877"/>
      <c r="AC39" s="8877"/>
      <c r="AD39" s="8877"/>
      <c r="AE39" s="8877"/>
      <c r="AF39" s="8877"/>
      <c r="AG39" s="8877"/>
      <c r="AH39" s="8877"/>
      <c r="AI39" s="8877"/>
      <c r="AJ39" s="8877"/>
      <c r="AK39" s="8877"/>
      <c r="AL39" s="8877"/>
      <c r="AM39" s="8877"/>
      <c r="AN39" s="8877"/>
      <c r="AO39" s="8877"/>
      <c r="AP39" s="8877"/>
      <c r="AQ39" s="8877"/>
      <c r="AR39" s="8877"/>
      <c r="AS39" s="8877"/>
      <c r="AT39" s="8877"/>
      <c r="AU39" s="8877"/>
      <c r="AV39" s="8877"/>
      <c r="AW39" s="8877"/>
      <c r="AX39" s="8877"/>
      <c r="AY39" s="8877"/>
      <c r="AZ39" s="8877"/>
      <c r="BA39" s="8877"/>
    </row>
    <row r="40" spans="1:60" ht="14.25" customHeight="1">
      <c r="Q40" s="206"/>
      <c r="R40" s="300"/>
      <c r="S40" s="8753" t="s">
        <v>763</v>
      </c>
      <c r="T40" s="8753"/>
      <c r="U40" s="8753"/>
      <c r="V40" s="8753"/>
      <c r="W40" s="8753"/>
      <c r="X40" s="8753"/>
      <c r="Y40" s="8753"/>
      <c r="Z40" s="8753"/>
      <c r="AA40" s="8753"/>
      <c r="AB40" s="8753"/>
      <c r="AC40" s="8753"/>
      <c r="AD40" s="8753"/>
      <c r="AE40" s="8753"/>
      <c r="AF40" s="8753"/>
      <c r="AG40" s="8753"/>
      <c r="AH40" s="8753"/>
      <c r="AI40" s="8753"/>
      <c r="AJ40" s="8753"/>
      <c r="AK40" s="8753"/>
      <c r="AL40" s="8753"/>
      <c r="AM40" s="8753"/>
      <c r="AN40" s="8753"/>
      <c r="AO40" s="8753"/>
      <c r="AP40" s="8753"/>
      <c r="AQ40" s="8753"/>
      <c r="AR40" s="8753"/>
      <c r="AS40" s="8753"/>
      <c r="AT40" s="8753"/>
      <c r="AU40" s="8753"/>
      <c r="AV40" s="8753"/>
      <c r="AW40" s="8753"/>
      <c r="AX40" s="8753"/>
      <c r="AY40" s="8753"/>
      <c r="AZ40" s="8753"/>
      <c r="BA40" s="8753"/>
      <c r="BB40" s="8753"/>
      <c r="BC40" s="8753" t="s">
        <v>764</v>
      </c>
    </row>
    <row r="41" spans="1:60" ht="14.25" customHeight="1">
      <c r="Q41" s="206"/>
      <c r="R41" s="300"/>
      <c r="S41" s="8891" t="s">
        <v>84</v>
      </c>
      <c r="T41" s="8843" t="s">
        <v>971</v>
      </c>
      <c r="U41" s="215"/>
      <c r="V41" s="8892" t="s">
        <v>892</v>
      </c>
      <c r="W41" s="8893"/>
      <c r="X41" s="8893"/>
      <c r="Y41" s="8893"/>
      <c r="Z41" s="8893"/>
      <c r="AA41" s="8893"/>
      <c r="AB41" s="8894"/>
      <c r="AC41" s="8895" t="s">
        <v>893</v>
      </c>
      <c r="AD41" s="8921" t="s">
        <v>972</v>
      </c>
      <c r="AE41" s="8907"/>
      <c r="AF41" s="8907"/>
      <c r="AG41" s="8922"/>
      <c r="AH41" s="8921" t="s">
        <v>973</v>
      </c>
      <c r="AI41" s="8907"/>
      <c r="AJ41" s="8907"/>
      <c r="AK41" s="8922"/>
      <c r="AL41" s="8921" t="s">
        <v>974</v>
      </c>
      <c r="AM41" s="8907"/>
      <c r="AN41" s="8907"/>
      <c r="AO41" s="8922"/>
      <c r="AP41" s="8921" t="s">
        <v>975</v>
      </c>
      <c r="AQ41" s="8907"/>
      <c r="AR41" s="8907"/>
      <c r="AS41" s="8922"/>
      <c r="AT41" s="8892" t="s">
        <v>892</v>
      </c>
      <c r="AU41" s="8893"/>
      <c r="AV41" s="8893"/>
      <c r="AW41" s="8893"/>
      <c r="AX41" s="8893"/>
      <c r="AY41" s="8893"/>
      <c r="AZ41" s="8894"/>
      <c r="BA41" s="8895" t="s">
        <v>893</v>
      </c>
      <c r="BB41" s="8898" t="s">
        <v>895</v>
      </c>
      <c r="BC41" s="8753"/>
    </row>
    <row r="42" spans="1:60" ht="33.75" customHeight="1">
      <c r="Q42" s="206"/>
      <c r="R42" s="300"/>
      <c r="S42" s="8891"/>
      <c r="T42" s="8843"/>
      <c r="U42" s="942"/>
      <c r="V42" s="8828" t="s">
        <v>976</v>
      </c>
      <c r="W42" s="8829"/>
      <c r="X42" s="8828" t="s">
        <v>977</v>
      </c>
      <c r="Y42" s="8829"/>
      <c r="Z42" s="8828" t="s">
        <v>978</v>
      </c>
      <c r="AA42" s="8916"/>
      <c r="AB42" s="8829"/>
      <c r="AC42" s="8896"/>
      <c r="AD42" s="8923"/>
      <c r="AE42" s="8924"/>
      <c r="AF42" s="8924"/>
      <c r="AG42" s="8925"/>
      <c r="AH42" s="8923"/>
      <c r="AI42" s="8924"/>
      <c r="AJ42" s="8924"/>
      <c r="AK42" s="8925"/>
      <c r="AL42" s="8923"/>
      <c r="AM42" s="8924"/>
      <c r="AN42" s="8924"/>
      <c r="AO42" s="8925"/>
      <c r="AP42" s="8923"/>
      <c r="AQ42" s="8924"/>
      <c r="AR42" s="8924"/>
      <c r="AS42" s="8925"/>
      <c r="AT42" s="8828" t="s">
        <v>976</v>
      </c>
      <c r="AU42" s="8829"/>
      <c r="AV42" s="8828" t="s">
        <v>977</v>
      </c>
      <c r="AW42" s="8829"/>
      <c r="AX42" s="8828" t="s">
        <v>978</v>
      </c>
      <c r="AY42" s="8916"/>
      <c r="AZ42" s="8829"/>
      <c r="BA42" s="8896"/>
      <c r="BB42" s="8899"/>
      <c r="BC42" s="8753"/>
    </row>
    <row r="43" spans="1:60" ht="14.25" customHeight="1">
      <c r="Q43" s="206"/>
      <c r="R43" s="300"/>
      <c r="S43" s="8891"/>
      <c r="T43" s="8843"/>
      <c r="U43" s="942"/>
      <c r="V43" s="8833"/>
      <c r="W43" s="8834"/>
      <c r="X43" s="8833"/>
      <c r="Y43" s="8834"/>
      <c r="Z43" s="8833"/>
      <c r="AA43" s="8917"/>
      <c r="AB43" s="8834"/>
      <c r="AC43" s="8896"/>
      <c r="AD43" s="8923"/>
      <c r="AE43" s="8924"/>
      <c r="AF43" s="8924"/>
      <c r="AG43" s="8925"/>
      <c r="AH43" s="8923"/>
      <c r="AI43" s="8924"/>
      <c r="AJ43" s="8924"/>
      <c r="AK43" s="8925"/>
      <c r="AL43" s="8923"/>
      <c r="AM43" s="8924"/>
      <c r="AN43" s="8924"/>
      <c r="AO43" s="8925"/>
      <c r="AP43" s="8923"/>
      <c r="AQ43" s="8924"/>
      <c r="AR43" s="8924"/>
      <c r="AS43" s="8925"/>
      <c r="AT43" s="8833"/>
      <c r="AU43" s="8834"/>
      <c r="AV43" s="8833"/>
      <c r="AW43" s="8834"/>
      <c r="AX43" s="8833"/>
      <c r="AY43" s="8917"/>
      <c r="AZ43" s="8834"/>
      <c r="BA43" s="8896"/>
      <c r="BB43" s="8899"/>
      <c r="BC43" s="8753"/>
    </row>
    <row r="44" spans="1:60" ht="14.25" customHeight="1">
      <c r="A44" s="1291"/>
      <c r="B44" s="1291" t="s">
        <v>223</v>
      </c>
      <c r="C44" s="1291" t="s">
        <v>224</v>
      </c>
      <c r="D44" s="1291" t="s">
        <v>225</v>
      </c>
      <c r="E44" s="1285" t="s">
        <v>900</v>
      </c>
      <c r="F44" s="1285" t="s">
        <v>901</v>
      </c>
      <c r="G44" s="1285" t="s">
        <v>902</v>
      </c>
      <c r="H44" s="1285" t="s">
        <v>903</v>
      </c>
      <c r="I44" s="1285" t="s">
        <v>904</v>
      </c>
      <c r="J44" s="1285" t="s">
        <v>905</v>
      </c>
      <c r="K44" s="1285" t="s">
        <v>906</v>
      </c>
      <c r="L44" s="1285" t="s">
        <v>881</v>
      </c>
      <c r="Q44" s="206"/>
      <c r="R44" s="300"/>
      <c r="S44" s="8891"/>
      <c r="T44" s="8843"/>
      <c r="U44" s="216"/>
      <c r="V44" s="1366" t="s">
        <v>940</v>
      </c>
      <c r="W44" s="1366" t="s">
        <v>941</v>
      </c>
      <c r="X44" s="1366" t="s">
        <v>940</v>
      </c>
      <c r="Y44" s="1366" t="s">
        <v>941</v>
      </c>
      <c r="Z44" s="1373" t="s">
        <v>909</v>
      </c>
      <c r="AA44" s="8851" t="s">
        <v>910</v>
      </c>
      <c r="AB44" s="8853"/>
      <c r="AC44" s="8897"/>
      <c r="AD44" s="8926"/>
      <c r="AE44" s="8927"/>
      <c r="AF44" s="8927"/>
      <c r="AG44" s="8928"/>
      <c r="AH44" s="8926"/>
      <c r="AI44" s="8927"/>
      <c r="AJ44" s="8927"/>
      <c r="AK44" s="8928"/>
      <c r="AL44" s="8926"/>
      <c r="AM44" s="8927"/>
      <c r="AN44" s="8927"/>
      <c r="AO44" s="8928"/>
      <c r="AP44" s="8926"/>
      <c r="AQ44" s="8927"/>
      <c r="AR44" s="8927"/>
      <c r="AS44" s="8928"/>
      <c r="AT44" s="1366" t="s">
        <v>940</v>
      </c>
      <c r="AU44" s="1366" t="s">
        <v>941</v>
      </c>
      <c r="AV44" s="1366" t="s">
        <v>940</v>
      </c>
      <c r="AW44" s="1366" t="s">
        <v>941</v>
      </c>
      <c r="AX44" s="1373" t="s">
        <v>909</v>
      </c>
      <c r="AY44" s="8851" t="s">
        <v>910</v>
      </c>
      <c r="AZ44" s="8853"/>
      <c r="BA44" s="8897"/>
      <c r="BB44" s="8900"/>
      <c r="BC44" s="8753"/>
    </row>
    <row r="45" spans="1:60" s="1561" customFormat="1" ht="11.25" hidden="1" customHeight="1">
      <c r="A45" s="1291"/>
      <c r="B45" s="1291"/>
      <c r="C45" s="1291"/>
      <c r="D45" s="1291"/>
      <c r="E45" s="1291"/>
      <c r="F45" s="1291"/>
      <c r="G45" s="1291"/>
      <c r="H45" s="1291"/>
      <c r="I45" s="1291"/>
      <c r="J45" s="1291"/>
      <c r="K45" s="1291"/>
      <c r="L45" s="1285"/>
      <c r="M45" s="1283"/>
      <c r="N45" s="1283"/>
      <c r="O45" s="1283"/>
      <c r="P45" s="434"/>
      <c r="Q45" s="1176"/>
      <c r="R45" s="1176">
        <v>1</v>
      </c>
      <c r="S45" s="1202" t="s">
        <v>95</v>
      </c>
      <c r="T45" s="1177" t="s">
        <v>99</v>
      </c>
      <c r="U45" s="1159" t="str">
        <f ca="1">OFFSET(U45,0,-1)</f>
        <v>2</v>
      </c>
      <c r="V45" s="1369">
        <f t="shared" ref="V45:AA45" ca="1" si="2">OFFSET(V45,0,-1)+1</f>
        <v>3</v>
      </c>
      <c r="W45" s="1369">
        <f t="shared" ca="1" si="2"/>
        <v>4</v>
      </c>
      <c r="X45" s="1369">
        <f t="shared" ca="1" si="2"/>
        <v>5</v>
      </c>
      <c r="Y45" s="1369">
        <f t="shared" ca="1" si="2"/>
        <v>6</v>
      </c>
      <c r="Z45" s="1369">
        <f t="shared" ca="1" si="2"/>
        <v>7</v>
      </c>
      <c r="AA45" s="8890">
        <f t="shared" ca="1" si="2"/>
        <v>8</v>
      </c>
      <c r="AB45" s="8890"/>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8890">
        <f ca="1">OFFSET(AY45,0,-1)+1</f>
        <v>3</v>
      </c>
      <c r="AZ45" s="8890"/>
      <c r="BA45" s="1369">
        <f ca="1">OFFSET(BA45,0,-2)+1</f>
        <v>4</v>
      </c>
      <c r="BB45" s="1159">
        <f ca="1">OFFSET(BB45,0,-1)</f>
        <v>4</v>
      </c>
      <c r="BC45" s="1369">
        <f ca="1">OFFSET(BC45,0,-1)+1</f>
        <v>5</v>
      </c>
      <c r="BD45" s="435"/>
      <c r="BE45" s="435"/>
      <c r="BF45" s="435"/>
      <c r="BG45" s="435"/>
      <c r="BH45" s="435"/>
    </row>
    <row r="46" spans="1:60" ht="21" customHeight="1">
      <c r="A46" s="1284" t="s">
        <v>709</v>
      </c>
      <c r="B46" s="1284"/>
      <c r="C46" s="1284"/>
      <c r="D46" s="1284"/>
      <c r="E46" s="8883">
        <v>1</v>
      </c>
      <c r="F46" s="1284"/>
      <c r="G46" s="1284"/>
      <c r="H46" s="1284"/>
      <c r="I46" s="1284"/>
      <c r="J46" s="1284"/>
      <c r="K46" s="1284"/>
      <c r="L46" s="1285"/>
      <c r="M46" s="1286"/>
      <c r="N46" s="1286"/>
      <c r="O46" s="1286"/>
      <c r="P46" s="1330"/>
      <c r="Q46" s="787"/>
      <c r="R46" s="276"/>
      <c r="S46" s="1375">
        <f>INDEX(PT_DIFFERENTIATION_NUM_NTAR,MATCH(A46,PT_DIFFERENTIATION_NTAR_ID,0))</f>
        <v>0</v>
      </c>
      <c r="T46" s="212" t="s">
        <v>211</v>
      </c>
      <c r="U46" s="214"/>
      <c r="V46" s="8870"/>
      <c r="W46" s="8870"/>
      <c r="X46" s="8870"/>
      <c r="Y46" s="8870"/>
      <c r="Z46" s="8870"/>
      <c r="AA46" s="8870"/>
      <c r="AB46" s="8870"/>
      <c r="AC46" s="8871"/>
      <c r="AD46" s="8869" t="str">
        <f>INDEX(PT_DIFFERENTIATION_NTAR,MATCH(A46,PT_DIFFERENTIATION_NTAR_ID,0))</f>
        <v/>
      </c>
      <c r="AE46" s="8870"/>
      <c r="AF46" s="8870"/>
      <c r="AG46" s="8870"/>
      <c r="AH46" s="8870"/>
      <c r="AI46" s="8870"/>
      <c r="AJ46" s="8870"/>
      <c r="AK46" s="8870"/>
      <c r="AL46" s="8870"/>
      <c r="AM46" s="8870"/>
      <c r="AN46" s="8870"/>
      <c r="AO46" s="8870"/>
      <c r="AP46" s="8870"/>
      <c r="AQ46" s="8870"/>
      <c r="AR46" s="8870"/>
      <c r="AS46" s="8870"/>
      <c r="AT46" s="8870"/>
      <c r="AU46" s="8870"/>
      <c r="AV46" s="8870"/>
      <c r="AW46" s="8870"/>
      <c r="AX46" s="8870"/>
      <c r="AY46" s="8870"/>
      <c r="AZ46" s="8870"/>
      <c r="BA46" s="8870"/>
      <c r="BB46" s="887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709</v>
      </c>
      <c r="B47" s="1284" t="s">
        <v>710</v>
      </c>
      <c r="C47" s="1284"/>
      <c r="D47" s="1284"/>
      <c r="E47" s="8884"/>
      <c r="F47" s="8883">
        <v>1</v>
      </c>
      <c r="G47" s="1284"/>
      <c r="H47" s="1284"/>
      <c r="I47" s="1284"/>
      <c r="J47" s="1284"/>
      <c r="K47" s="1284"/>
      <c r="L47" s="1285"/>
      <c r="M47" s="1286"/>
      <c r="N47" s="1286"/>
      <c r="O47" s="1286"/>
      <c r="P47" s="1331"/>
      <c r="Q47" s="1332"/>
      <c r="R47" s="274"/>
      <c r="S47" s="1375" t="str">
        <f>INDEX(PT_DIFFERENTIATION_NUM_TER,MATCH(B47,PT_DIFFERENTIATION_TER_ID,0))</f>
        <v>.</v>
      </c>
      <c r="T47" s="224" t="s">
        <v>862</v>
      </c>
      <c r="U47" s="214"/>
      <c r="V47" s="8870"/>
      <c r="W47" s="8870"/>
      <c r="X47" s="8870"/>
      <c r="Y47" s="8870"/>
      <c r="Z47" s="8870"/>
      <c r="AA47" s="8870"/>
      <c r="AB47" s="8870"/>
      <c r="AC47" s="8871"/>
      <c r="AD47" s="8869" t="str">
        <f>INDEX(PT_DIFFERENTIATION_TER,MATCH(B47,PT_DIFFERENTIATION_TER_ID,0))</f>
        <v/>
      </c>
      <c r="AE47" s="8870"/>
      <c r="AF47" s="8870"/>
      <c r="AG47" s="8870"/>
      <c r="AH47" s="8870"/>
      <c r="AI47" s="8870"/>
      <c r="AJ47" s="8870"/>
      <c r="AK47" s="8870"/>
      <c r="AL47" s="8870"/>
      <c r="AM47" s="8870"/>
      <c r="AN47" s="8870"/>
      <c r="AO47" s="8870"/>
      <c r="AP47" s="8870"/>
      <c r="AQ47" s="8870"/>
      <c r="AR47" s="8870"/>
      <c r="AS47" s="8870"/>
      <c r="AT47" s="8870"/>
      <c r="AU47" s="8870"/>
      <c r="AV47" s="8870"/>
      <c r="AW47" s="8870"/>
      <c r="AX47" s="8870"/>
      <c r="AY47" s="8870"/>
      <c r="AZ47" s="8870"/>
      <c r="BA47" s="8870"/>
      <c r="BB47" s="8871"/>
      <c r="BC47" s="1182" t="s">
        <v>863</v>
      </c>
      <c r="BE47" s="424"/>
      <c r="BF47" s="424" t="str">
        <f t="shared" si="3"/>
        <v>Территория действия тарифа</v>
      </c>
      <c r="BG47" s="424"/>
      <c r="BH47" s="424"/>
    </row>
    <row r="48" spans="1:60" ht="42" customHeight="1">
      <c r="A48" s="1284" t="s">
        <v>709</v>
      </c>
      <c r="B48" s="1284" t="s">
        <v>710</v>
      </c>
      <c r="C48" s="1284" t="s">
        <v>711</v>
      </c>
      <c r="D48" s="1284"/>
      <c r="E48" s="8884"/>
      <c r="F48" s="8884"/>
      <c r="G48" s="8883">
        <v>1</v>
      </c>
      <c r="H48" s="1284"/>
      <c r="I48" s="1284"/>
      <c r="J48" s="1284"/>
      <c r="K48" s="1284"/>
      <c r="L48" s="1285"/>
      <c r="M48" s="1286"/>
      <c r="N48" s="1286"/>
      <c r="O48" s="1286"/>
      <c r="P48" s="1333"/>
      <c r="Q48" s="1332"/>
      <c r="R48" s="274"/>
      <c r="S48" s="1375" t="str">
        <f>INDEX(PT_DIFFERENTIATION_NUM_CS,MATCH(C48,PT_DIFFERENTIATION_CS_ID,0))</f>
        <v>..</v>
      </c>
      <c r="T48" s="225" t="s">
        <v>943</v>
      </c>
      <c r="U48" s="214"/>
      <c r="V48" s="8870"/>
      <c r="W48" s="8870"/>
      <c r="X48" s="8870"/>
      <c r="Y48" s="8870"/>
      <c r="Z48" s="8870"/>
      <c r="AA48" s="8870"/>
      <c r="AB48" s="8870"/>
      <c r="AC48" s="8871"/>
      <c r="AD48" s="8869" t="str">
        <f>INDEX(PT_DIFFERENTIATION_CS,MATCH(C48,PT_DIFFERENTIATION_CS_ID,0))</f>
        <v/>
      </c>
      <c r="AE48" s="8870"/>
      <c r="AF48" s="8870"/>
      <c r="AG48" s="8870"/>
      <c r="AH48" s="8870"/>
      <c r="AI48" s="8870"/>
      <c r="AJ48" s="8870"/>
      <c r="AK48" s="8870"/>
      <c r="AL48" s="8870"/>
      <c r="AM48" s="8870"/>
      <c r="AN48" s="8870"/>
      <c r="AO48" s="8870"/>
      <c r="AP48" s="8870"/>
      <c r="AQ48" s="8870"/>
      <c r="AR48" s="8870"/>
      <c r="AS48" s="8870"/>
      <c r="AT48" s="8870"/>
      <c r="AU48" s="8870"/>
      <c r="AV48" s="8870"/>
      <c r="AW48" s="8870"/>
      <c r="AX48" s="8870"/>
      <c r="AY48" s="8870"/>
      <c r="AZ48" s="8870"/>
      <c r="BA48" s="8870"/>
      <c r="BB48" s="8871"/>
      <c r="BC48" s="1182" t="s">
        <v>944</v>
      </c>
      <c r="BE48" s="424"/>
      <c r="BF48" s="424" t="str">
        <f t="shared" si="3"/>
        <v>Наименование централизованной системы холодного водоснабжения</v>
      </c>
      <c r="BG48" s="424"/>
      <c r="BH48" s="424"/>
    </row>
    <row r="49" spans="1:60" s="1562" customFormat="1" ht="0" hidden="1" customHeight="1">
      <c r="A49" s="1265" t="s">
        <v>709</v>
      </c>
      <c r="B49" s="1265" t="s">
        <v>710</v>
      </c>
      <c r="C49" s="1265" t="s">
        <v>711</v>
      </c>
      <c r="D49" s="1265" t="s">
        <v>979</v>
      </c>
      <c r="E49" s="8884"/>
      <c r="F49" s="8884"/>
      <c r="G49" s="8884"/>
      <c r="H49" s="8883">
        <v>1</v>
      </c>
      <c r="I49" s="1265"/>
      <c r="J49" s="1265"/>
      <c r="K49" s="1265"/>
      <c r="L49" s="1268"/>
      <c r="M49" s="1238"/>
      <c r="N49" s="1238"/>
      <c r="O49" s="1238"/>
      <c r="P49" s="1412"/>
      <c r="Q49" s="1413"/>
      <c r="R49" s="278"/>
      <c r="S49" s="953"/>
      <c r="T49" s="1414"/>
      <c r="U49" s="1305"/>
      <c r="V49" s="8911"/>
      <c r="W49" s="8911"/>
      <c r="X49" s="8911"/>
      <c r="Y49" s="8911"/>
      <c r="Z49" s="8911"/>
      <c r="AA49" s="8911"/>
      <c r="AB49" s="8911"/>
      <c r="AC49" s="8912"/>
      <c r="AD49" s="8910"/>
      <c r="AE49" s="8911"/>
      <c r="AF49" s="8911"/>
      <c r="AG49" s="8911"/>
      <c r="AH49" s="8911"/>
      <c r="AI49" s="8911"/>
      <c r="AJ49" s="8911"/>
      <c r="AK49" s="8911"/>
      <c r="AL49" s="8911"/>
      <c r="AM49" s="8911"/>
      <c r="AN49" s="8911"/>
      <c r="AO49" s="8911"/>
      <c r="AP49" s="8911"/>
      <c r="AQ49" s="8911"/>
      <c r="AR49" s="8911"/>
      <c r="AS49" s="8911"/>
      <c r="AT49" s="8911"/>
      <c r="AU49" s="8911"/>
      <c r="AV49" s="8911"/>
      <c r="AW49" s="8911"/>
      <c r="AX49" s="8911"/>
      <c r="AY49" s="8911"/>
      <c r="AZ49" s="8911"/>
      <c r="BA49" s="8911"/>
      <c r="BB49" s="8912"/>
      <c r="BC49" s="1306" t="s">
        <v>867</v>
      </c>
      <c r="BE49" s="424"/>
      <c r="BF49" s="424" t="str">
        <f t="shared" si="3"/>
        <v/>
      </c>
      <c r="BG49" s="424"/>
      <c r="BH49" s="424"/>
    </row>
    <row r="50" spans="1:60" s="1562" customFormat="1" ht="0" hidden="1" customHeight="1">
      <c r="A50" s="1265" t="s">
        <v>709</v>
      </c>
      <c r="B50" s="1265" t="s">
        <v>710</v>
      </c>
      <c r="C50" s="1265" t="s">
        <v>711</v>
      </c>
      <c r="D50" s="1265" t="s">
        <v>979</v>
      </c>
      <c r="E50" s="8884"/>
      <c r="F50" s="8884"/>
      <c r="G50" s="8884"/>
      <c r="H50" s="8884"/>
      <c r="I50" s="8881" t="str">
        <f>S49&amp;".1"</f>
        <v>.1</v>
      </c>
      <c r="J50" s="1265"/>
      <c r="K50" s="1265"/>
      <c r="L50" s="1268" t="s">
        <v>868</v>
      </c>
      <c r="M50" s="434"/>
      <c r="N50" s="434"/>
      <c r="O50" s="434"/>
      <c r="P50" s="8882">
        <v>1</v>
      </c>
      <c r="Q50" s="1379"/>
      <c r="R50" s="277"/>
      <c r="S50" s="953"/>
      <c r="T50" s="1304"/>
      <c r="U50" s="1305"/>
      <c r="V50" s="8911"/>
      <c r="W50" s="8911"/>
      <c r="X50" s="8911"/>
      <c r="Y50" s="8911"/>
      <c r="Z50" s="8911"/>
      <c r="AA50" s="8911"/>
      <c r="AB50" s="8911"/>
      <c r="AC50" s="8912"/>
      <c r="AD50" s="8910"/>
      <c r="AE50" s="8911"/>
      <c r="AF50" s="8911"/>
      <c r="AG50" s="8911"/>
      <c r="AH50" s="8911"/>
      <c r="AI50" s="8911"/>
      <c r="AJ50" s="8911"/>
      <c r="AK50" s="8911"/>
      <c r="AL50" s="8911"/>
      <c r="AM50" s="8911"/>
      <c r="AN50" s="8911"/>
      <c r="AO50" s="8911"/>
      <c r="AP50" s="8911"/>
      <c r="AQ50" s="8911"/>
      <c r="AR50" s="8911"/>
      <c r="AS50" s="8911"/>
      <c r="AT50" s="8911"/>
      <c r="AU50" s="8911"/>
      <c r="AV50" s="8911"/>
      <c r="AW50" s="8911"/>
      <c r="AX50" s="8911"/>
      <c r="AY50" s="8911"/>
      <c r="AZ50" s="8911"/>
      <c r="BA50" s="8911"/>
      <c r="BB50" s="8912"/>
      <c r="BC50" s="1306"/>
      <c r="BE50" s="424"/>
      <c r="BF50" s="424" t="str">
        <f t="shared" si="3"/>
        <v/>
      </c>
      <c r="BG50" s="424"/>
      <c r="BH50" s="424"/>
    </row>
    <row r="51" spans="1:60" s="1562" customFormat="1" ht="0" hidden="1" customHeight="1">
      <c r="A51" s="1265" t="s">
        <v>709</v>
      </c>
      <c r="B51" s="1265" t="s">
        <v>710</v>
      </c>
      <c r="C51" s="1265" t="s">
        <v>711</v>
      </c>
      <c r="D51" s="1265" t="s">
        <v>979</v>
      </c>
      <c r="E51" s="8884"/>
      <c r="F51" s="8884"/>
      <c r="G51" s="8884"/>
      <c r="H51" s="8884"/>
      <c r="I51" s="8904"/>
      <c r="J51" s="8881" t="str">
        <f>S49&amp;".1"</f>
        <v>.1</v>
      </c>
      <c r="K51" s="1265"/>
      <c r="L51" s="1268"/>
      <c r="M51" s="434"/>
      <c r="N51" s="434"/>
      <c r="O51" s="434"/>
      <c r="P51" s="8882"/>
      <c r="Q51" s="8882">
        <v>1</v>
      </c>
      <c r="R51" s="278"/>
      <c r="S51" s="953"/>
      <c r="T51" s="1320"/>
      <c r="U51" s="1305"/>
      <c r="V51" s="8911"/>
      <c r="W51" s="8911"/>
      <c r="X51" s="8911"/>
      <c r="Y51" s="8911"/>
      <c r="Z51" s="8911"/>
      <c r="AA51" s="8911"/>
      <c r="AB51" s="8911"/>
      <c r="AC51" s="8912"/>
      <c r="AD51" s="8910"/>
      <c r="AE51" s="8911"/>
      <c r="AF51" s="8911"/>
      <c r="AG51" s="8911"/>
      <c r="AH51" s="8911"/>
      <c r="AI51" s="8911"/>
      <c r="AJ51" s="8911"/>
      <c r="AK51" s="8911"/>
      <c r="AL51" s="8911"/>
      <c r="AM51" s="8911"/>
      <c r="AN51" s="8957"/>
      <c r="AO51" s="8957"/>
      <c r="AP51" s="8911"/>
      <c r="AQ51" s="8911"/>
      <c r="AR51" s="8911"/>
      <c r="AS51" s="8911"/>
      <c r="AT51" s="8911"/>
      <c r="AU51" s="8911"/>
      <c r="AV51" s="8911"/>
      <c r="AW51" s="8911"/>
      <c r="AX51" s="8911"/>
      <c r="AY51" s="8911"/>
      <c r="AZ51" s="8911"/>
      <c r="BA51" s="8911"/>
      <c r="BB51" s="8912"/>
      <c r="BC51" s="1306"/>
      <c r="BE51" s="424"/>
      <c r="BF51" s="424" t="str">
        <f t="shared" si="3"/>
        <v/>
      </c>
      <c r="BG51" s="424"/>
      <c r="BH51" s="424"/>
    </row>
    <row r="52" spans="1:60" ht="11.25" customHeight="1">
      <c r="A52" s="1284" t="s">
        <v>709</v>
      </c>
      <c r="B52" s="1284" t="s">
        <v>710</v>
      </c>
      <c r="C52" s="1284" t="s">
        <v>711</v>
      </c>
      <c r="D52" s="1284" t="s">
        <v>979</v>
      </c>
      <c r="E52" s="8884"/>
      <c r="F52" s="8884"/>
      <c r="G52" s="8884"/>
      <c r="H52" s="8884"/>
      <c r="I52" s="8904"/>
      <c r="J52" s="8904"/>
      <c r="K52" s="8881" t="str">
        <f>S48&amp;".1"</f>
        <v>...1</v>
      </c>
      <c r="L52" s="1285"/>
      <c r="P52" s="8882"/>
      <c r="Q52" s="8882"/>
      <c r="R52" s="278">
        <v>1</v>
      </c>
      <c r="S52" s="8933" t="str">
        <f>$K52</f>
        <v>...1</v>
      </c>
      <c r="T52" s="8952"/>
      <c r="U52" s="214"/>
      <c r="V52" s="666"/>
      <c r="W52" s="1181"/>
      <c r="X52" s="666"/>
      <c r="Y52" s="1181"/>
      <c r="Z52" s="1653"/>
      <c r="AA52" s="1377" t="s">
        <v>63</v>
      </c>
      <c r="AB52" s="1653"/>
      <c r="AC52" s="1377" t="s">
        <v>63</v>
      </c>
      <c r="AD52" s="8808" t="s">
        <v>63</v>
      </c>
      <c r="AE52" s="8919"/>
      <c r="AF52" s="8838">
        <v>1</v>
      </c>
      <c r="AG52" s="8956"/>
      <c r="AH52" s="8734" t="s">
        <v>63</v>
      </c>
      <c r="AI52" s="8919"/>
      <c r="AJ52" s="8838">
        <v>1</v>
      </c>
      <c r="AK52" s="8955" t="s">
        <v>24</v>
      </c>
      <c r="AL52" s="8734" t="s">
        <v>63</v>
      </c>
      <c r="AM52" s="8828"/>
      <c r="AN52" s="8838">
        <v>1</v>
      </c>
      <c r="AO52" s="8949"/>
      <c r="AP52" s="8950" t="s">
        <v>63</v>
      </c>
      <c r="AQ52" s="227"/>
      <c r="AR52" s="1380">
        <v>1</v>
      </c>
      <c r="AS52" s="1383" t="s">
        <v>24</v>
      </c>
      <c r="AT52" s="666"/>
      <c r="AU52" s="1181"/>
      <c r="AV52" s="666"/>
      <c r="AW52" s="1181"/>
      <c r="AX52" s="1653"/>
      <c r="AY52" s="1377" t="s">
        <v>63</v>
      </c>
      <c r="AZ52" s="1653"/>
      <c r="BA52" s="1377" t="s">
        <v>63</v>
      </c>
      <c r="BB52" s="1270"/>
      <c r="BC52" s="8878" t="s">
        <v>965</v>
      </c>
      <c r="BE52" s="424"/>
      <c r="BF52" s="424" t="str">
        <f t="shared" si="3"/>
        <v/>
      </c>
      <c r="BG52" s="424"/>
      <c r="BH52" s="424"/>
    </row>
    <row r="53" spans="1:60" ht="11.25" customHeight="1">
      <c r="A53" s="1284"/>
      <c r="B53" s="1284"/>
      <c r="C53" s="1284"/>
      <c r="D53" s="1284"/>
      <c r="E53" s="8884"/>
      <c r="F53" s="8884"/>
      <c r="G53" s="8884"/>
      <c r="H53" s="8884"/>
      <c r="I53" s="8904"/>
      <c r="J53" s="8904"/>
      <c r="K53" s="8881"/>
      <c r="L53" s="1285"/>
      <c r="P53" s="8882"/>
      <c r="Q53" s="8882"/>
      <c r="R53" s="278"/>
      <c r="S53" s="8934"/>
      <c r="T53" s="8953"/>
      <c r="U53" s="214"/>
      <c r="V53" s="1314"/>
      <c r="W53" s="1411"/>
      <c r="X53" s="1314"/>
      <c r="Y53" s="1411"/>
      <c r="Z53" s="1314"/>
      <c r="AA53" s="1314"/>
      <c r="AB53" s="1314"/>
      <c r="AC53" s="1314"/>
      <c r="AD53" s="8809"/>
      <c r="AE53" s="8919"/>
      <c r="AF53" s="8838"/>
      <c r="AG53" s="8956"/>
      <c r="AH53" s="8734"/>
      <c r="AI53" s="8919"/>
      <c r="AJ53" s="8838"/>
      <c r="AK53" s="8955"/>
      <c r="AL53" s="8734"/>
      <c r="AM53" s="8833"/>
      <c r="AN53" s="8838"/>
      <c r="AO53" s="8949"/>
      <c r="AP53" s="8951"/>
      <c r="AQ53" s="234"/>
      <c r="AR53" s="345"/>
      <c r="AS53" s="345" t="s">
        <v>966</v>
      </c>
      <c r="AT53" s="1314"/>
      <c r="AU53" s="1411"/>
      <c r="AV53" s="1314"/>
      <c r="AW53" s="1411"/>
      <c r="AX53" s="1314"/>
      <c r="AY53" s="1314"/>
      <c r="AZ53" s="1314"/>
      <c r="BA53" s="1314"/>
      <c r="BB53" s="1318"/>
      <c r="BC53" s="8879"/>
      <c r="BE53" s="424"/>
      <c r="BF53" s="424"/>
      <c r="BG53" s="424"/>
      <c r="BH53" s="424"/>
    </row>
    <row r="54" spans="1:60" ht="11.25" customHeight="1">
      <c r="A54" s="1284" t="s">
        <v>709</v>
      </c>
      <c r="B54" s="1284"/>
      <c r="C54" s="1284"/>
      <c r="D54" s="1284"/>
      <c r="E54" s="8884"/>
      <c r="F54" s="8884"/>
      <c r="G54" s="8884"/>
      <c r="H54" s="8884"/>
      <c r="I54" s="8904"/>
      <c r="J54" s="8904"/>
      <c r="K54" s="8881"/>
      <c r="L54" s="1285"/>
      <c r="P54" s="8882"/>
      <c r="Q54" s="8882"/>
      <c r="R54" s="278"/>
      <c r="S54" s="8934"/>
      <c r="T54" s="8953"/>
      <c r="U54" s="214"/>
      <c r="V54" s="1314"/>
      <c r="W54" s="1411"/>
      <c r="X54" s="1314"/>
      <c r="Y54" s="1411"/>
      <c r="Z54" s="1314"/>
      <c r="AA54" s="1314"/>
      <c r="AB54" s="1314"/>
      <c r="AC54" s="1314"/>
      <c r="AD54" s="8809"/>
      <c r="AE54" s="8919"/>
      <c r="AF54" s="8838"/>
      <c r="AG54" s="8956"/>
      <c r="AH54" s="8734"/>
      <c r="AI54" s="8919"/>
      <c r="AJ54" s="8838"/>
      <c r="AK54" s="8955"/>
      <c r="AL54" s="8734"/>
      <c r="AM54" s="234"/>
      <c r="AN54" s="1415"/>
      <c r="AO54" s="1415" t="s">
        <v>967</v>
      </c>
      <c r="AP54" s="345"/>
      <c r="AQ54" s="345"/>
      <c r="AR54" s="345"/>
      <c r="AS54" s="1314"/>
      <c r="AT54" s="1314"/>
      <c r="AU54" s="1411"/>
      <c r="AV54" s="1314"/>
      <c r="AW54" s="1411"/>
      <c r="AX54" s="1314"/>
      <c r="AY54" s="1314"/>
      <c r="AZ54" s="1314"/>
      <c r="BA54" s="1314"/>
      <c r="BB54" s="1318"/>
      <c r="BC54" s="8879"/>
      <c r="BE54" s="424"/>
      <c r="BF54" s="424"/>
      <c r="BG54" s="424"/>
      <c r="BH54" s="424"/>
    </row>
    <row r="55" spans="1:60" ht="11.25" customHeight="1">
      <c r="A55" s="1284" t="s">
        <v>709</v>
      </c>
      <c r="B55" s="1284"/>
      <c r="C55" s="1284"/>
      <c r="D55" s="1284"/>
      <c r="E55" s="8884"/>
      <c r="F55" s="8884"/>
      <c r="G55" s="8884"/>
      <c r="H55" s="8884"/>
      <c r="I55" s="8904"/>
      <c r="J55" s="8904"/>
      <c r="K55" s="8881"/>
      <c r="L55" s="1285"/>
      <c r="P55" s="8882"/>
      <c r="Q55" s="8882"/>
      <c r="R55" s="278"/>
      <c r="S55" s="8934"/>
      <c r="T55" s="8953"/>
      <c r="U55" s="214"/>
      <c r="V55" s="1314"/>
      <c r="W55" s="1411"/>
      <c r="X55" s="1314"/>
      <c r="Y55" s="1411"/>
      <c r="Z55" s="1314"/>
      <c r="AA55" s="1314"/>
      <c r="AB55" s="1314"/>
      <c r="AC55" s="1314"/>
      <c r="AD55" s="8809"/>
      <c r="AE55" s="8919"/>
      <c r="AF55" s="8838"/>
      <c r="AG55" s="8956"/>
      <c r="AH55" s="8734"/>
      <c r="AI55" s="208"/>
      <c r="AJ55" s="344"/>
      <c r="AK55" s="229" t="s">
        <v>968</v>
      </c>
      <c r="AL55" s="1314"/>
      <c r="AM55" s="1314"/>
      <c r="AN55" s="1314"/>
      <c r="AO55" s="1314"/>
      <c r="AP55" s="1314"/>
      <c r="AQ55" s="1314"/>
      <c r="AR55" s="1314"/>
      <c r="AS55" s="1314"/>
      <c r="AT55" s="1314"/>
      <c r="AU55" s="1411"/>
      <c r="AV55" s="1314"/>
      <c r="AW55" s="1411"/>
      <c r="AX55" s="1314"/>
      <c r="AY55" s="1314"/>
      <c r="AZ55" s="1314"/>
      <c r="BA55" s="1314"/>
      <c r="BB55" s="1318"/>
      <c r="BC55" s="8879"/>
      <c r="BE55" s="424"/>
      <c r="BF55" s="424"/>
      <c r="BG55" s="424"/>
      <c r="BH55" s="424"/>
    </row>
    <row r="56" spans="1:60" ht="11.25" customHeight="1">
      <c r="A56" s="1284" t="s">
        <v>709</v>
      </c>
      <c r="B56" s="1284" t="s">
        <v>710</v>
      </c>
      <c r="C56" s="1284" t="s">
        <v>711</v>
      </c>
      <c r="D56" s="1284" t="s">
        <v>979</v>
      </c>
      <c r="E56" s="8884"/>
      <c r="F56" s="8884"/>
      <c r="G56" s="8884"/>
      <c r="H56" s="8884"/>
      <c r="I56" s="8904"/>
      <c r="J56" s="8904"/>
      <c r="K56" s="8881"/>
      <c r="L56" s="1285"/>
      <c r="P56" s="8882"/>
      <c r="Q56" s="8882"/>
      <c r="R56" s="278"/>
      <c r="S56" s="8935"/>
      <c r="T56" s="8954"/>
      <c r="U56" s="214"/>
      <c r="V56" s="1314"/>
      <c r="W56" s="1315" t="str">
        <f>Z52&amp;"-"&amp;AB52</f>
        <v>-</v>
      </c>
      <c r="X56" s="1314"/>
      <c r="Y56" s="1315" t="str">
        <f>AB52&amp;"-"&amp;AD52</f>
        <v>-да</v>
      </c>
      <c r="Z56" s="1314"/>
      <c r="AA56" s="1314"/>
      <c r="AB56" s="1314"/>
      <c r="AC56" s="1314"/>
      <c r="AD56" s="8739"/>
      <c r="AE56" s="228"/>
      <c r="AF56" s="230"/>
      <c r="AG56" s="345" t="s">
        <v>969</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8879"/>
      <c r="BE56" s="424"/>
      <c r="BF56" s="424" t="str">
        <f t="shared" ref="BF56:BF63" si="4">IF(T56="","",T56)</f>
        <v/>
      </c>
      <c r="BG56" s="424"/>
      <c r="BH56" s="424"/>
    </row>
    <row r="57" spans="1:60" ht="11.25" customHeight="1">
      <c r="A57" s="1284" t="s">
        <v>709</v>
      </c>
      <c r="B57" s="1284" t="s">
        <v>710</v>
      </c>
      <c r="C57" s="1284" t="s">
        <v>711</v>
      </c>
      <c r="D57" s="1284" t="s">
        <v>979</v>
      </c>
      <c r="E57" s="8884"/>
      <c r="F57" s="8884"/>
      <c r="G57" s="8884"/>
      <c r="H57" s="8884"/>
      <c r="I57" s="8904"/>
      <c r="J57" s="8881"/>
      <c r="K57" s="1284"/>
      <c r="L57" s="1285"/>
      <c r="P57" s="8882"/>
      <c r="Q57" s="8882"/>
      <c r="R57" s="277"/>
      <c r="S57" s="1203"/>
      <c r="T57" s="202" t="s">
        <v>929</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8880"/>
      <c r="BE57" s="424"/>
      <c r="BF57" s="424" t="str">
        <f t="shared" si="4"/>
        <v>Добавить строку</v>
      </c>
      <c r="BG57" s="424"/>
      <c r="BH57" s="424"/>
    </row>
    <row r="58" spans="1:60" s="1562" customFormat="1" ht="0" hidden="1" customHeight="1">
      <c r="A58" s="1265" t="s">
        <v>709</v>
      </c>
      <c r="B58" s="1265" t="s">
        <v>710</v>
      </c>
      <c r="C58" s="1265" t="s">
        <v>711</v>
      </c>
      <c r="D58" s="1265" t="s">
        <v>979</v>
      </c>
      <c r="E58" s="8884"/>
      <c r="F58" s="8884"/>
      <c r="G58" s="8884"/>
      <c r="H58" s="8884"/>
      <c r="I58" s="8881"/>
      <c r="J58" s="1265"/>
      <c r="K58" s="1265"/>
      <c r="L58" s="1268"/>
      <c r="M58" s="434"/>
      <c r="N58" s="434"/>
      <c r="O58" s="434"/>
      <c r="P58" s="8882"/>
      <c r="Q58" s="1379"/>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709</v>
      </c>
      <c r="B59" s="1265" t="s">
        <v>710</v>
      </c>
      <c r="C59" s="1265" t="s">
        <v>711</v>
      </c>
      <c r="D59" s="1265" t="s">
        <v>979</v>
      </c>
      <c r="E59" s="8884"/>
      <c r="F59" s="8884"/>
      <c r="G59" s="8884"/>
      <c r="H59" s="8883"/>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709</v>
      </c>
      <c r="B60" s="1265" t="s">
        <v>710</v>
      </c>
      <c r="C60" s="1265" t="s">
        <v>711</v>
      </c>
      <c r="D60" s="1237"/>
      <c r="E60" s="8884"/>
      <c r="F60" s="8884"/>
      <c r="G60" s="8883"/>
      <c r="H60" s="1237"/>
      <c r="I60" s="1237"/>
      <c r="J60" s="1237"/>
      <c r="K60" s="1237"/>
      <c r="L60" s="1381"/>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709</v>
      </c>
      <c r="B61" s="1265" t="s">
        <v>710</v>
      </c>
      <c r="C61" s="1237"/>
      <c r="D61" s="1237"/>
      <c r="E61" s="8884"/>
      <c r="F61" s="8883"/>
      <c r="G61" s="1237"/>
      <c r="H61" s="1237"/>
      <c r="I61" s="1237"/>
      <c r="J61" s="1237"/>
      <c r="K61" s="1237"/>
      <c r="L61" s="1381"/>
      <c r="M61" s="1244"/>
      <c r="N61" s="1244"/>
      <c r="P61" s="1239"/>
      <c r="Q61" s="1240"/>
      <c r="R61" s="1239"/>
      <c r="S61" s="1245"/>
      <c r="T61" s="1248" t="s">
        <v>314</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709</v>
      </c>
      <c r="B62" s="1265"/>
      <c r="C62" s="1265"/>
      <c r="D62" s="1265"/>
      <c r="E62" s="8883"/>
      <c r="F62" s="1265"/>
      <c r="G62" s="1265"/>
      <c r="H62" s="1265"/>
      <c r="I62" s="1265"/>
      <c r="J62" s="1265"/>
      <c r="K62" s="1265"/>
      <c r="L62" s="1268"/>
      <c r="M62" s="1244"/>
      <c r="N62" s="1244"/>
      <c r="O62" s="442"/>
      <c r="P62" s="308"/>
      <c r="Q62" s="1266"/>
      <c r="R62" s="308"/>
      <c r="S62" s="1245"/>
      <c r="T62" s="1248" t="s">
        <v>315</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381"/>
      <c r="M63" s="1244"/>
      <c r="N63" s="1244"/>
      <c r="P63" s="1239"/>
      <c r="Q63" s="1240"/>
      <c r="R63" s="1239"/>
      <c r="S63" s="1245"/>
      <c r="T63" s="1248" t="s">
        <v>706</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8.75" customHeight="1">
      <c r="O65" s="460"/>
      <c r="S65" s="1169"/>
      <c r="T65" s="8903"/>
      <c r="U65" s="8903"/>
      <c r="V65" s="8903"/>
      <c r="W65" s="8903"/>
      <c r="X65" s="8903"/>
      <c r="Y65" s="8903"/>
      <c r="Z65" s="8903"/>
      <c r="AA65" s="8903"/>
      <c r="AB65" s="8903"/>
      <c r="AC65" s="8903"/>
      <c r="AD65" s="8903"/>
      <c r="AE65" s="8903"/>
      <c r="AF65" s="8903"/>
      <c r="AG65" s="8903"/>
      <c r="AH65" s="8903"/>
      <c r="AI65" s="8903"/>
      <c r="AJ65" s="8903"/>
      <c r="AK65" s="8903"/>
      <c r="AL65" s="8903"/>
      <c r="AM65" s="8903"/>
      <c r="AN65" s="8903"/>
      <c r="AO65" s="8903"/>
      <c r="AP65" s="8903"/>
      <c r="AQ65" s="8903"/>
      <c r="AR65" s="8903"/>
      <c r="AS65" s="8903"/>
      <c r="AT65" s="8903"/>
      <c r="AU65" s="8903"/>
      <c r="AV65" s="8903"/>
      <c r="AW65" s="8903"/>
      <c r="AX65" s="8903"/>
      <c r="AY65" s="8903"/>
      <c r="AZ65" s="8903"/>
      <c r="BA65" s="8903"/>
      <c r="BB65" s="8903"/>
      <c r="BC65" s="8903"/>
    </row>
    <row r="66" spans="15:55" ht="14.25" customHeight="1">
      <c r="O66" s="460"/>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row>
    <row r="67" spans="15:55" ht="18.75" customHeight="1">
      <c r="O67" s="460"/>
      <c r="S67" s="1169"/>
      <c r="T67" s="8903"/>
      <c r="U67" s="8903"/>
      <c r="V67" s="8903"/>
      <c r="W67" s="8903"/>
      <c r="X67" s="8903"/>
      <c r="Y67" s="8903"/>
      <c r="Z67" s="8903"/>
      <c r="AA67" s="8903"/>
      <c r="AB67" s="8903"/>
      <c r="AC67" s="8903"/>
      <c r="AD67" s="8903"/>
      <c r="AE67" s="8903"/>
      <c r="AF67" s="8903"/>
      <c r="AG67" s="8903"/>
      <c r="AH67" s="8903"/>
      <c r="AI67" s="8903"/>
      <c r="AJ67" s="8903"/>
      <c r="AK67" s="8903"/>
      <c r="AL67" s="8903"/>
      <c r="AM67" s="8903"/>
      <c r="AN67" s="8903"/>
      <c r="AO67" s="8903"/>
      <c r="AP67" s="8903"/>
      <c r="AQ67" s="8903"/>
      <c r="AR67" s="8903"/>
      <c r="AS67" s="8903"/>
      <c r="AT67" s="8903"/>
      <c r="AU67" s="8903"/>
      <c r="AV67" s="8903"/>
      <c r="AW67" s="8903"/>
      <c r="AX67" s="8903"/>
      <c r="AY67" s="8903"/>
      <c r="AZ67" s="8903"/>
      <c r="BA67" s="8903"/>
      <c r="BB67" s="8903"/>
      <c r="BC67" s="8903"/>
    </row>
    <row r="68" spans="15:55" ht="14.25" customHeight="1">
      <c r="O68" s="460"/>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8883">
        <v>1</v>
      </c>
      <c r="F2" s="1284"/>
      <c r="G2" s="1284"/>
      <c r="H2" s="1284"/>
      <c r="I2" s="1284"/>
      <c r="J2" s="1284"/>
      <c r="K2" s="1284"/>
      <c r="L2" s="1285"/>
      <c r="M2" s="1286"/>
      <c r="N2" s="1286"/>
      <c r="O2" s="1286"/>
      <c r="P2" s="282"/>
      <c r="Q2" s="281"/>
      <c r="R2" s="276"/>
      <c r="S2" s="1408" t="e">
        <f>INDEX(PT_DIFFERENTIATION_NUM_NTAR,MATCH(A2,PT_DIFFERENTIATION_NTAR_ID,0))</f>
        <v>#N/A</v>
      </c>
      <c r="T2" s="212" t="s">
        <v>211</v>
      </c>
      <c r="U2" s="214"/>
      <c r="V2" s="8869"/>
      <c r="W2" s="8870"/>
      <c r="X2" s="8870"/>
      <c r="Y2" s="8870"/>
      <c r="Z2" s="8870"/>
      <c r="AA2" s="8870"/>
      <c r="AB2" s="8871"/>
      <c r="AC2" s="8869" t="e">
        <f>INDEX(PT_DIFFERENTIATION_NTAR,MATCH(A2,PT_DIFFERENTIATION_NTAR_ID,0))</f>
        <v>#N/A</v>
      </c>
      <c r="AD2" s="8870"/>
      <c r="AE2" s="8870"/>
      <c r="AF2" s="8870"/>
      <c r="AG2" s="8870"/>
      <c r="AH2" s="8870"/>
      <c r="AI2" s="8870"/>
      <c r="AJ2" s="887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8884"/>
      <c r="F3" s="8883">
        <v>1</v>
      </c>
      <c r="G3" s="1284"/>
      <c r="H3" s="1284"/>
      <c r="I3" s="1284"/>
      <c r="J3" s="1284"/>
      <c r="K3" s="1284"/>
      <c r="L3" s="1285"/>
      <c r="M3" s="1286"/>
      <c r="N3" s="1286"/>
      <c r="O3" s="1286"/>
      <c r="P3" s="1402"/>
      <c r="Q3" s="273"/>
      <c r="R3" s="274"/>
      <c r="S3" s="1408" t="e">
        <f>INDEX(PT_DIFFERENTIATION_NUM_TER,MATCH(B3,PT_DIFFERENTIATION_TER_ID,0))</f>
        <v>#N/A</v>
      </c>
      <c r="T3" s="224" t="s">
        <v>862</v>
      </c>
      <c r="U3" s="214"/>
      <c r="V3" s="8869"/>
      <c r="W3" s="8870"/>
      <c r="X3" s="8870"/>
      <c r="Y3" s="8870"/>
      <c r="Z3" s="8870"/>
      <c r="AA3" s="8870"/>
      <c r="AB3" s="8871"/>
      <c r="AC3" s="8869" t="e">
        <f>INDEX(PT_DIFFERENTIATION_TER,MATCH(B3,PT_DIFFERENTIATION_TER_ID,0))</f>
        <v>#N/A</v>
      </c>
      <c r="AD3" s="8870"/>
      <c r="AE3" s="8870"/>
      <c r="AF3" s="8870"/>
      <c r="AG3" s="8870"/>
      <c r="AH3" s="8870"/>
      <c r="AI3" s="8870"/>
      <c r="AJ3" s="8871"/>
      <c r="AK3" s="1182" t="s">
        <v>863</v>
      </c>
      <c r="AM3" s="424"/>
      <c r="AN3" s="424" t="str">
        <f t="shared" si="0"/>
        <v>Территория действия тарифа</v>
      </c>
      <c r="AO3" s="424"/>
      <c r="AP3" s="424"/>
    </row>
    <row r="4" spans="1:42" ht="23.25" hidden="1" customHeight="1">
      <c r="A4" s="1284"/>
      <c r="B4" s="1284"/>
      <c r="C4" s="1284"/>
      <c r="D4" s="1284"/>
      <c r="E4" s="8884"/>
      <c r="F4" s="8884"/>
      <c r="G4" s="8883">
        <v>1</v>
      </c>
      <c r="H4" s="1284"/>
      <c r="I4" s="1284"/>
      <c r="J4" s="1284"/>
      <c r="K4" s="1284"/>
      <c r="L4" s="1285"/>
      <c r="M4" s="1286"/>
      <c r="N4" s="1286"/>
      <c r="O4" s="1286"/>
      <c r="P4" s="275"/>
      <c r="Q4" s="273"/>
      <c r="R4" s="274"/>
      <c r="S4" s="1408" t="e">
        <f>INDEX(PT_DIFFERENTIATION_NUM_CS,MATCH(C4,PT_DIFFERENTIATION_CS_ID,0))</f>
        <v>#N/A</v>
      </c>
      <c r="T4" s="225" t="s">
        <v>980</v>
      </c>
      <c r="U4" s="214"/>
      <c r="V4" s="8869"/>
      <c r="W4" s="8870"/>
      <c r="X4" s="8870"/>
      <c r="Y4" s="8870"/>
      <c r="Z4" s="8870"/>
      <c r="AA4" s="8870"/>
      <c r="AB4" s="8871"/>
      <c r="AC4" s="8869" t="e">
        <f>INDEX(PT_DIFFERENTIATION_CS,MATCH(C4,PT_DIFFERENTIATION_CS_ID,0))</f>
        <v>#N/A</v>
      </c>
      <c r="AD4" s="8870"/>
      <c r="AE4" s="8870"/>
      <c r="AF4" s="8870"/>
      <c r="AG4" s="8870"/>
      <c r="AH4" s="8870"/>
      <c r="AI4" s="8870"/>
      <c r="AJ4" s="8871"/>
      <c r="AK4" s="1182" t="s">
        <v>981</v>
      </c>
      <c r="AM4" s="424"/>
      <c r="AN4" s="424" t="str">
        <f t="shared" si="0"/>
        <v>Наименование централизованной системы водоотведения</v>
      </c>
      <c r="AO4" s="424"/>
      <c r="AP4" s="424"/>
    </row>
    <row r="5" spans="1:42" ht="23.25" hidden="1" customHeight="1">
      <c r="A5" s="1284"/>
      <c r="B5" s="1284"/>
      <c r="C5" s="1284"/>
      <c r="D5" s="1284"/>
      <c r="E5" s="8884"/>
      <c r="F5" s="8884"/>
      <c r="G5" s="8884"/>
      <c r="H5" s="8884"/>
      <c r="I5" s="8881" t="e">
        <f>S4&amp;".1"</f>
        <v>#N/A</v>
      </c>
      <c r="J5" s="1284"/>
      <c r="K5" s="1284"/>
      <c r="L5" s="1285"/>
      <c r="P5" s="8882">
        <v>1</v>
      </c>
      <c r="Q5" s="1396"/>
      <c r="R5" s="277"/>
      <c r="S5" s="1408" t="e">
        <f>$I5</f>
        <v>#N/A</v>
      </c>
      <c r="T5" s="200" t="s">
        <v>945</v>
      </c>
      <c r="U5" s="214"/>
      <c r="V5" s="8942"/>
      <c r="W5" s="8943"/>
      <c r="X5" s="8943"/>
      <c r="Y5" s="8943"/>
      <c r="Z5" s="8943"/>
      <c r="AA5" s="8943"/>
      <c r="AB5" s="8944"/>
      <c r="AC5" s="8945"/>
      <c r="AD5" s="8946"/>
      <c r="AE5" s="8946"/>
      <c r="AF5" s="8946"/>
      <c r="AG5" s="8946"/>
      <c r="AH5" s="8946"/>
      <c r="AI5" s="8946"/>
      <c r="AJ5" s="8947"/>
      <c r="AK5" s="1182" t="s">
        <v>946</v>
      </c>
      <c r="AM5" s="424"/>
      <c r="AN5" s="424" t="str">
        <f t="shared" si="0"/>
        <v>Наименование признака дифференциации</v>
      </c>
      <c r="AO5" s="424"/>
      <c r="AP5" s="424"/>
    </row>
    <row r="6" spans="1:42" ht="23.25" hidden="1" customHeight="1">
      <c r="A6" s="1284"/>
      <c r="B6" s="1284"/>
      <c r="C6" s="1284"/>
      <c r="D6" s="1284"/>
      <c r="E6" s="8884"/>
      <c r="F6" s="8884"/>
      <c r="G6" s="8884"/>
      <c r="H6" s="8884"/>
      <c r="I6" s="8904"/>
      <c r="J6" s="8881" t="e">
        <f>I5&amp;".1"</f>
        <v>#N/A</v>
      </c>
      <c r="K6" s="1284"/>
      <c r="L6" s="1285" t="s">
        <v>871</v>
      </c>
      <c r="P6" s="8882"/>
      <c r="Q6" s="8882">
        <v>1</v>
      </c>
      <c r="R6" s="278"/>
      <c r="S6" s="1408" t="e">
        <f>$J6</f>
        <v>#N/A</v>
      </c>
      <c r="T6" s="201" t="s">
        <v>872</v>
      </c>
      <c r="U6" s="214"/>
      <c r="V6" s="8872"/>
      <c r="W6" s="8873"/>
      <c r="X6" s="8873"/>
      <c r="Y6" s="8873"/>
      <c r="Z6" s="8873"/>
      <c r="AA6" s="8873"/>
      <c r="AB6" s="8874"/>
      <c r="AC6" s="8872"/>
      <c r="AD6" s="8873"/>
      <c r="AE6" s="8873"/>
      <c r="AF6" s="8873"/>
      <c r="AG6" s="8873"/>
      <c r="AH6" s="8873"/>
      <c r="AI6" s="8873"/>
      <c r="AJ6" s="8874"/>
      <c r="AK6" s="1231" t="s">
        <v>947</v>
      </c>
      <c r="AM6" s="424"/>
      <c r="AN6" s="424" t="str">
        <f t="shared" si="0"/>
        <v>Группа потребителей</v>
      </c>
      <c r="AO6" s="424"/>
      <c r="AP6" s="424"/>
    </row>
    <row r="7" spans="1:42" ht="23.25" hidden="1" customHeight="1">
      <c r="A7" s="1284"/>
      <c r="B7" s="1284"/>
      <c r="C7" s="1284"/>
      <c r="D7" s="1284"/>
      <c r="E7" s="8884"/>
      <c r="F7" s="8884"/>
      <c r="G7" s="8884"/>
      <c r="H7" s="8884"/>
      <c r="I7" s="8904"/>
      <c r="J7" s="8904"/>
      <c r="K7" s="8881" t="e">
        <f>J6&amp;".1"</f>
        <v>#N/A</v>
      </c>
      <c r="L7" s="1285"/>
      <c r="P7" s="8882"/>
      <c r="Q7" s="8882"/>
      <c r="R7" s="278">
        <v>1</v>
      </c>
      <c r="S7" s="1408" t="e">
        <f>$K7</f>
        <v>#N/A</v>
      </c>
      <c r="T7" s="1357"/>
      <c r="U7" s="214"/>
      <c r="V7" s="666"/>
      <c r="W7" s="666"/>
      <c r="X7" s="1181"/>
      <c r="Y7" s="8886"/>
      <c r="Z7" s="8734" t="s">
        <v>63</v>
      </c>
      <c r="AA7" s="8886"/>
      <c r="AB7" s="8734" t="s">
        <v>63</v>
      </c>
      <c r="AC7" s="666"/>
      <c r="AD7" s="666"/>
      <c r="AE7" s="1181"/>
      <c r="AF7" s="8886"/>
      <c r="AG7" s="8734" t="s">
        <v>63</v>
      </c>
      <c r="AH7" s="8905"/>
      <c r="AI7" s="8734" t="s">
        <v>63</v>
      </c>
      <c r="AJ7" s="1358"/>
      <c r="AK7"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8884"/>
      <c r="F8" s="8884"/>
      <c r="G8" s="8884"/>
      <c r="H8" s="8884"/>
      <c r="I8" s="8904"/>
      <c r="J8" s="8904"/>
      <c r="K8" s="8881"/>
      <c r="L8" s="1285"/>
      <c r="P8" s="8882"/>
      <c r="Q8" s="8882"/>
      <c r="R8" s="278"/>
      <c r="S8" s="1405"/>
      <c r="T8" s="214"/>
      <c r="U8" s="214"/>
      <c r="V8" s="246"/>
      <c r="W8" s="246"/>
      <c r="X8" s="250" t="str">
        <f>Y7&amp;"-"&amp;AA7</f>
        <v>-</v>
      </c>
      <c r="Y8" s="8887"/>
      <c r="Z8" s="8734"/>
      <c r="AA8" s="8887"/>
      <c r="AB8" s="8734"/>
      <c r="AC8" s="246"/>
      <c r="AD8" s="246"/>
      <c r="AE8" s="250" t="str">
        <f>AF7&amp;"-"&amp;AH7</f>
        <v>-</v>
      </c>
      <c r="AF8" s="8887"/>
      <c r="AG8" s="8734"/>
      <c r="AH8" s="8906"/>
      <c r="AI8" s="8734"/>
      <c r="AJ8" s="1359"/>
      <c r="AK8" s="8941"/>
      <c r="AM8" s="424"/>
      <c r="AN8" s="424" t="str">
        <f t="shared" si="0"/>
        <v/>
      </c>
      <c r="AO8" s="424"/>
      <c r="AP8" s="424"/>
    </row>
    <row r="9" spans="1:42" ht="21" hidden="1" customHeight="1">
      <c r="A9" s="1284"/>
      <c r="B9" s="1284"/>
      <c r="C9" s="1284"/>
      <c r="D9" s="1284"/>
      <c r="E9" s="8884"/>
      <c r="F9" s="8884"/>
      <c r="G9" s="8884"/>
      <c r="H9" s="8884"/>
      <c r="I9" s="8904"/>
      <c r="J9" s="8881"/>
      <c r="K9" s="1284"/>
      <c r="L9" s="1285"/>
      <c r="P9" s="8882"/>
      <c r="Q9" s="8882"/>
      <c r="R9" s="277"/>
      <c r="S9" s="1203"/>
      <c r="T9" s="202" t="s">
        <v>948</v>
      </c>
      <c r="U9" s="291"/>
      <c r="V9" s="291"/>
      <c r="W9" s="291"/>
      <c r="X9" s="291"/>
      <c r="Y9" s="291"/>
      <c r="Z9" s="291"/>
      <c r="AA9" s="291"/>
      <c r="AB9" s="291"/>
      <c r="AC9" s="291"/>
      <c r="AD9" s="291"/>
      <c r="AE9" s="291"/>
      <c r="AF9" s="291"/>
      <c r="AG9" s="291"/>
      <c r="AH9" s="291"/>
      <c r="AI9" s="291"/>
      <c r="AJ9" s="291"/>
      <c r="AK9" s="1182" t="s">
        <v>949</v>
      </c>
      <c r="AM9" s="424"/>
      <c r="AN9" s="424" t="str">
        <f t="shared" si="0"/>
        <v>Добавить значение признака дифференциации</v>
      </c>
      <c r="AO9" s="424"/>
      <c r="AP9" s="424"/>
    </row>
    <row r="10" spans="1:42" ht="21" hidden="1" customHeight="1">
      <c r="A10" s="1284"/>
      <c r="B10" s="1284"/>
      <c r="C10" s="1284"/>
      <c r="D10" s="1284"/>
      <c r="E10" s="8884"/>
      <c r="F10" s="8884"/>
      <c r="G10" s="8884"/>
      <c r="H10" s="8884"/>
      <c r="I10" s="8881"/>
      <c r="J10" s="1284"/>
      <c r="K10" s="1284"/>
      <c r="L10" s="1285"/>
      <c r="P10" s="8882"/>
      <c r="Q10" s="1396"/>
      <c r="R10" s="277"/>
      <c r="S10" s="1203"/>
      <c r="T10" s="288" t="s">
        <v>877</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8884"/>
      <c r="F11" s="8884"/>
      <c r="G11" s="8884"/>
      <c r="H11" s="8883"/>
      <c r="I11" s="1284"/>
      <c r="J11" s="1284"/>
      <c r="K11" s="1284"/>
      <c r="L11" s="1285"/>
      <c r="M11" s="1286"/>
      <c r="N11" s="1286"/>
      <c r="O11" s="460"/>
      <c r="P11" s="281"/>
      <c r="Q11" s="299"/>
      <c r="R11" s="276"/>
      <c r="S11" s="1203"/>
      <c r="T11" s="296" t="s">
        <v>950</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8884"/>
      <c r="F12" s="8883"/>
      <c r="G12" s="1237"/>
      <c r="H12" s="1237"/>
      <c r="I12" s="1237"/>
      <c r="J12" s="1237"/>
      <c r="K12" s="1237"/>
      <c r="L12" s="1409"/>
      <c r="M12" s="1244"/>
      <c r="N12" s="1244"/>
      <c r="P12" s="1239"/>
      <c r="Q12" s="1240"/>
      <c r="R12" s="1239"/>
      <c r="S12" s="1245"/>
      <c r="T12" s="1248" t="s">
        <v>314</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8883"/>
      <c r="F13" s="1265"/>
      <c r="G13" s="1265"/>
      <c r="H13" s="1265"/>
      <c r="I13" s="1265"/>
      <c r="J13" s="1265"/>
      <c r="K13" s="1265"/>
      <c r="L13" s="1268"/>
      <c r="M13" s="1244"/>
      <c r="N13" s="1244"/>
      <c r="O13" s="442"/>
      <c r="P13" s="308"/>
      <c r="Q13" s="1266"/>
      <c r="R13" s="308"/>
      <c r="S13" s="1245"/>
      <c r="T13" s="1248" t="s">
        <v>315</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8888"/>
      <c r="AG15" s="8889" t="s">
        <v>63</v>
      </c>
      <c r="AH15" s="8888"/>
      <c r="AI15" s="8889" t="s">
        <v>63</v>
      </c>
    </row>
    <row r="16" spans="1:42" ht="14.25" hidden="1" customHeight="1">
      <c r="AC16" s="1281"/>
      <c r="AD16" s="1281"/>
      <c r="AE16" s="250" t="str">
        <f>AF15&amp;"-"&amp;AH15</f>
        <v>-</v>
      </c>
      <c r="AF16" s="8889"/>
      <c r="AG16" s="8889"/>
      <c r="AH16" s="8889"/>
      <c r="AI16" s="8889"/>
    </row>
    <row r="17" spans="1:42" ht="14.25" hidden="1" customHeight="1">
      <c r="AI17" s="249"/>
    </row>
    <row r="18" spans="1:42" s="1287" customFormat="1" ht="22.5" hidden="1" customHeight="1">
      <c r="L18" s="1393"/>
      <c r="M18" s="1283"/>
      <c r="N18" s="1283"/>
      <c r="O18" s="1288" t="s">
        <v>880</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881</v>
      </c>
      <c r="P20" s="1283"/>
      <c r="Q20" s="1361"/>
      <c r="R20" s="1361"/>
      <c r="S20" s="646"/>
      <c r="T20" s="1065" t="s">
        <v>882</v>
      </c>
      <c r="Z20" s="104" t="s">
        <v>883</v>
      </c>
      <c r="AB20" s="104" t="s">
        <v>884</v>
      </c>
      <c r="AC20" s="1065" t="s">
        <v>882</v>
      </c>
      <c r="AG20" s="104" t="s">
        <v>885</v>
      </c>
      <c r="AI20" s="104" t="s">
        <v>884</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88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8867"/>
      <c r="U24" s="8867"/>
      <c r="V24" s="8867"/>
      <c r="W24" s="8867"/>
      <c r="X24" s="8867"/>
      <c r="Y24" s="8867"/>
      <c r="Z24" s="8867"/>
      <c r="AA24" s="8867"/>
      <c r="AB24" s="8867"/>
      <c r="AC24" s="8867"/>
      <c r="AD24" s="8867"/>
      <c r="AE24" s="8867"/>
      <c r="AF24" s="8867"/>
      <c r="AG24" s="8867"/>
      <c r="AH24" s="8867"/>
      <c r="AI24" s="1157"/>
    </row>
    <row r="25" spans="1:42" ht="14.25" customHeight="1">
      <c r="Q25" s="300"/>
      <c r="R25" s="300"/>
      <c r="S25" s="8814" t="str">
        <f>IF(org=0,"Не определено",org)</f>
        <v>ГУП СК "Ставрополькрайводоканал"</v>
      </c>
      <c r="T25" s="8814"/>
      <c r="U25" s="8814"/>
      <c r="V25" s="8814"/>
      <c r="W25" s="8814"/>
      <c r="X25" s="8814"/>
      <c r="Y25" s="8814"/>
      <c r="Z25" s="8814"/>
      <c r="AA25" s="8814"/>
      <c r="AB25" s="8814"/>
      <c r="AC25" s="8814"/>
      <c r="AD25" s="8814"/>
      <c r="AE25" s="8814"/>
      <c r="AF25" s="8814"/>
      <c r="AG25" s="8814"/>
      <c r="AH25" s="8814"/>
      <c r="AI25" s="1157"/>
    </row>
    <row r="26" spans="1:42" ht="14.25" hidden="1"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hidden="1" customHeight="1">
      <c r="A27" s="1289"/>
      <c r="B27" s="1289"/>
      <c r="C27" s="1289"/>
      <c r="D27" s="1289"/>
      <c r="E27" s="1289"/>
      <c r="F27" s="1289"/>
      <c r="G27" s="1289"/>
      <c r="H27" s="1289"/>
      <c r="I27" s="1289"/>
      <c r="J27" s="1289"/>
      <c r="K27" s="1289"/>
      <c r="L27" s="1290"/>
      <c r="M27" s="1289"/>
      <c r="N27" s="1289"/>
      <c r="O27" s="1289"/>
      <c r="S27" s="8875" t="s">
        <v>38</v>
      </c>
      <c r="T27" s="8875"/>
      <c r="U27" s="1293"/>
      <c r="V27" s="8876" t="str">
        <f>IF(TITLE_NAME_OR_PR_CHANGE="",IF(TITLE_NAME_OR_PR="","",TITLE_NAME_OR_PR),TITLE_NAME_OR_PR_CHANGE)</f>
        <v/>
      </c>
      <c r="W27" s="8876"/>
      <c r="X27" s="8876"/>
      <c r="Y27" s="8876"/>
      <c r="Z27" s="8876"/>
      <c r="AA27" s="8876"/>
      <c r="AB27" s="248"/>
      <c r="AC27" s="8876" t="str">
        <f>IF(TITLE_NAME_OR_PR_CHANGE="",IF(TITLE_NAME_OR_PR="","",TITLE_NAME_OR_PR),TITLE_NAME_OR_PR_CHANGE)</f>
        <v/>
      </c>
      <c r="AD27" s="8876"/>
      <c r="AE27" s="8876"/>
      <c r="AF27" s="8876"/>
      <c r="AG27" s="8876"/>
      <c r="AH27" s="8876"/>
      <c r="AI27" s="248"/>
      <c r="AJ27" s="248"/>
      <c r="AK27" s="196"/>
      <c r="AL27" s="292"/>
      <c r="AM27" s="292"/>
      <c r="AN27" s="292"/>
      <c r="AO27" s="292"/>
      <c r="AP27" s="292"/>
    </row>
    <row r="28" spans="1:42" s="1771" customFormat="1" ht="18.75" hidden="1" customHeight="1">
      <c r="A28" s="1289"/>
      <c r="B28" s="1289"/>
      <c r="C28" s="1289"/>
      <c r="D28" s="1289"/>
      <c r="E28" s="1289"/>
      <c r="F28" s="1289"/>
      <c r="G28" s="1289"/>
      <c r="H28" s="1289"/>
      <c r="I28" s="1289"/>
      <c r="J28" s="1289"/>
      <c r="K28" s="1289"/>
      <c r="L28" s="1290"/>
      <c r="M28" s="1289"/>
      <c r="N28" s="1289"/>
      <c r="O28" s="1289"/>
      <c r="S28" s="8875" t="s">
        <v>886</v>
      </c>
      <c r="T28" s="8875"/>
      <c r="U28" s="1293"/>
      <c r="V28" s="8885">
        <f>IF(TITLE_DATE_PR_CHANGE="",IF(TITLE_DATE_PR="","",TITLE_DATE_PR),TITLE_DATE_PR_CHANGE)</f>
        <v>45281.411851851852</v>
      </c>
      <c r="W28" s="8885"/>
      <c r="X28" s="8885"/>
      <c r="Y28" s="8885"/>
      <c r="Z28" s="8885"/>
      <c r="AA28" s="8885"/>
      <c r="AB28" s="248"/>
      <c r="AC28" s="8885">
        <f>IF(TITLE_DATE_PR_CHANGE="",IF(TITLE_DATE_PR="","",TITLE_DATE_PR),TITLE_DATE_PR_CHANGE)</f>
        <v>45281.411851851852</v>
      </c>
      <c r="AD28" s="8885"/>
      <c r="AE28" s="8885"/>
      <c r="AF28" s="8885"/>
      <c r="AG28" s="8885"/>
      <c r="AH28" s="8885"/>
      <c r="AI28" s="248"/>
      <c r="AJ28" s="248"/>
      <c r="AK28" s="196"/>
      <c r="AL28" s="292"/>
      <c r="AM28" s="292"/>
      <c r="AN28" s="292"/>
      <c r="AO28" s="292"/>
      <c r="AP28" s="292"/>
    </row>
    <row r="29" spans="1:42" s="1771" customFormat="1" ht="18.75" hidden="1" customHeight="1">
      <c r="A29" s="1289"/>
      <c r="B29" s="1289"/>
      <c r="C29" s="1289"/>
      <c r="D29" s="1289"/>
      <c r="E29" s="1289"/>
      <c r="F29" s="1289"/>
      <c r="G29" s="1289"/>
      <c r="H29" s="1289"/>
      <c r="I29" s="1289"/>
      <c r="J29" s="1289"/>
      <c r="K29" s="1289"/>
      <c r="L29" s="1290"/>
      <c r="M29" s="1289"/>
      <c r="N29" s="1289"/>
      <c r="O29" s="1289"/>
      <c r="S29" s="8875" t="s">
        <v>887</v>
      </c>
      <c r="T29" s="8875"/>
      <c r="U29" s="1293"/>
      <c r="V29" s="8876" t="str">
        <f>IF(TITLE_NUMBER_PR_CHANGE="",IF(TITLE_NUMBER_PR="","",TITLE_NUMBER_PR),TITLE_NUMBER_PR_CHANGE)</f>
        <v>06-11/11398</v>
      </c>
      <c r="W29" s="8876"/>
      <c r="X29" s="8876"/>
      <c r="Y29" s="8876"/>
      <c r="Z29" s="8876"/>
      <c r="AA29" s="8876"/>
      <c r="AB29" s="248"/>
      <c r="AC29" s="8876" t="str">
        <f>IF(TITLE_NUMBER_PR_CHANGE="",IF(TITLE_NUMBER_PR="","",TITLE_NUMBER_PR),TITLE_NUMBER_PR_CHANGE)</f>
        <v>06-11/11398</v>
      </c>
      <c r="AD29" s="8876"/>
      <c r="AE29" s="8876"/>
      <c r="AF29" s="8876"/>
      <c r="AG29" s="8876"/>
      <c r="AH29" s="8876"/>
      <c r="AI29" s="248"/>
      <c r="AJ29" s="248"/>
      <c r="AK29" s="196"/>
      <c r="AL29" s="292"/>
      <c r="AM29" s="292"/>
      <c r="AN29" s="292"/>
      <c r="AO29" s="292"/>
      <c r="AP29" s="292"/>
    </row>
    <row r="30" spans="1:42" s="1771" customFormat="1" ht="18.75" hidden="1" customHeight="1">
      <c r="A30" s="1289"/>
      <c r="B30" s="1289"/>
      <c r="C30" s="1289"/>
      <c r="D30" s="1289"/>
      <c r="E30" s="1289"/>
      <c r="F30" s="1289"/>
      <c r="G30" s="1289"/>
      <c r="H30" s="1289"/>
      <c r="I30" s="1289"/>
      <c r="J30" s="1289"/>
      <c r="K30" s="1289"/>
      <c r="L30" s="1290"/>
      <c r="M30" s="1289"/>
      <c r="N30" s="1289"/>
      <c r="O30" s="1289"/>
      <c r="S30" s="8875" t="s">
        <v>39</v>
      </c>
      <c r="T30" s="8875"/>
      <c r="U30" s="1293"/>
      <c r="V30" s="8876" t="str">
        <f>IF(TITLE_IST_PUB_CHANGE="",IF(TITLE_IST_PUB="","",TITLE_IST_PUB),TITLE_IST_PUB_CHANGE)</f>
        <v/>
      </c>
      <c r="W30" s="8876"/>
      <c r="X30" s="8876"/>
      <c r="Y30" s="8876"/>
      <c r="Z30" s="8876"/>
      <c r="AA30" s="8876"/>
      <c r="AB30" s="248"/>
      <c r="AC30" s="8876" t="str">
        <f>IF(TITLE_IST_PUB_CHANGE="",IF(TITLE_IST_PUB="","",TITLE_IST_PUB),TITLE_IST_PUB_CHANGE)</f>
        <v/>
      </c>
      <c r="AD30" s="8876"/>
      <c r="AE30" s="8876"/>
      <c r="AF30" s="8876"/>
      <c r="AG30" s="8876"/>
      <c r="AH30" s="8876"/>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8875" t="s">
        <v>888</v>
      </c>
      <c r="T32" s="8875"/>
      <c r="U32" s="1293"/>
      <c r="V32" s="8885">
        <f>IF(TITLE_DATE_PR_CHANGE="",IF(TITLE_DATE_PR="","",TITLE_DATE_PR),TITLE_DATE_PR_CHANGE)</f>
        <v>45281.411851851852</v>
      </c>
      <c r="W32" s="8885"/>
      <c r="X32" s="8885"/>
      <c r="Y32" s="8885"/>
      <c r="Z32" s="8885"/>
      <c r="AA32" s="8885"/>
      <c r="AB32" s="248"/>
      <c r="AC32" s="8885">
        <f>IF(TITLE_DATE_PR_CHANGE="",IF(TITLE_DATE_PR="","",TITLE_DATE_PR),TITLE_DATE_PR_CHANGE)</f>
        <v>45281.411851851852</v>
      </c>
      <c r="AD32" s="8885"/>
      <c r="AE32" s="8885"/>
      <c r="AF32" s="8885"/>
      <c r="AG32" s="8885"/>
      <c r="AH32" s="8885"/>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8875" t="s">
        <v>889</v>
      </c>
      <c r="T33" s="8875"/>
      <c r="U33" s="1293"/>
      <c r="V33" s="8876" t="str">
        <f>IF(TITLE_NUMBER_PR_CHANGE="",IF(TITLE_NUMBER_PR="","",TITLE_NUMBER_PR),TITLE_NUMBER_PR_CHANGE)</f>
        <v>06-11/11398</v>
      </c>
      <c r="W33" s="8876"/>
      <c r="X33" s="8876"/>
      <c r="Y33" s="8876"/>
      <c r="Z33" s="8876"/>
      <c r="AA33" s="8876"/>
      <c r="AB33" s="248"/>
      <c r="AC33" s="8876" t="str">
        <f>IF(TITLE_NUMBER_PR_CHANGE="",IF(TITLE_NUMBER_PR="","",TITLE_NUMBER_PR),TITLE_NUMBER_PR_CHANGE)</f>
        <v>06-11/11398</v>
      </c>
      <c r="AD33" s="8876"/>
      <c r="AE33" s="8876"/>
      <c r="AF33" s="8876"/>
      <c r="AG33" s="8876"/>
      <c r="AH33" s="8876"/>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890</v>
      </c>
      <c r="AC34" s="248"/>
      <c r="AD34" s="248"/>
      <c r="AE34" s="248"/>
      <c r="AF34" s="248"/>
      <c r="AG34" s="248"/>
      <c r="AH34" s="248"/>
      <c r="AI34" s="194" t="s">
        <v>890</v>
      </c>
      <c r="AL34" s="292"/>
      <c r="AM34" s="292"/>
      <c r="AN34" s="292"/>
      <c r="AO34" s="292"/>
      <c r="AP34" s="292"/>
    </row>
    <row r="35" spans="1:42" ht="14.25" customHeight="1">
      <c r="Q35" s="300"/>
      <c r="R35" s="300"/>
      <c r="S35" s="1200"/>
      <c r="T35" s="286"/>
      <c r="U35" s="1158"/>
      <c r="V35" s="8877"/>
      <c r="W35" s="8877"/>
      <c r="X35" s="8877"/>
      <c r="Y35" s="8877"/>
      <c r="Z35" s="8877"/>
      <c r="AA35" s="8877"/>
      <c r="AB35" s="8877"/>
      <c r="AC35" s="8877"/>
      <c r="AD35" s="8877"/>
      <c r="AE35" s="8877"/>
      <c r="AF35" s="8877"/>
      <c r="AG35" s="8877"/>
      <c r="AH35" s="8877"/>
      <c r="AI35" s="8877"/>
    </row>
    <row r="36" spans="1:42" ht="14.25" customHeight="1">
      <c r="Q36" s="300"/>
      <c r="R36" s="300"/>
      <c r="S36" s="8753" t="s">
        <v>763</v>
      </c>
      <c r="T36" s="8753"/>
      <c r="U36" s="8753"/>
      <c r="V36" s="8753"/>
      <c r="W36" s="8753"/>
      <c r="X36" s="8753"/>
      <c r="Y36" s="8753"/>
      <c r="Z36" s="8753"/>
      <c r="AA36" s="8753"/>
      <c r="AB36" s="8753"/>
      <c r="AC36" s="8753"/>
      <c r="AD36" s="8753"/>
      <c r="AE36" s="8753"/>
      <c r="AF36" s="8753"/>
      <c r="AG36" s="8753"/>
      <c r="AH36" s="8753"/>
      <c r="AI36" s="8753"/>
      <c r="AJ36" s="8753"/>
      <c r="AK36" s="8753" t="s">
        <v>764</v>
      </c>
    </row>
    <row r="37" spans="1:42" ht="14.25" customHeight="1">
      <c r="Q37" s="300"/>
      <c r="R37" s="300"/>
      <c r="S37" s="8891" t="s">
        <v>84</v>
      </c>
      <c r="T37" s="8843" t="s">
        <v>891</v>
      </c>
      <c r="U37" s="215"/>
      <c r="V37" s="8892" t="s">
        <v>892</v>
      </c>
      <c r="W37" s="8893"/>
      <c r="X37" s="8893"/>
      <c r="Y37" s="8893"/>
      <c r="Z37" s="8893"/>
      <c r="AA37" s="8894"/>
      <c r="AB37" s="8895" t="s">
        <v>893</v>
      </c>
      <c r="AC37" s="8892" t="s">
        <v>892</v>
      </c>
      <c r="AD37" s="8893"/>
      <c r="AE37" s="8893"/>
      <c r="AF37" s="8893"/>
      <c r="AG37" s="8893"/>
      <c r="AH37" s="8894"/>
      <c r="AI37" s="8895" t="s">
        <v>894</v>
      </c>
      <c r="AJ37" s="8898" t="s">
        <v>895</v>
      </c>
      <c r="AK37" s="8753"/>
    </row>
    <row r="38" spans="1:42" ht="33.75" customHeight="1">
      <c r="Q38" s="300"/>
      <c r="R38" s="300"/>
      <c r="S38" s="8891"/>
      <c r="T38" s="8843"/>
      <c r="U38" s="942"/>
      <c r="V38" s="1398" t="s">
        <v>951</v>
      </c>
      <c r="W38" s="8724" t="s">
        <v>898</v>
      </c>
      <c r="X38" s="8723"/>
      <c r="Y38" s="8724" t="s">
        <v>899</v>
      </c>
      <c r="Z38" s="8729"/>
      <c r="AA38" s="8723"/>
      <c r="AB38" s="8896"/>
      <c r="AC38" s="1398" t="s">
        <v>951</v>
      </c>
      <c r="AD38" s="8724" t="s">
        <v>898</v>
      </c>
      <c r="AE38" s="8723"/>
      <c r="AF38" s="8724" t="s">
        <v>899</v>
      </c>
      <c r="AG38" s="8729"/>
      <c r="AH38" s="8723"/>
      <c r="AI38" s="8896"/>
      <c r="AJ38" s="8899"/>
      <c r="AK38" s="8753"/>
    </row>
    <row r="39" spans="1:42" ht="86.25" customHeight="1">
      <c r="A39" s="1291"/>
      <c r="B39" s="1291" t="s">
        <v>223</v>
      </c>
      <c r="C39" s="1291" t="s">
        <v>224</v>
      </c>
      <c r="D39" s="1291" t="s">
        <v>225</v>
      </c>
      <c r="E39" s="1285" t="s">
        <v>900</v>
      </c>
      <c r="F39" s="1285" t="s">
        <v>901</v>
      </c>
      <c r="G39" s="1285" t="s">
        <v>902</v>
      </c>
      <c r="H39" s="1285"/>
      <c r="I39" s="1285" t="s">
        <v>952</v>
      </c>
      <c r="J39" s="1285" t="s">
        <v>905</v>
      </c>
      <c r="K39" s="1285" t="s">
        <v>953</v>
      </c>
      <c r="L39" s="1285" t="s">
        <v>881</v>
      </c>
      <c r="Q39" s="300"/>
      <c r="R39" s="300"/>
      <c r="S39" s="8891"/>
      <c r="T39" s="8843"/>
      <c r="U39" s="216"/>
      <c r="V39" s="1398" t="s">
        <v>982</v>
      </c>
      <c r="W39" s="1133" t="s">
        <v>983</v>
      </c>
      <c r="X39" s="1133" t="s">
        <v>956</v>
      </c>
      <c r="Y39" s="1404" t="s">
        <v>909</v>
      </c>
      <c r="Z39" s="8851" t="s">
        <v>910</v>
      </c>
      <c r="AA39" s="8853"/>
      <c r="AB39" s="8897"/>
      <c r="AC39" s="1398" t="s">
        <v>982</v>
      </c>
      <c r="AD39" s="1133" t="s">
        <v>983</v>
      </c>
      <c r="AE39" s="1133" t="s">
        <v>956</v>
      </c>
      <c r="AF39" s="1404" t="s">
        <v>909</v>
      </c>
      <c r="AG39" s="8851" t="s">
        <v>910</v>
      </c>
      <c r="AH39" s="8853"/>
      <c r="AI39" s="8897"/>
      <c r="AJ39" s="8900"/>
      <c r="AK39" s="8753"/>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95</v>
      </c>
      <c r="T40" s="1177" t="s">
        <v>99</v>
      </c>
      <c r="U40" s="1159" t="str">
        <f ca="1">OFFSET(U40,0,-1)</f>
        <v>2</v>
      </c>
      <c r="V40" s="1397">
        <f ca="1">OFFSET(V40,0,-1)+1</f>
        <v>3</v>
      </c>
      <c r="W40" s="1397">
        <f ca="1">OFFSET(W40,0,-1)+1</f>
        <v>4</v>
      </c>
      <c r="X40" s="1397">
        <f ca="1">OFFSET(X40,0,-1)+1</f>
        <v>5</v>
      </c>
      <c r="Y40" s="1397">
        <f ca="1">OFFSET(Y40,0,-1)+1</f>
        <v>6</v>
      </c>
      <c r="Z40" s="8890">
        <f ca="1">OFFSET(Z40,0,-1)+1</f>
        <v>7</v>
      </c>
      <c r="AA40" s="8890"/>
      <c r="AB40" s="1397">
        <f ca="1">OFFSET(AB40,0,-2)+1</f>
        <v>8</v>
      </c>
      <c r="AC40" s="1397">
        <f ca="1">OFFSET(AC40,0,-1)+1</f>
        <v>9</v>
      </c>
      <c r="AD40" s="1397">
        <f ca="1">OFFSET(AD40,0,-1)+1</f>
        <v>10</v>
      </c>
      <c r="AE40" s="1397">
        <f ca="1">OFFSET(AE40,0,-1)+1</f>
        <v>11</v>
      </c>
      <c r="AF40" s="1397">
        <f ca="1">OFFSET(AF40,0,-1)+1</f>
        <v>12</v>
      </c>
      <c r="AG40" s="8890">
        <f ca="1">OFFSET(AG40,0,-1)+1</f>
        <v>13</v>
      </c>
      <c r="AH40" s="8890"/>
      <c r="AI40" s="1397">
        <f ca="1">OFFSET(AI40,0,-2)+1</f>
        <v>14</v>
      </c>
      <c r="AJ40" s="1159">
        <f ca="1">OFFSET(AJ40,0,-1)</f>
        <v>14</v>
      </c>
      <c r="AK40" s="1397">
        <f ca="1">OFFSET(AK40,0,-1)+1</f>
        <v>15</v>
      </c>
      <c r="AL40" s="435"/>
      <c r="AM40" s="435"/>
      <c r="AN40" s="435"/>
      <c r="AO40" s="435"/>
      <c r="AP40" s="435"/>
    </row>
    <row r="41" spans="1:42" ht="23.25" customHeight="1">
      <c r="A41" s="1284" t="s">
        <v>729</v>
      </c>
      <c r="B41" s="1284"/>
      <c r="C41" s="1284"/>
      <c r="D41" s="1284"/>
      <c r="E41" s="8883">
        <v>1</v>
      </c>
      <c r="F41" s="1284"/>
      <c r="G41" s="1284"/>
      <c r="H41" s="1284"/>
      <c r="I41" s="1284"/>
      <c r="J41" s="1284"/>
      <c r="K41" s="1284"/>
      <c r="L41" s="1285"/>
      <c r="M41" s="1286"/>
      <c r="N41" s="1286"/>
      <c r="O41" s="1286"/>
      <c r="P41" s="282"/>
      <c r="Q41" s="281"/>
      <c r="R41" s="276"/>
      <c r="S41" s="1408">
        <f>INDEX(PT_DIFFERENTIATION_NUM_NTAR,MATCH(A41,PT_DIFFERENTIATION_NTAR_ID,0))</f>
        <v>0</v>
      </c>
      <c r="T41" s="212" t="s">
        <v>211</v>
      </c>
      <c r="U41" s="214"/>
      <c r="V41" s="8869"/>
      <c r="W41" s="8870"/>
      <c r="X41" s="8870"/>
      <c r="Y41" s="8870"/>
      <c r="Z41" s="8870"/>
      <c r="AA41" s="8870"/>
      <c r="AB41" s="8871"/>
      <c r="AC41" s="8869" t="str">
        <f>INDEX(PT_DIFFERENTIATION_NTAR,MATCH(A41,PT_DIFFERENTIATION_NTAR_ID,0))</f>
        <v/>
      </c>
      <c r="AD41" s="8870"/>
      <c r="AE41" s="8870"/>
      <c r="AF41" s="8870"/>
      <c r="AG41" s="8870"/>
      <c r="AH41" s="8870"/>
      <c r="AI41" s="8870"/>
      <c r="AJ41" s="887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729</v>
      </c>
      <c r="B42" s="1284" t="s">
        <v>730</v>
      </c>
      <c r="C42" s="1284"/>
      <c r="D42" s="1284"/>
      <c r="E42" s="8884"/>
      <c r="F42" s="8883">
        <v>1</v>
      </c>
      <c r="G42" s="1284"/>
      <c r="H42" s="1284"/>
      <c r="I42" s="1284"/>
      <c r="J42" s="1284"/>
      <c r="K42" s="1284"/>
      <c r="L42" s="1285"/>
      <c r="M42" s="1286"/>
      <c r="N42" s="1286"/>
      <c r="O42" s="1286"/>
      <c r="P42" s="1402"/>
      <c r="Q42" s="273"/>
      <c r="R42" s="274"/>
      <c r="S42" s="1408" t="str">
        <f>INDEX(PT_DIFFERENTIATION_NUM_TER,MATCH(B42,PT_DIFFERENTIATION_TER_ID,0))</f>
        <v>.</v>
      </c>
      <c r="T42" s="224" t="s">
        <v>862</v>
      </c>
      <c r="U42" s="214"/>
      <c r="V42" s="8869"/>
      <c r="W42" s="8870"/>
      <c r="X42" s="8870"/>
      <c r="Y42" s="8870"/>
      <c r="Z42" s="8870"/>
      <c r="AA42" s="8870"/>
      <c r="AB42" s="8871"/>
      <c r="AC42" s="8869" t="str">
        <f>INDEX(PT_DIFFERENTIATION_TER,MATCH(B42,PT_DIFFERENTIATION_TER_ID,0))</f>
        <v/>
      </c>
      <c r="AD42" s="8870"/>
      <c r="AE42" s="8870"/>
      <c r="AF42" s="8870"/>
      <c r="AG42" s="8870"/>
      <c r="AH42" s="8870"/>
      <c r="AI42" s="8870"/>
      <c r="AJ42" s="8871"/>
      <c r="AK42" s="1182" t="s">
        <v>863</v>
      </c>
      <c r="AM42" s="424"/>
      <c r="AN42" s="424" t="str">
        <f t="shared" si="1"/>
        <v>Территория действия тарифа</v>
      </c>
      <c r="AO42" s="424"/>
      <c r="AP42" s="424"/>
    </row>
    <row r="43" spans="1:42" ht="23.25" customHeight="1">
      <c r="A43" s="1284" t="s">
        <v>729</v>
      </c>
      <c r="B43" s="1284" t="s">
        <v>730</v>
      </c>
      <c r="C43" s="1284" t="s">
        <v>731</v>
      </c>
      <c r="D43" s="1284"/>
      <c r="E43" s="8884"/>
      <c r="F43" s="8884"/>
      <c r="G43" s="8883">
        <v>1</v>
      </c>
      <c r="H43" s="1284"/>
      <c r="I43" s="1284"/>
      <c r="J43" s="1284"/>
      <c r="K43" s="1284"/>
      <c r="L43" s="1285"/>
      <c r="M43" s="1286"/>
      <c r="N43" s="1286"/>
      <c r="O43" s="1286"/>
      <c r="P43" s="275"/>
      <c r="Q43" s="273"/>
      <c r="R43" s="274"/>
      <c r="S43" s="1408" t="str">
        <f>INDEX(PT_DIFFERENTIATION_NUM_CS,MATCH(C43,PT_DIFFERENTIATION_CS_ID,0))</f>
        <v>..</v>
      </c>
      <c r="T43" s="225" t="s">
        <v>980</v>
      </c>
      <c r="U43" s="214"/>
      <c r="V43" s="8869"/>
      <c r="W43" s="8870"/>
      <c r="X43" s="8870"/>
      <c r="Y43" s="8870"/>
      <c r="Z43" s="8870"/>
      <c r="AA43" s="8870"/>
      <c r="AB43" s="8871"/>
      <c r="AC43" s="8869" t="str">
        <f>INDEX(PT_DIFFERENTIATION_CS,MATCH(C43,PT_DIFFERENTIATION_CS_ID,0))</f>
        <v/>
      </c>
      <c r="AD43" s="8870"/>
      <c r="AE43" s="8870"/>
      <c r="AF43" s="8870"/>
      <c r="AG43" s="8870"/>
      <c r="AH43" s="8870"/>
      <c r="AI43" s="8870"/>
      <c r="AJ43" s="8871"/>
      <c r="AK43" s="1182" t="s">
        <v>981</v>
      </c>
      <c r="AM43" s="424"/>
      <c r="AN43" s="424" t="str">
        <f t="shared" si="1"/>
        <v>Наименование централизованной системы водоотведения</v>
      </c>
      <c r="AO43" s="424"/>
      <c r="AP43" s="424"/>
    </row>
    <row r="44" spans="1:42" ht="23.25" customHeight="1">
      <c r="A44" s="1284" t="s">
        <v>729</v>
      </c>
      <c r="B44" s="1284" t="s">
        <v>730</v>
      </c>
      <c r="C44" s="1284" t="s">
        <v>731</v>
      </c>
      <c r="D44" s="1284" t="s">
        <v>984</v>
      </c>
      <c r="E44" s="8884"/>
      <c r="F44" s="8884"/>
      <c r="G44" s="8884"/>
      <c r="H44" s="8884"/>
      <c r="I44" s="8881" t="str">
        <f>S43&amp;".1"</f>
        <v>...1</v>
      </c>
      <c r="J44" s="1284"/>
      <c r="K44" s="1284"/>
      <c r="L44" s="1285"/>
      <c r="P44" s="8882">
        <v>1</v>
      </c>
      <c r="Q44" s="1396"/>
      <c r="R44" s="277"/>
      <c r="S44" s="1408" t="str">
        <f>$I44</f>
        <v>...1</v>
      </c>
      <c r="T44" s="200" t="s">
        <v>945</v>
      </c>
      <c r="U44" s="214"/>
      <c r="V44" s="8942"/>
      <c r="W44" s="8943"/>
      <c r="X44" s="8943"/>
      <c r="Y44" s="8943"/>
      <c r="Z44" s="8943"/>
      <c r="AA44" s="8943"/>
      <c r="AB44" s="8944"/>
      <c r="AC44" s="8945"/>
      <c r="AD44" s="8946"/>
      <c r="AE44" s="8946"/>
      <c r="AF44" s="8946"/>
      <c r="AG44" s="8946"/>
      <c r="AH44" s="8946"/>
      <c r="AI44" s="8946"/>
      <c r="AJ44" s="8947"/>
      <c r="AK44" s="1182" t="s">
        <v>946</v>
      </c>
      <c r="AM44" s="424"/>
      <c r="AN44" s="424" t="str">
        <f t="shared" si="1"/>
        <v>Наименование признака дифференциации</v>
      </c>
      <c r="AO44" s="424"/>
      <c r="AP44" s="424"/>
    </row>
    <row r="45" spans="1:42" ht="23.25" customHeight="1">
      <c r="A45" s="1284" t="s">
        <v>729</v>
      </c>
      <c r="B45" s="1284" t="s">
        <v>730</v>
      </c>
      <c r="C45" s="1284" t="s">
        <v>731</v>
      </c>
      <c r="D45" s="1284" t="s">
        <v>984</v>
      </c>
      <c r="E45" s="8884"/>
      <c r="F45" s="8884"/>
      <c r="G45" s="8884"/>
      <c r="H45" s="8884"/>
      <c r="I45" s="8904"/>
      <c r="J45" s="8881" t="str">
        <f>I44&amp;".1"</f>
        <v>...1.1</v>
      </c>
      <c r="K45" s="1284"/>
      <c r="L45" s="1285" t="s">
        <v>871</v>
      </c>
      <c r="P45" s="8882"/>
      <c r="Q45" s="8882">
        <v>1</v>
      </c>
      <c r="R45" s="278"/>
      <c r="S45" s="1408" t="str">
        <f>$J45</f>
        <v>...1.1</v>
      </c>
      <c r="T45" s="201" t="s">
        <v>872</v>
      </c>
      <c r="U45" s="214"/>
      <c r="V45" s="8872"/>
      <c r="W45" s="8873"/>
      <c r="X45" s="8873"/>
      <c r="Y45" s="8873"/>
      <c r="Z45" s="8873"/>
      <c r="AA45" s="8873"/>
      <c r="AB45" s="8874"/>
      <c r="AC45" s="8872"/>
      <c r="AD45" s="8873"/>
      <c r="AE45" s="8873"/>
      <c r="AF45" s="8873"/>
      <c r="AG45" s="8873"/>
      <c r="AH45" s="8873"/>
      <c r="AI45" s="8873"/>
      <c r="AJ45" s="8874"/>
      <c r="AK45" s="1231" t="s">
        <v>947</v>
      </c>
      <c r="AM45" s="424"/>
      <c r="AN45" s="424" t="str">
        <f t="shared" si="1"/>
        <v>Группа потребителей</v>
      </c>
      <c r="AO45" s="424"/>
      <c r="AP45" s="424"/>
    </row>
    <row r="46" spans="1:42" ht="23.25" customHeight="1">
      <c r="A46" s="1284" t="s">
        <v>729</v>
      </c>
      <c r="B46" s="1284" t="s">
        <v>730</v>
      </c>
      <c r="C46" s="1284" t="s">
        <v>731</v>
      </c>
      <c r="D46" s="1284" t="s">
        <v>984</v>
      </c>
      <c r="E46" s="8884"/>
      <c r="F46" s="8884"/>
      <c r="G46" s="8884"/>
      <c r="H46" s="8884"/>
      <c r="I46" s="8904"/>
      <c r="J46" s="8904"/>
      <c r="K46" s="8881" t="str">
        <f>J45&amp;".1"</f>
        <v>...1.1.1</v>
      </c>
      <c r="L46" s="1285"/>
      <c r="P46" s="8882"/>
      <c r="Q46" s="8882"/>
      <c r="R46" s="278">
        <v>1</v>
      </c>
      <c r="S46" s="1408" t="str">
        <f>$K46</f>
        <v>...1.1.1</v>
      </c>
      <c r="T46" s="1357"/>
      <c r="U46" s="214"/>
      <c r="V46" s="1281"/>
      <c r="W46" s="1281"/>
      <c r="X46" s="1282"/>
      <c r="Y46" s="8888"/>
      <c r="Z46" s="8889" t="s">
        <v>63</v>
      </c>
      <c r="AA46" s="8888"/>
      <c r="AB46" s="8889" t="s">
        <v>63</v>
      </c>
      <c r="AC46" s="666"/>
      <c r="AD46" s="666"/>
      <c r="AE46" s="1181"/>
      <c r="AF46" s="8886"/>
      <c r="AG46" s="8734" t="s">
        <v>63</v>
      </c>
      <c r="AH46" s="8905"/>
      <c r="AI46" s="8734" t="s">
        <v>53</v>
      </c>
      <c r="AJ46" s="1358"/>
      <c r="AK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729</v>
      </c>
      <c r="B47" s="1284" t="s">
        <v>730</v>
      </c>
      <c r="C47" s="1284" t="s">
        <v>731</v>
      </c>
      <c r="D47" s="1284" t="s">
        <v>984</v>
      </c>
      <c r="E47" s="8884"/>
      <c r="F47" s="8884"/>
      <c r="G47" s="8884"/>
      <c r="H47" s="8884"/>
      <c r="I47" s="8904"/>
      <c r="J47" s="8904"/>
      <c r="K47" s="8881"/>
      <c r="L47" s="1285"/>
      <c r="P47" s="8882"/>
      <c r="Q47" s="8882"/>
      <c r="R47" s="278"/>
      <c r="S47" s="1405"/>
      <c r="T47" s="214"/>
      <c r="U47" s="214"/>
      <c r="V47" s="1281"/>
      <c r="W47" s="1281"/>
      <c r="X47" s="250" t="str">
        <f>Y46&amp;"-"&amp;AA46</f>
        <v>-</v>
      </c>
      <c r="Y47" s="8889"/>
      <c r="Z47" s="8889"/>
      <c r="AA47" s="8889"/>
      <c r="AB47" s="8889"/>
      <c r="AC47" s="246"/>
      <c r="AD47" s="246"/>
      <c r="AE47" s="250" t="str">
        <f>AF46&amp;"-"&amp;AH46</f>
        <v>-</v>
      </c>
      <c r="AF47" s="8887"/>
      <c r="AG47" s="8734"/>
      <c r="AH47" s="8906"/>
      <c r="AI47" s="8734"/>
      <c r="AJ47" s="1359"/>
      <c r="AK47" s="8941"/>
      <c r="AM47" s="424"/>
      <c r="AN47" s="424" t="str">
        <f t="shared" si="1"/>
        <v/>
      </c>
      <c r="AO47" s="424"/>
      <c r="AP47" s="424"/>
    </row>
    <row r="48" spans="1:42" ht="21" customHeight="1">
      <c r="A48" s="1284" t="s">
        <v>729</v>
      </c>
      <c r="B48" s="1284" t="s">
        <v>730</v>
      </c>
      <c r="C48" s="1284" t="s">
        <v>731</v>
      </c>
      <c r="D48" s="1284" t="s">
        <v>984</v>
      </c>
      <c r="E48" s="8884"/>
      <c r="F48" s="8884"/>
      <c r="G48" s="8884"/>
      <c r="H48" s="8884"/>
      <c r="I48" s="8904"/>
      <c r="J48" s="8881"/>
      <c r="K48" s="1284"/>
      <c r="L48" s="1285"/>
      <c r="P48" s="8882"/>
      <c r="Q48" s="8882"/>
      <c r="R48" s="277"/>
      <c r="S48" s="1203"/>
      <c r="T48" s="202" t="s">
        <v>948</v>
      </c>
      <c r="U48" s="291"/>
      <c r="V48" s="291"/>
      <c r="W48" s="291"/>
      <c r="X48" s="291"/>
      <c r="Y48" s="291"/>
      <c r="Z48" s="291"/>
      <c r="AA48" s="291"/>
      <c r="AB48" s="291"/>
      <c r="AC48" s="291"/>
      <c r="AD48" s="291"/>
      <c r="AE48" s="291"/>
      <c r="AF48" s="291"/>
      <c r="AG48" s="291"/>
      <c r="AH48" s="291"/>
      <c r="AI48" s="291"/>
      <c r="AJ48" s="291"/>
      <c r="AK48" s="1182" t="s">
        <v>949</v>
      </c>
      <c r="AM48" s="424"/>
      <c r="AN48" s="424" t="str">
        <f t="shared" si="1"/>
        <v>Добавить значение признака дифференциации</v>
      </c>
      <c r="AO48" s="424"/>
      <c r="AP48" s="424"/>
    </row>
    <row r="49" spans="1:42" ht="21" customHeight="1">
      <c r="A49" s="1284" t="s">
        <v>729</v>
      </c>
      <c r="B49" s="1284" t="s">
        <v>730</v>
      </c>
      <c r="C49" s="1284" t="s">
        <v>731</v>
      </c>
      <c r="D49" s="1284" t="s">
        <v>984</v>
      </c>
      <c r="E49" s="8884"/>
      <c r="F49" s="8884"/>
      <c r="G49" s="8884"/>
      <c r="H49" s="8884"/>
      <c r="I49" s="8881"/>
      <c r="J49" s="1284"/>
      <c r="K49" s="1284"/>
      <c r="L49" s="1285"/>
      <c r="P49" s="8882"/>
      <c r="Q49" s="1396"/>
      <c r="R49" s="277"/>
      <c r="S49" s="1203"/>
      <c r="T49" s="288" t="s">
        <v>877</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729</v>
      </c>
      <c r="B50" s="1284" t="s">
        <v>730</v>
      </c>
      <c r="C50" s="1284" t="s">
        <v>731</v>
      </c>
      <c r="D50" s="1284" t="s">
        <v>984</v>
      </c>
      <c r="E50" s="8884"/>
      <c r="F50" s="8884"/>
      <c r="G50" s="8884"/>
      <c r="H50" s="8883"/>
      <c r="I50" s="1284"/>
      <c r="J50" s="1284"/>
      <c r="K50" s="1284"/>
      <c r="L50" s="1285"/>
      <c r="M50" s="1286"/>
      <c r="N50" s="1286"/>
      <c r="O50" s="460"/>
      <c r="P50" s="281"/>
      <c r="Q50" s="299"/>
      <c r="R50" s="276"/>
      <c r="S50" s="1203"/>
      <c r="T50" s="296" t="s">
        <v>950</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729</v>
      </c>
      <c r="B51" s="1265" t="s">
        <v>730</v>
      </c>
      <c r="C51" s="1237"/>
      <c r="D51" s="1237"/>
      <c r="E51" s="8884"/>
      <c r="F51" s="8883"/>
      <c r="G51" s="1237"/>
      <c r="H51" s="1237"/>
      <c r="I51" s="1237"/>
      <c r="J51" s="1237"/>
      <c r="K51" s="1237"/>
      <c r="L51" s="1409"/>
      <c r="M51" s="1244"/>
      <c r="N51" s="1244"/>
      <c r="P51" s="1239"/>
      <c r="Q51" s="1240"/>
      <c r="R51" s="1239"/>
      <c r="S51" s="1245"/>
      <c r="T51" s="1248" t="s">
        <v>314</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729</v>
      </c>
      <c r="B52" s="1265"/>
      <c r="C52" s="1265"/>
      <c r="D52" s="1265"/>
      <c r="E52" s="8883"/>
      <c r="F52" s="1265"/>
      <c r="G52" s="1265"/>
      <c r="H52" s="1265"/>
      <c r="I52" s="1265"/>
      <c r="J52" s="1265"/>
      <c r="K52" s="1265"/>
      <c r="L52" s="1268"/>
      <c r="M52" s="1244"/>
      <c r="N52" s="1244"/>
      <c r="O52" s="442"/>
      <c r="P52" s="308"/>
      <c r="Q52" s="1266"/>
      <c r="R52" s="308"/>
      <c r="S52" s="1245"/>
      <c r="T52" s="1248" t="s">
        <v>315</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706</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8903"/>
      <c r="U55" s="8903"/>
      <c r="V55" s="8903"/>
      <c r="W55" s="8903"/>
      <c r="X55" s="8903"/>
      <c r="Y55" s="8903"/>
      <c r="Z55" s="8903"/>
      <c r="AA55" s="8903"/>
      <c r="AB55" s="8903"/>
      <c r="AC55" s="8903"/>
      <c r="AD55" s="8903"/>
      <c r="AE55" s="8903"/>
      <c r="AF55" s="8903"/>
      <c r="AG55" s="8903"/>
      <c r="AH55" s="8903"/>
      <c r="AI55" s="8903"/>
      <c r="AJ55" s="8903"/>
      <c r="AK55" s="8903"/>
    </row>
    <row r="56" spans="1:42" ht="14.25" customHeight="1">
      <c r="O56" s="460"/>
    </row>
    <row r="57" spans="1:42" ht="14.25" customHeight="1">
      <c r="O57" s="460"/>
      <c r="S57" s="1169"/>
      <c r="T57" s="8903"/>
      <c r="U57" s="8903"/>
      <c r="V57" s="8903"/>
      <c r="W57" s="8903"/>
      <c r="X57" s="8903"/>
      <c r="Y57" s="8903"/>
      <c r="Z57" s="8903"/>
      <c r="AA57" s="8903"/>
      <c r="AB57" s="8903"/>
      <c r="AC57" s="8903"/>
      <c r="AD57" s="8903"/>
      <c r="AE57" s="8903"/>
      <c r="AF57" s="8903"/>
      <c r="AG57" s="8903"/>
      <c r="AH57" s="8903"/>
      <c r="AI57" s="8903"/>
      <c r="AJ57" s="8903"/>
      <c r="AK57" s="890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8883">
        <v>1</v>
      </c>
      <c r="F2" s="1284"/>
      <c r="G2" s="1284"/>
      <c r="H2" s="1284"/>
      <c r="I2" s="1284"/>
      <c r="J2" s="1284"/>
      <c r="K2" s="1284"/>
      <c r="L2" s="1285"/>
      <c r="M2" s="1286"/>
      <c r="N2" s="1286"/>
      <c r="O2" s="1286"/>
      <c r="P2" s="282"/>
      <c r="Q2" s="281"/>
      <c r="R2" s="276"/>
      <c r="S2" s="1408" t="e">
        <f>INDEX(PT_DIFFERENTIATION_NUM_NTAR,MATCH(A2,PT_DIFFERENTIATION_NTAR_ID,0))</f>
        <v>#N/A</v>
      </c>
      <c r="T2" s="212" t="s">
        <v>211</v>
      </c>
      <c r="U2" s="214"/>
      <c r="V2" s="8869"/>
      <c r="W2" s="8870"/>
      <c r="X2" s="8870"/>
      <c r="Y2" s="8870"/>
      <c r="Z2" s="8870"/>
      <c r="AA2" s="8870"/>
      <c r="AB2" s="8871"/>
      <c r="AC2" s="8869" t="e">
        <f>INDEX(PT_DIFFERENTIATION_NTAR,MATCH(A2,PT_DIFFERENTIATION_NTAR_ID,0))</f>
        <v>#N/A</v>
      </c>
      <c r="AD2" s="8870"/>
      <c r="AE2" s="8870"/>
      <c r="AF2" s="8870"/>
      <c r="AG2" s="8870"/>
      <c r="AH2" s="8870"/>
      <c r="AI2" s="8870"/>
      <c r="AJ2" s="887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8884"/>
      <c r="F3" s="8883">
        <v>1</v>
      </c>
      <c r="G3" s="1284"/>
      <c r="H3" s="1284"/>
      <c r="I3" s="1284"/>
      <c r="J3" s="1284"/>
      <c r="K3" s="1284"/>
      <c r="L3" s="1285"/>
      <c r="M3" s="1286"/>
      <c r="N3" s="1286"/>
      <c r="O3" s="1286"/>
      <c r="P3" s="1402"/>
      <c r="Q3" s="273"/>
      <c r="R3" s="274"/>
      <c r="S3" s="1408" t="e">
        <f>INDEX(PT_DIFFERENTIATION_NUM_TER,MATCH(B3,PT_DIFFERENTIATION_TER_ID,0))</f>
        <v>#N/A</v>
      </c>
      <c r="T3" s="224" t="s">
        <v>862</v>
      </c>
      <c r="U3" s="214"/>
      <c r="V3" s="8869"/>
      <c r="W3" s="8870"/>
      <c r="X3" s="8870"/>
      <c r="Y3" s="8870"/>
      <c r="Z3" s="8870"/>
      <c r="AA3" s="8870"/>
      <c r="AB3" s="8871"/>
      <c r="AC3" s="8869" t="e">
        <f>INDEX(PT_DIFFERENTIATION_TER,MATCH(B3,PT_DIFFERENTIATION_TER_ID,0))</f>
        <v>#N/A</v>
      </c>
      <c r="AD3" s="8870"/>
      <c r="AE3" s="8870"/>
      <c r="AF3" s="8870"/>
      <c r="AG3" s="8870"/>
      <c r="AH3" s="8870"/>
      <c r="AI3" s="8870"/>
      <c r="AJ3" s="8871"/>
      <c r="AK3" s="1182" t="s">
        <v>863</v>
      </c>
      <c r="AM3" s="424"/>
      <c r="AN3" s="424" t="str">
        <f t="shared" si="0"/>
        <v>Территория действия тарифа</v>
      </c>
      <c r="AO3" s="424"/>
      <c r="AP3" s="424"/>
    </row>
    <row r="4" spans="1:42" ht="23.25" hidden="1" customHeight="1">
      <c r="A4" s="1284"/>
      <c r="B4" s="1284"/>
      <c r="C4" s="1284"/>
      <c r="D4" s="1284"/>
      <c r="E4" s="8884"/>
      <c r="F4" s="8884"/>
      <c r="G4" s="8883">
        <v>1</v>
      </c>
      <c r="H4" s="1284"/>
      <c r="I4" s="1284"/>
      <c r="J4" s="1284"/>
      <c r="K4" s="1284"/>
      <c r="L4" s="1285"/>
      <c r="M4" s="1286"/>
      <c r="N4" s="1286"/>
      <c r="O4" s="1286"/>
      <c r="P4" s="275"/>
      <c r="Q4" s="273"/>
      <c r="R4" s="274"/>
      <c r="S4" s="1408" t="e">
        <f>INDEX(PT_DIFFERENTIATION_NUM_CS,MATCH(C4,PT_DIFFERENTIATION_CS_ID,0))</f>
        <v>#N/A</v>
      </c>
      <c r="T4" s="225" t="s">
        <v>980</v>
      </c>
      <c r="U4" s="214"/>
      <c r="V4" s="8869"/>
      <c r="W4" s="8870"/>
      <c r="X4" s="8870"/>
      <c r="Y4" s="8870"/>
      <c r="Z4" s="8870"/>
      <c r="AA4" s="8870"/>
      <c r="AB4" s="8871"/>
      <c r="AC4" s="8869" t="e">
        <f>INDEX(PT_DIFFERENTIATION_CS,MATCH(C4,PT_DIFFERENTIATION_CS_ID,0))</f>
        <v>#N/A</v>
      </c>
      <c r="AD4" s="8870"/>
      <c r="AE4" s="8870"/>
      <c r="AF4" s="8870"/>
      <c r="AG4" s="8870"/>
      <c r="AH4" s="8870"/>
      <c r="AI4" s="8870"/>
      <c r="AJ4" s="8871"/>
      <c r="AK4" s="1182" t="s">
        <v>981</v>
      </c>
      <c r="AM4" s="424"/>
      <c r="AN4" s="424" t="str">
        <f t="shared" si="0"/>
        <v>Наименование централизованной системы водоотведения</v>
      </c>
      <c r="AO4" s="424"/>
      <c r="AP4" s="424"/>
    </row>
    <row r="5" spans="1:42" ht="23.25" hidden="1" customHeight="1">
      <c r="A5" s="1284"/>
      <c r="B5" s="1284"/>
      <c r="C5" s="1284"/>
      <c r="D5" s="1284"/>
      <c r="E5" s="8884"/>
      <c r="F5" s="8884"/>
      <c r="G5" s="8884"/>
      <c r="H5" s="8884"/>
      <c r="I5" s="8881" t="e">
        <f>S4&amp;".1"</f>
        <v>#N/A</v>
      </c>
      <c r="J5" s="1284"/>
      <c r="K5" s="1284"/>
      <c r="L5" s="1285"/>
      <c r="P5" s="8882">
        <v>1</v>
      </c>
      <c r="Q5" s="1396"/>
      <c r="R5" s="277"/>
      <c r="S5" s="1408" t="e">
        <f>$I5</f>
        <v>#N/A</v>
      </c>
      <c r="T5" s="200" t="s">
        <v>945</v>
      </c>
      <c r="U5" s="214"/>
      <c r="V5" s="8942"/>
      <c r="W5" s="8943"/>
      <c r="X5" s="8943"/>
      <c r="Y5" s="8943"/>
      <c r="Z5" s="8943"/>
      <c r="AA5" s="8943"/>
      <c r="AB5" s="8944"/>
      <c r="AC5" s="8945"/>
      <c r="AD5" s="8946"/>
      <c r="AE5" s="8946"/>
      <c r="AF5" s="8946"/>
      <c r="AG5" s="8946"/>
      <c r="AH5" s="8946"/>
      <c r="AI5" s="8946"/>
      <c r="AJ5" s="8947"/>
      <c r="AK5" s="1182" t="s">
        <v>946</v>
      </c>
      <c r="AM5" s="424"/>
      <c r="AN5" s="424" t="str">
        <f t="shared" si="0"/>
        <v>Наименование признака дифференциации</v>
      </c>
      <c r="AO5" s="424"/>
      <c r="AP5" s="424"/>
    </row>
    <row r="6" spans="1:42" ht="23.25" hidden="1" customHeight="1">
      <c r="A6" s="1284"/>
      <c r="B6" s="1284"/>
      <c r="C6" s="1284"/>
      <c r="D6" s="1284"/>
      <c r="E6" s="8884"/>
      <c r="F6" s="8884"/>
      <c r="G6" s="8884"/>
      <c r="H6" s="8884"/>
      <c r="I6" s="8904"/>
      <c r="J6" s="8881" t="e">
        <f>I5&amp;".1"</f>
        <v>#N/A</v>
      </c>
      <c r="K6" s="1284"/>
      <c r="L6" s="1285" t="s">
        <v>871</v>
      </c>
      <c r="P6" s="8882"/>
      <c r="Q6" s="8882">
        <v>1</v>
      </c>
      <c r="R6" s="278"/>
      <c r="S6" s="1408" t="e">
        <f>$J6</f>
        <v>#N/A</v>
      </c>
      <c r="T6" s="201" t="s">
        <v>872</v>
      </c>
      <c r="U6" s="214"/>
      <c r="V6" s="8872"/>
      <c r="W6" s="8873"/>
      <c r="X6" s="8873"/>
      <c r="Y6" s="8873"/>
      <c r="Z6" s="8873"/>
      <c r="AA6" s="8873"/>
      <c r="AB6" s="8874"/>
      <c r="AC6" s="8872"/>
      <c r="AD6" s="8873"/>
      <c r="AE6" s="8873"/>
      <c r="AF6" s="8873"/>
      <c r="AG6" s="8873"/>
      <c r="AH6" s="8873"/>
      <c r="AI6" s="8873"/>
      <c r="AJ6" s="8874"/>
      <c r="AK6" s="1231" t="s">
        <v>947</v>
      </c>
      <c r="AM6" s="424"/>
      <c r="AN6" s="424" t="str">
        <f t="shared" si="0"/>
        <v>Группа потребителей</v>
      </c>
      <c r="AO6" s="424"/>
      <c r="AP6" s="424"/>
    </row>
    <row r="7" spans="1:42" ht="23.25" hidden="1" customHeight="1">
      <c r="A7" s="1284"/>
      <c r="B7" s="1284"/>
      <c r="C7" s="1284"/>
      <c r="D7" s="1284"/>
      <c r="E7" s="8884"/>
      <c r="F7" s="8884"/>
      <c r="G7" s="8884"/>
      <c r="H7" s="8884"/>
      <c r="I7" s="8904"/>
      <c r="J7" s="8904"/>
      <c r="K7" s="8881" t="e">
        <f>J6&amp;".1"</f>
        <v>#N/A</v>
      </c>
      <c r="L7" s="1285"/>
      <c r="P7" s="8882"/>
      <c r="Q7" s="8882"/>
      <c r="R7" s="278">
        <v>1</v>
      </c>
      <c r="S7" s="1408" t="e">
        <f>$K7</f>
        <v>#N/A</v>
      </c>
      <c r="T7" s="1357"/>
      <c r="U7" s="214"/>
      <c r="V7" s="666"/>
      <c r="W7" s="666"/>
      <c r="X7" s="1181"/>
      <c r="Y7" s="8886"/>
      <c r="Z7" s="8734" t="s">
        <v>63</v>
      </c>
      <c r="AA7" s="8886"/>
      <c r="AB7" s="8734" t="s">
        <v>63</v>
      </c>
      <c r="AC7" s="666"/>
      <c r="AD7" s="666"/>
      <c r="AE7" s="1181"/>
      <c r="AF7" s="8886"/>
      <c r="AG7" s="8734" t="s">
        <v>63</v>
      </c>
      <c r="AH7" s="8905"/>
      <c r="AI7" s="8734" t="s">
        <v>63</v>
      </c>
      <c r="AJ7" s="1358"/>
      <c r="AK7"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8884"/>
      <c r="F8" s="8884"/>
      <c r="G8" s="8884"/>
      <c r="H8" s="8884"/>
      <c r="I8" s="8904"/>
      <c r="J8" s="8904"/>
      <c r="K8" s="8881"/>
      <c r="L8" s="1285"/>
      <c r="P8" s="8882"/>
      <c r="Q8" s="8882"/>
      <c r="R8" s="278"/>
      <c r="S8" s="1405"/>
      <c r="T8" s="214"/>
      <c r="U8" s="214"/>
      <c r="V8" s="246"/>
      <c r="W8" s="246"/>
      <c r="X8" s="250" t="str">
        <f>Y7&amp;"-"&amp;AA7</f>
        <v>-</v>
      </c>
      <c r="Y8" s="8887"/>
      <c r="Z8" s="8734"/>
      <c r="AA8" s="8887"/>
      <c r="AB8" s="8734"/>
      <c r="AC8" s="246"/>
      <c r="AD8" s="246"/>
      <c r="AE8" s="250" t="str">
        <f>AF7&amp;"-"&amp;AH7</f>
        <v>-</v>
      </c>
      <c r="AF8" s="8887"/>
      <c r="AG8" s="8734"/>
      <c r="AH8" s="8906"/>
      <c r="AI8" s="8734"/>
      <c r="AJ8" s="1359"/>
      <c r="AK8" s="8941"/>
      <c r="AM8" s="424"/>
      <c r="AN8" s="424" t="str">
        <f t="shared" si="0"/>
        <v/>
      </c>
      <c r="AO8" s="424"/>
      <c r="AP8" s="424"/>
    </row>
    <row r="9" spans="1:42" ht="21" hidden="1" customHeight="1">
      <c r="A9" s="1284"/>
      <c r="B9" s="1284"/>
      <c r="C9" s="1284"/>
      <c r="D9" s="1284"/>
      <c r="E9" s="8884"/>
      <c r="F9" s="8884"/>
      <c r="G9" s="8884"/>
      <c r="H9" s="8884"/>
      <c r="I9" s="8904"/>
      <c r="J9" s="8881"/>
      <c r="K9" s="1284"/>
      <c r="L9" s="1285"/>
      <c r="P9" s="8882"/>
      <c r="Q9" s="8882"/>
      <c r="R9" s="277"/>
      <c r="S9" s="1203"/>
      <c r="T9" s="202" t="s">
        <v>948</v>
      </c>
      <c r="U9" s="291"/>
      <c r="V9" s="291"/>
      <c r="W9" s="291"/>
      <c r="X9" s="291"/>
      <c r="Y9" s="291"/>
      <c r="Z9" s="291"/>
      <c r="AA9" s="291"/>
      <c r="AB9" s="291"/>
      <c r="AC9" s="291"/>
      <c r="AD9" s="291"/>
      <c r="AE9" s="291"/>
      <c r="AF9" s="291"/>
      <c r="AG9" s="291"/>
      <c r="AH9" s="291"/>
      <c r="AI9" s="291"/>
      <c r="AJ9" s="291"/>
      <c r="AK9" s="1182" t="s">
        <v>949</v>
      </c>
      <c r="AM9" s="424"/>
      <c r="AN9" s="424" t="str">
        <f t="shared" si="0"/>
        <v>Добавить значение признака дифференциации</v>
      </c>
      <c r="AO9" s="424"/>
      <c r="AP9" s="424"/>
    </row>
    <row r="10" spans="1:42" ht="21" hidden="1" customHeight="1">
      <c r="A10" s="1284"/>
      <c r="B10" s="1284"/>
      <c r="C10" s="1284"/>
      <c r="D10" s="1284"/>
      <c r="E10" s="8884"/>
      <c r="F10" s="8884"/>
      <c r="G10" s="8884"/>
      <c r="H10" s="8884"/>
      <c r="I10" s="8881"/>
      <c r="J10" s="1284"/>
      <c r="K10" s="1284"/>
      <c r="L10" s="1285"/>
      <c r="P10" s="8882"/>
      <c r="Q10" s="1396"/>
      <c r="R10" s="277"/>
      <c r="S10" s="1203"/>
      <c r="T10" s="288" t="s">
        <v>877</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8884"/>
      <c r="F11" s="8884"/>
      <c r="G11" s="8884"/>
      <c r="H11" s="8883"/>
      <c r="I11" s="1284"/>
      <c r="J11" s="1284"/>
      <c r="K11" s="1284"/>
      <c r="L11" s="1285"/>
      <c r="M11" s="1286"/>
      <c r="N11" s="1286"/>
      <c r="O11" s="460"/>
      <c r="P11" s="281"/>
      <c r="Q11" s="299"/>
      <c r="R11" s="276"/>
      <c r="S11" s="1203"/>
      <c r="T11" s="296" t="s">
        <v>950</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8884"/>
      <c r="F12" s="8883"/>
      <c r="G12" s="1237"/>
      <c r="H12" s="1237"/>
      <c r="I12" s="1237"/>
      <c r="J12" s="1237"/>
      <c r="K12" s="1237"/>
      <c r="L12" s="1409"/>
      <c r="M12" s="1244"/>
      <c r="N12" s="1244"/>
      <c r="P12" s="1239"/>
      <c r="Q12" s="1240"/>
      <c r="R12" s="1239"/>
      <c r="S12" s="1245"/>
      <c r="T12" s="1248" t="s">
        <v>314</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8883"/>
      <c r="F13" s="1265"/>
      <c r="G13" s="1265"/>
      <c r="H13" s="1265"/>
      <c r="I13" s="1265"/>
      <c r="J13" s="1265"/>
      <c r="K13" s="1265"/>
      <c r="L13" s="1268"/>
      <c r="M13" s="1244"/>
      <c r="N13" s="1244"/>
      <c r="O13" s="442"/>
      <c r="P13" s="308"/>
      <c r="Q13" s="1266"/>
      <c r="R13" s="308"/>
      <c r="S13" s="1245"/>
      <c r="T13" s="1248" t="s">
        <v>315</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8888"/>
      <c r="AG15" s="8889" t="s">
        <v>63</v>
      </c>
      <c r="AH15" s="8888"/>
      <c r="AI15" s="8889" t="s">
        <v>63</v>
      </c>
    </row>
    <row r="16" spans="1:42" ht="14.25" hidden="1" customHeight="1">
      <c r="AC16" s="1281"/>
      <c r="AD16" s="1281"/>
      <c r="AE16" s="250" t="str">
        <f>AF15&amp;"-"&amp;AH15</f>
        <v>-</v>
      </c>
      <c r="AF16" s="8889"/>
      <c r="AG16" s="8889"/>
      <c r="AH16" s="8889"/>
      <c r="AI16" s="8889"/>
    </row>
    <row r="17" spans="1:42" ht="14.25" hidden="1" customHeight="1">
      <c r="AI17" s="249"/>
    </row>
    <row r="18" spans="1:42" s="1287" customFormat="1" ht="22.5" hidden="1" customHeight="1">
      <c r="L18" s="1393"/>
      <c r="M18" s="1283"/>
      <c r="N18" s="1283"/>
      <c r="O18" s="1288" t="s">
        <v>880</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881</v>
      </c>
      <c r="P20" s="1283"/>
      <c r="Q20" s="1361"/>
      <c r="R20" s="1361"/>
      <c r="S20" s="646"/>
      <c r="T20" s="1065" t="s">
        <v>882</v>
      </c>
      <c r="Z20" s="104" t="s">
        <v>883</v>
      </c>
      <c r="AB20" s="104" t="s">
        <v>884</v>
      </c>
      <c r="AC20" s="1065" t="s">
        <v>882</v>
      </c>
      <c r="AG20" s="104" t="s">
        <v>885</v>
      </c>
      <c r="AI20" s="104" t="s">
        <v>884</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88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8867"/>
      <c r="U24" s="8867"/>
      <c r="V24" s="8867"/>
      <c r="W24" s="8867"/>
      <c r="X24" s="8867"/>
      <c r="Y24" s="8867"/>
      <c r="Z24" s="8867"/>
      <c r="AA24" s="8867"/>
      <c r="AB24" s="8867"/>
      <c r="AC24" s="8867"/>
      <c r="AD24" s="8867"/>
      <c r="AE24" s="8867"/>
      <c r="AF24" s="8867"/>
      <c r="AG24" s="8867"/>
      <c r="AH24" s="8867"/>
      <c r="AI24" s="1157"/>
    </row>
    <row r="25" spans="1:42" ht="14.25" customHeight="1">
      <c r="Q25" s="300"/>
      <c r="R25" s="300"/>
      <c r="S25" s="8814" t="str">
        <f>IF(org=0,"Не определено",org)</f>
        <v>ГУП СК "Ставрополькрайводоканал"</v>
      </c>
      <c r="T25" s="8814"/>
      <c r="U25" s="8814"/>
      <c r="V25" s="8814"/>
      <c r="W25" s="8814"/>
      <c r="X25" s="8814"/>
      <c r="Y25" s="8814"/>
      <c r="Z25" s="8814"/>
      <c r="AA25" s="8814"/>
      <c r="AB25" s="8814"/>
      <c r="AC25" s="8814"/>
      <c r="AD25" s="8814"/>
      <c r="AE25" s="8814"/>
      <c r="AF25" s="8814"/>
      <c r="AG25" s="8814"/>
      <c r="AH25" s="8814"/>
      <c r="AI25" s="1157"/>
    </row>
    <row r="26" spans="1:42" ht="14.25" hidden="1"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hidden="1" customHeight="1">
      <c r="A27" s="1289"/>
      <c r="B27" s="1289"/>
      <c r="C27" s="1289"/>
      <c r="D27" s="1289"/>
      <c r="E27" s="1289"/>
      <c r="F27" s="1289"/>
      <c r="G27" s="1289"/>
      <c r="H27" s="1289"/>
      <c r="I27" s="1289"/>
      <c r="J27" s="1289"/>
      <c r="K27" s="1289"/>
      <c r="L27" s="1290"/>
      <c r="M27" s="1289"/>
      <c r="N27" s="1289"/>
      <c r="O27" s="1289"/>
      <c r="S27" s="8875" t="s">
        <v>38</v>
      </c>
      <c r="T27" s="8875"/>
      <c r="U27" s="1293"/>
      <c r="V27" s="8876" t="str">
        <f>IF(TITLE_NAME_OR_PR_CHANGE="",IF(TITLE_NAME_OR_PR="","",TITLE_NAME_OR_PR),TITLE_NAME_OR_PR_CHANGE)</f>
        <v/>
      </c>
      <c r="W27" s="8876"/>
      <c r="X27" s="8876"/>
      <c r="Y27" s="8876"/>
      <c r="Z27" s="8876"/>
      <c r="AA27" s="8876"/>
      <c r="AB27" s="248"/>
      <c r="AC27" s="8876" t="str">
        <f>IF(TITLE_NAME_OR_PR_CHANGE="",IF(TITLE_NAME_OR_PR="","",TITLE_NAME_OR_PR),TITLE_NAME_OR_PR_CHANGE)</f>
        <v/>
      </c>
      <c r="AD27" s="8876"/>
      <c r="AE27" s="8876"/>
      <c r="AF27" s="8876"/>
      <c r="AG27" s="8876"/>
      <c r="AH27" s="8876"/>
      <c r="AI27" s="248"/>
      <c r="AJ27" s="248"/>
      <c r="AK27" s="196"/>
      <c r="AL27" s="292"/>
      <c r="AM27" s="292"/>
      <c r="AN27" s="292"/>
      <c r="AO27" s="292"/>
      <c r="AP27" s="292"/>
    </row>
    <row r="28" spans="1:42" s="1771" customFormat="1" ht="18.75" hidden="1" customHeight="1">
      <c r="A28" s="1289"/>
      <c r="B28" s="1289"/>
      <c r="C28" s="1289"/>
      <c r="D28" s="1289"/>
      <c r="E28" s="1289"/>
      <c r="F28" s="1289"/>
      <c r="G28" s="1289"/>
      <c r="H28" s="1289"/>
      <c r="I28" s="1289"/>
      <c r="J28" s="1289"/>
      <c r="K28" s="1289"/>
      <c r="L28" s="1290"/>
      <c r="M28" s="1289"/>
      <c r="N28" s="1289"/>
      <c r="O28" s="1289"/>
      <c r="S28" s="8875" t="s">
        <v>886</v>
      </c>
      <c r="T28" s="8875"/>
      <c r="U28" s="1293"/>
      <c r="V28" s="8885">
        <f>IF(TITLE_DATE_PR_CHANGE="",IF(TITLE_DATE_PR="","",TITLE_DATE_PR),TITLE_DATE_PR_CHANGE)</f>
        <v>45281.411851851852</v>
      </c>
      <c r="W28" s="8885"/>
      <c r="X28" s="8885"/>
      <c r="Y28" s="8885"/>
      <c r="Z28" s="8885"/>
      <c r="AA28" s="8885"/>
      <c r="AB28" s="248"/>
      <c r="AC28" s="8885">
        <f>IF(TITLE_DATE_PR_CHANGE="",IF(TITLE_DATE_PR="","",TITLE_DATE_PR),TITLE_DATE_PR_CHANGE)</f>
        <v>45281.411851851852</v>
      </c>
      <c r="AD28" s="8885"/>
      <c r="AE28" s="8885"/>
      <c r="AF28" s="8885"/>
      <c r="AG28" s="8885"/>
      <c r="AH28" s="8885"/>
      <c r="AI28" s="248"/>
      <c r="AJ28" s="248"/>
      <c r="AK28" s="196"/>
      <c r="AL28" s="292"/>
      <c r="AM28" s="292"/>
      <c r="AN28" s="292"/>
      <c r="AO28" s="292"/>
      <c r="AP28" s="292"/>
    </row>
    <row r="29" spans="1:42" s="1771" customFormat="1" ht="18.75" hidden="1" customHeight="1">
      <c r="A29" s="1289"/>
      <c r="B29" s="1289"/>
      <c r="C29" s="1289"/>
      <c r="D29" s="1289"/>
      <c r="E29" s="1289"/>
      <c r="F29" s="1289"/>
      <c r="G29" s="1289"/>
      <c r="H29" s="1289"/>
      <c r="I29" s="1289"/>
      <c r="J29" s="1289"/>
      <c r="K29" s="1289"/>
      <c r="L29" s="1290"/>
      <c r="M29" s="1289"/>
      <c r="N29" s="1289"/>
      <c r="O29" s="1289"/>
      <c r="S29" s="8875" t="s">
        <v>887</v>
      </c>
      <c r="T29" s="8875"/>
      <c r="U29" s="1293"/>
      <c r="V29" s="8876" t="str">
        <f>IF(TITLE_NUMBER_PR_CHANGE="",IF(TITLE_NUMBER_PR="","",TITLE_NUMBER_PR),TITLE_NUMBER_PR_CHANGE)</f>
        <v>06-11/11398</v>
      </c>
      <c r="W29" s="8876"/>
      <c r="X29" s="8876"/>
      <c r="Y29" s="8876"/>
      <c r="Z29" s="8876"/>
      <c r="AA29" s="8876"/>
      <c r="AB29" s="248"/>
      <c r="AC29" s="8876" t="str">
        <f>IF(TITLE_NUMBER_PR_CHANGE="",IF(TITLE_NUMBER_PR="","",TITLE_NUMBER_PR),TITLE_NUMBER_PR_CHANGE)</f>
        <v>06-11/11398</v>
      </c>
      <c r="AD29" s="8876"/>
      <c r="AE29" s="8876"/>
      <c r="AF29" s="8876"/>
      <c r="AG29" s="8876"/>
      <c r="AH29" s="8876"/>
      <c r="AI29" s="248"/>
      <c r="AJ29" s="248"/>
      <c r="AK29" s="196"/>
      <c r="AL29" s="292"/>
      <c r="AM29" s="292"/>
      <c r="AN29" s="292"/>
      <c r="AO29" s="292"/>
      <c r="AP29" s="292"/>
    </row>
    <row r="30" spans="1:42" s="1771" customFormat="1" ht="18.75" hidden="1" customHeight="1">
      <c r="A30" s="1289"/>
      <c r="B30" s="1289"/>
      <c r="C30" s="1289"/>
      <c r="D30" s="1289"/>
      <c r="E30" s="1289"/>
      <c r="F30" s="1289"/>
      <c r="G30" s="1289"/>
      <c r="H30" s="1289"/>
      <c r="I30" s="1289"/>
      <c r="J30" s="1289"/>
      <c r="K30" s="1289"/>
      <c r="L30" s="1290"/>
      <c r="M30" s="1289"/>
      <c r="N30" s="1289"/>
      <c r="O30" s="1289"/>
      <c r="S30" s="8875" t="s">
        <v>39</v>
      </c>
      <c r="T30" s="8875"/>
      <c r="U30" s="1293"/>
      <c r="V30" s="8876" t="str">
        <f>IF(TITLE_IST_PUB_CHANGE="",IF(TITLE_IST_PUB="","",TITLE_IST_PUB),TITLE_IST_PUB_CHANGE)</f>
        <v/>
      </c>
      <c r="W30" s="8876"/>
      <c r="X30" s="8876"/>
      <c r="Y30" s="8876"/>
      <c r="Z30" s="8876"/>
      <c r="AA30" s="8876"/>
      <c r="AB30" s="248"/>
      <c r="AC30" s="8876" t="str">
        <f>IF(TITLE_IST_PUB_CHANGE="",IF(TITLE_IST_PUB="","",TITLE_IST_PUB),TITLE_IST_PUB_CHANGE)</f>
        <v/>
      </c>
      <c r="AD30" s="8876"/>
      <c r="AE30" s="8876"/>
      <c r="AF30" s="8876"/>
      <c r="AG30" s="8876"/>
      <c r="AH30" s="8876"/>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8875" t="s">
        <v>888</v>
      </c>
      <c r="T32" s="8875"/>
      <c r="U32" s="1293"/>
      <c r="V32" s="8885">
        <f>IF(TITLE_DATE_PR_CHANGE="",IF(TITLE_DATE_PR="","",TITLE_DATE_PR),TITLE_DATE_PR_CHANGE)</f>
        <v>45281.411851851852</v>
      </c>
      <c r="W32" s="8885"/>
      <c r="X32" s="8885"/>
      <c r="Y32" s="8885"/>
      <c r="Z32" s="8885"/>
      <c r="AA32" s="8885"/>
      <c r="AB32" s="248"/>
      <c r="AC32" s="8885">
        <f>IF(TITLE_DATE_PR_CHANGE="",IF(TITLE_DATE_PR="","",TITLE_DATE_PR),TITLE_DATE_PR_CHANGE)</f>
        <v>45281.411851851852</v>
      </c>
      <c r="AD32" s="8885"/>
      <c r="AE32" s="8885"/>
      <c r="AF32" s="8885"/>
      <c r="AG32" s="8885"/>
      <c r="AH32" s="8885"/>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8875" t="s">
        <v>889</v>
      </c>
      <c r="T33" s="8875"/>
      <c r="U33" s="1293"/>
      <c r="V33" s="8876" t="str">
        <f>IF(TITLE_NUMBER_PR_CHANGE="",IF(TITLE_NUMBER_PR="","",TITLE_NUMBER_PR),TITLE_NUMBER_PR_CHANGE)</f>
        <v>06-11/11398</v>
      </c>
      <c r="W33" s="8876"/>
      <c r="X33" s="8876"/>
      <c r="Y33" s="8876"/>
      <c r="Z33" s="8876"/>
      <c r="AA33" s="8876"/>
      <c r="AB33" s="248"/>
      <c r="AC33" s="8876" t="str">
        <f>IF(TITLE_NUMBER_PR_CHANGE="",IF(TITLE_NUMBER_PR="","",TITLE_NUMBER_PR),TITLE_NUMBER_PR_CHANGE)</f>
        <v>06-11/11398</v>
      </c>
      <c r="AD33" s="8876"/>
      <c r="AE33" s="8876"/>
      <c r="AF33" s="8876"/>
      <c r="AG33" s="8876"/>
      <c r="AH33" s="8876"/>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890</v>
      </c>
      <c r="AC34" s="248"/>
      <c r="AD34" s="248"/>
      <c r="AE34" s="248"/>
      <c r="AF34" s="248"/>
      <c r="AG34" s="248"/>
      <c r="AH34" s="248"/>
      <c r="AI34" s="194" t="s">
        <v>890</v>
      </c>
      <c r="AL34" s="292"/>
      <c r="AM34" s="292"/>
      <c r="AN34" s="292"/>
      <c r="AO34" s="292"/>
      <c r="AP34" s="292"/>
    </row>
    <row r="35" spans="1:42" ht="14.25" customHeight="1">
      <c r="Q35" s="300"/>
      <c r="R35" s="300"/>
      <c r="S35" s="1200"/>
      <c r="T35" s="286"/>
      <c r="U35" s="1158"/>
      <c r="V35" s="8877"/>
      <c r="W35" s="8877"/>
      <c r="X35" s="8877"/>
      <c r="Y35" s="8877"/>
      <c r="Z35" s="8877"/>
      <c r="AA35" s="8877"/>
      <c r="AB35" s="8877"/>
      <c r="AC35" s="8877"/>
      <c r="AD35" s="8877"/>
      <c r="AE35" s="8877"/>
      <c r="AF35" s="8877"/>
      <c r="AG35" s="8877"/>
      <c r="AH35" s="8877"/>
      <c r="AI35" s="8877"/>
    </row>
    <row r="36" spans="1:42" ht="14.25" customHeight="1">
      <c r="Q36" s="300"/>
      <c r="R36" s="300"/>
      <c r="S36" s="8753" t="s">
        <v>763</v>
      </c>
      <c r="T36" s="8753"/>
      <c r="U36" s="8753"/>
      <c r="V36" s="8753"/>
      <c r="W36" s="8753"/>
      <c r="X36" s="8753"/>
      <c r="Y36" s="8753"/>
      <c r="Z36" s="8753"/>
      <c r="AA36" s="8753"/>
      <c r="AB36" s="8753"/>
      <c r="AC36" s="8753"/>
      <c r="AD36" s="8753"/>
      <c r="AE36" s="8753"/>
      <c r="AF36" s="8753"/>
      <c r="AG36" s="8753"/>
      <c r="AH36" s="8753"/>
      <c r="AI36" s="8753"/>
      <c r="AJ36" s="8753"/>
      <c r="AK36" s="8753" t="s">
        <v>764</v>
      </c>
    </row>
    <row r="37" spans="1:42" ht="14.25" customHeight="1">
      <c r="Q37" s="300"/>
      <c r="R37" s="300"/>
      <c r="S37" s="8891" t="s">
        <v>84</v>
      </c>
      <c r="T37" s="8843" t="s">
        <v>891</v>
      </c>
      <c r="U37" s="215"/>
      <c r="V37" s="8892" t="s">
        <v>892</v>
      </c>
      <c r="W37" s="8893"/>
      <c r="X37" s="8893"/>
      <c r="Y37" s="8893"/>
      <c r="Z37" s="8893"/>
      <c r="AA37" s="8894"/>
      <c r="AB37" s="8895" t="s">
        <v>893</v>
      </c>
      <c r="AC37" s="8892" t="s">
        <v>892</v>
      </c>
      <c r="AD37" s="8893"/>
      <c r="AE37" s="8893"/>
      <c r="AF37" s="8893"/>
      <c r="AG37" s="8893"/>
      <c r="AH37" s="8894"/>
      <c r="AI37" s="8895" t="s">
        <v>894</v>
      </c>
      <c r="AJ37" s="8898" t="s">
        <v>895</v>
      </c>
      <c r="AK37" s="8753"/>
    </row>
    <row r="38" spans="1:42" ht="33.75" customHeight="1">
      <c r="Q38" s="300"/>
      <c r="R38" s="300"/>
      <c r="S38" s="8891"/>
      <c r="T38" s="8843"/>
      <c r="U38" s="942"/>
      <c r="V38" s="1398" t="s">
        <v>951</v>
      </c>
      <c r="W38" s="8724" t="s">
        <v>898</v>
      </c>
      <c r="X38" s="8723"/>
      <c r="Y38" s="8724" t="s">
        <v>899</v>
      </c>
      <c r="Z38" s="8729"/>
      <c r="AA38" s="8723"/>
      <c r="AB38" s="8896"/>
      <c r="AC38" s="1398" t="s">
        <v>951</v>
      </c>
      <c r="AD38" s="8724" t="s">
        <v>898</v>
      </c>
      <c r="AE38" s="8723"/>
      <c r="AF38" s="8724" t="s">
        <v>899</v>
      </c>
      <c r="AG38" s="8729"/>
      <c r="AH38" s="8723"/>
      <c r="AI38" s="8896"/>
      <c r="AJ38" s="8899"/>
      <c r="AK38" s="8753"/>
    </row>
    <row r="39" spans="1:42" ht="86.25" customHeight="1">
      <c r="A39" s="1291"/>
      <c r="B39" s="1291" t="s">
        <v>223</v>
      </c>
      <c r="C39" s="1291" t="s">
        <v>224</v>
      </c>
      <c r="D39" s="1291" t="s">
        <v>225</v>
      </c>
      <c r="E39" s="1285" t="s">
        <v>900</v>
      </c>
      <c r="F39" s="1285" t="s">
        <v>901</v>
      </c>
      <c r="G39" s="1285" t="s">
        <v>902</v>
      </c>
      <c r="H39" s="1285"/>
      <c r="I39" s="1285" t="s">
        <v>952</v>
      </c>
      <c r="J39" s="1285" t="s">
        <v>905</v>
      </c>
      <c r="K39" s="1285" t="s">
        <v>953</v>
      </c>
      <c r="L39" s="1285" t="s">
        <v>881</v>
      </c>
      <c r="Q39" s="300"/>
      <c r="R39" s="300"/>
      <c r="S39" s="8891"/>
      <c r="T39" s="8843"/>
      <c r="U39" s="216"/>
      <c r="V39" s="1398" t="s">
        <v>982</v>
      </c>
      <c r="W39" s="1133" t="s">
        <v>983</v>
      </c>
      <c r="X39" s="1133" t="s">
        <v>956</v>
      </c>
      <c r="Y39" s="1404" t="s">
        <v>909</v>
      </c>
      <c r="Z39" s="8851" t="s">
        <v>910</v>
      </c>
      <c r="AA39" s="8853"/>
      <c r="AB39" s="8897"/>
      <c r="AC39" s="1398" t="s">
        <v>982</v>
      </c>
      <c r="AD39" s="1133" t="s">
        <v>983</v>
      </c>
      <c r="AE39" s="1133" t="s">
        <v>956</v>
      </c>
      <c r="AF39" s="1404" t="s">
        <v>909</v>
      </c>
      <c r="AG39" s="8851" t="s">
        <v>910</v>
      </c>
      <c r="AH39" s="8853"/>
      <c r="AI39" s="8897"/>
      <c r="AJ39" s="8900"/>
      <c r="AK39" s="8753"/>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95</v>
      </c>
      <c r="T40" s="1177" t="s">
        <v>99</v>
      </c>
      <c r="U40" s="1159" t="str">
        <f ca="1">OFFSET(U40,0,-1)</f>
        <v>2</v>
      </c>
      <c r="V40" s="1397">
        <f ca="1">OFFSET(V40,0,-1)+1</f>
        <v>3</v>
      </c>
      <c r="W40" s="1397">
        <f ca="1">OFFSET(W40,0,-1)+1</f>
        <v>4</v>
      </c>
      <c r="X40" s="1397">
        <f ca="1">OFFSET(X40,0,-1)+1</f>
        <v>5</v>
      </c>
      <c r="Y40" s="1397">
        <f ca="1">OFFSET(Y40,0,-1)+1</f>
        <v>6</v>
      </c>
      <c r="Z40" s="8890">
        <f ca="1">OFFSET(Z40,0,-1)+1</f>
        <v>7</v>
      </c>
      <c r="AA40" s="8890"/>
      <c r="AB40" s="1397">
        <f ca="1">OFFSET(AB40,0,-2)+1</f>
        <v>8</v>
      </c>
      <c r="AC40" s="1397">
        <f ca="1">OFFSET(AC40,0,-1)+1</f>
        <v>9</v>
      </c>
      <c r="AD40" s="1397">
        <f ca="1">OFFSET(AD40,0,-1)+1</f>
        <v>10</v>
      </c>
      <c r="AE40" s="1397">
        <f ca="1">OFFSET(AE40,0,-1)+1</f>
        <v>11</v>
      </c>
      <c r="AF40" s="1397">
        <f ca="1">OFFSET(AF40,0,-1)+1</f>
        <v>12</v>
      </c>
      <c r="AG40" s="8890">
        <f ca="1">OFFSET(AG40,0,-1)+1</f>
        <v>13</v>
      </c>
      <c r="AH40" s="8890"/>
      <c r="AI40" s="1397">
        <f ca="1">OFFSET(AI40,0,-2)+1</f>
        <v>14</v>
      </c>
      <c r="AJ40" s="1159">
        <f ca="1">OFFSET(AJ40,0,-1)</f>
        <v>14</v>
      </c>
      <c r="AK40" s="1397">
        <f ca="1">OFFSET(AK40,0,-1)+1</f>
        <v>15</v>
      </c>
      <c r="AL40" s="435"/>
      <c r="AM40" s="435"/>
      <c r="AN40" s="435"/>
      <c r="AO40" s="435"/>
      <c r="AP40" s="435"/>
    </row>
    <row r="41" spans="1:42" ht="23.25" customHeight="1">
      <c r="A41" s="1284" t="s">
        <v>734</v>
      </c>
      <c r="B41" s="1284"/>
      <c r="C41" s="1284"/>
      <c r="D41" s="1284"/>
      <c r="E41" s="8883">
        <v>1</v>
      </c>
      <c r="F41" s="1284"/>
      <c r="G41" s="1284"/>
      <c r="H41" s="1284"/>
      <c r="I41" s="1284"/>
      <c r="J41" s="1284"/>
      <c r="K41" s="1284"/>
      <c r="L41" s="1285"/>
      <c r="M41" s="1286"/>
      <c r="N41" s="1286"/>
      <c r="O41" s="1286"/>
      <c r="P41" s="282"/>
      <c r="Q41" s="281"/>
      <c r="R41" s="276"/>
      <c r="S41" s="1408">
        <f>INDEX(PT_DIFFERENTIATION_NUM_NTAR,MATCH(A41,PT_DIFFERENTIATION_NTAR_ID,0))</f>
        <v>0</v>
      </c>
      <c r="T41" s="212" t="s">
        <v>211</v>
      </c>
      <c r="U41" s="214"/>
      <c r="V41" s="8869"/>
      <c r="W41" s="8870"/>
      <c r="X41" s="8870"/>
      <c r="Y41" s="8870"/>
      <c r="Z41" s="8870"/>
      <c r="AA41" s="8870"/>
      <c r="AB41" s="8871"/>
      <c r="AC41" s="8869" t="str">
        <f>INDEX(PT_DIFFERENTIATION_NTAR,MATCH(A41,PT_DIFFERENTIATION_NTAR_ID,0))</f>
        <v/>
      </c>
      <c r="AD41" s="8870"/>
      <c r="AE41" s="8870"/>
      <c r="AF41" s="8870"/>
      <c r="AG41" s="8870"/>
      <c r="AH41" s="8870"/>
      <c r="AI41" s="8870"/>
      <c r="AJ41" s="887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734</v>
      </c>
      <c r="B42" s="1284" t="s">
        <v>735</v>
      </c>
      <c r="C42" s="1284"/>
      <c r="D42" s="1284"/>
      <c r="E42" s="8884"/>
      <c r="F42" s="8883">
        <v>1</v>
      </c>
      <c r="G42" s="1284"/>
      <c r="H42" s="1284"/>
      <c r="I42" s="1284"/>
      <c r="J42" s="1284"/>
      <c r="K42" s="1284"/>
      <c r="L42" s="1285"/>
      <c r="M42" s="1286"/>
      <c r="N42" s="1286"/>
      <c r="O42" s="1286"/>
      <c r="P42" s="1402"/>
      <c r="Q42" s="273"/>
      <c r="R42" s="274"/>
      <c r="S42" s="1408" t="str">
        <f>INDEX(PT_DIFFERENTIATION_NUM_TER,MATCH(B42,PT_DIFFERENTIATION_TER_ID,0))</f>
        <v>.</v>
      </c>
      <c r="T42" s="224" t="s">
        <v>862</v>
      </c>
      <c r="U42" s="214"/>
      <c r="V42" s="8869"/>
      <c r="W42" s="8870"/>
      <c r="X42" s="8870"/>
      <c r="Y42" s="8870"/>
      <c r="Z42" s="8870"/>
      <c r="AA42" s="8870"/>
      <c r="AB42" s="8871"/>
      <c r="AC42" s="8869" t="str">
        <f>INDEX(PT_DIFFERENTIATION_TER,MATCH(B42,PT_DIFFERENTIATION_TER_ID,0))</f>
        <v/>
      </c>
      <c r="AD42" s="8870"/>
      <c r="AE42" s="8870"/>
      <c r="AF42" s="8870"/>
      <c r="AG42" s="8870"/>
      <c r="AH42" s="8870"/>
      <c r="AI42" s="8870"/>
      <c r="AJ42" s="8871"/>
      <c r="AK42" s="1182" t="s">
        <v>863</v>
      </c>
      <c r="AM42" s="424"/>
      <c r="AN42" s="424" t="str">
        <f t="shared" si="1"/>
        <v>Территория действия тарифа</v>
      </c>
      <c r="AO42" s="424"/>
      <c r="AP42" s="424"/>
    </row>
    <row r="43" spans="1:42" ht="23.25" customHeight="1">
      <c r="A43" s="1284" t="s">
        <v>734</v>
      </c>
      <c r="B43" s="1284" t="s">
        <v>735</v>
      </c>
      <c r="C43" s="1284" t="s">
        <v>736</v>
      </c>
      <c r="D43" s="1284"/>
      <c r="E43" s="8884"/>
      <c r="F43" s="8884"/>
      <c r="G43" s="8883">
        <v>1</v>
      </c>
      <c r="H43" s="1284"/>
      <c r="I43" s="1284"/>
      <c r="J43" s="1284"/>
      <c r="K43" s="1284"/>
      <c r="L43" s="1285"/>
      <c r="M43" s="1286"/>
      <c r="N43" s="1286"/>
      <c r="O43" s="1286"/>
      <c r="P43" s="275"/>
      <c r="Q43" s="273"/>
      <c r="R43" s="274"/>
      <c r="S43" s="1408" t="str">
        <f>INDEX(PT_DIFFERENTIATION_NUM_CS,MATCH(C43,PT_DIFFERENTIATION_CS_ID,0))</f>
        <v>..</v>
      </c>
      <c r="T43" s="225" t="s">
        <v>980</v>
      </c>
      <c r="U43" s="214"/>
      <c r="V43" s="8869"/>
      <c r="W43" s="8870"/>
      <c r="X43" s="8870"/>
      <c r="Y43" s="8870"/>
      <c r="Z43" s="8870"/>
      <c r="AA43" s="8870"/>
      <c r="AB43" s="8871"/>
      <c r="AC43" s="8869" t="str">
        <f>INDEX(PT_DIFFERENTIATION_CS,MATCH(C43,PT_DIFFERENTIATION_CS_ID,0))</f>
        <v/>
      </c>
      <c r="AD43" s="8870"/>
      <c r="AE43" s="8870"/>
      <c r="AF43" s="8870"/>
      <c r="AG43" s="8870"/>
      <c r="AH43" s="8870"/>
      <c r="AI43" s="8870"/>
      <c r="AJ43" s="8871"/>
      <c r="AK43" s="1182" t="s">
        <v>981</v>
      </c>
      <c r="AM43" s="424"/>
      <c r="AN43" s="424" t="str">
        <f t="shared" si="1"/>
        <v>Наименование централизованной системы водоотведения</v>
      </c>
      <c r="AO43" s="424"/>
      <c r="AP43" s="424"/>
    </row>
    <row r="44" spans="1:42" ht="23.25" customHeight="1">
      <c r="A44" s="1284" t="s">
        <v>734</v>
      </c>
      <c r="B44" s="1284" t="s">
        <v>735</v>
      </c>
      <c r="C44" s="1284" t="s">
        <v>736</v>
      </c>
      <c r="D44" s="1284" t="s">
        <v>985</v>
      </c>
      <c r="E44" s="8884"/>
      <c r="F44" s="8884"/>
      <c r="G44" s="8884"/>
      <c r="H44" s="8884"/>
      <c r="I44" s="8881" t="str">
        <f>S43&amp;".1"</f>
        <v>...1</v>
      </c>
      <c r="J44" s="1284"/>
      <c r="K44" s="1284"/>
      <c r="L44" s="1285"/>
      <c r="P44" s="8882">
        <v>1</v>
      </c>
      <c r="Q44" s="1396"/>
      <c r="R44" s="277"/>
      <c r="S44" s="1408" t="str">
        <f>$I44</f>
        <v>...1</v>
      </c>
      <c r="T44" s="200" t="s">
        <v>945</v>
      </c>
      <c r="U44" s="214"/>
      <c r="V44" s="8942"/>
      <c r="W44" s="8943"/>
      <c r="X44" s="8943"/>
      <c r="Y44" s="8943"/>
      <c r="Z44" s="8943"/>
      <c r="AA44" s="8943"/>
      <c r="AB44" s="8944"/>
      <c r="AC44" s="8945"/>
      <c r="AD44" s="8946"/>
      <c r="AE44" s="8946"/>
      <c r="AF44" s="8946"/>
      <c r="AG44" s="8946"/>
      <c r="AH44" s="8946"/>
      <c r="AI44" s="8946"/>
      <c r="AJ44" s="8947"/>
      <c r="AK44" s="1182" t="s">
        <v>946</v>
      </c>
      <c r="AM44" s="424"/>
      <c r="AN44" s="424" t="str">
        <f t="shared" si="1"/>
        <v>Наименование признака дифференциации</v>
      </c>
      <c r="AO44" s="424"/>
      <c r="AP44" s="424"/>
    </row>
    <row r="45" spans="1:42" ht="23.25" customHeight="1">
      <c r="A45" s="1284" t="s">
        <v>734</v>
      </c>
      <c r="B45" s="1284" t="s">
        <v>735</v>
      </c>
      <c r="C45" s="1284" t="s">
        <v>736</v>
      </c>
      <c r="D45" s="1284" t="s">
        <v>985</v>
      </c>
      <c r="E45" s="8884"/>
      <c r="F45" s="8884"/>
      <c r="G45" s="8884"/>
      <c r="H45" s="8884"/>
      <c r="I45" s="8904"/>
      <c r="J45" s="8881" t="str">
        <f>I44&amp;".1"</f>
        <v>...1.1</v>
      </c>
      <c r="K45" s="1284"/>
      <c r="L45" s="1285" t="s">
        <v>871</v>
      </c>
      <c r="P45" s="8882"/>
      <c r="Q45" s="8882">
        <v>1</v>
      </c>
      <c r="R45" s="278"/>
      <c r="S45" s="1408" t="str">
        <f>$J45</f>
        <v>...1.1</v>
      </c>
      <c r="T45" s="201" t="s">
        <v>872</v>
      </c>
      <c r="U45" s="214"/>
      <c r="V45" s="8872"/>
      <c r="W45" s="8873"/>
      <c r="X45" s="8873"/>
      <c r="Y45" s="8873"/>
      <c r="Z45" s="8873"/>
      <c r="AA45" s="8873"/>
      <c r="AB45" s="8874"/>
      <c r="AC45" s="8872"/>
      <c r="AD45" s="8873"/>
      <c r="AE45" s="8873"/>
      <c r="AF45" s="8873"/>
      <c r="AG45" s="8873"/>
      <c r="AH45" s="8873"/>
      <c r="AI45" s="8873"/>
      <c r="AJ45" s="8874"/>
      <c r="AK45" s="1231" t="s">
        <v>947</v>
      </c>
      <c r="AM45" s="424"/>
      <c r="AN45" s="424" t="str">
        <f t="shared" si="1"/>
        <v>Группа потребителей</v>
      </c>
      <c r="AO45" s="424"/>
      <c r="AP45" s="424"/>
    </row>
    <row r="46" spans="1:42" ht="23.25" customHeight="1">
      <c r="A46" s="1284" t="s">
        <v>734</v>
      </c>
      <c r="B46" s="1284" t="s">
        <v>735</v>
      </c>
      <c r="C46" s="1284" t="s">
        <v>736</v>
      </c>
      <c r="D46" s="1284" t="s">
        <v>985</v>
      </c>
      <c r="E46" s="8884"/>
      <c r="F46" s="8884"/>
      <c r="G46" s="8884"/>
      <c r="H46" s="8884"/>
      <c r="I46" s="8904"/>
      <c r="J46" s="8904"/>
      <c r="K46" s="8881" t="str">
        <f>J45&amp;".1"</f>
        <v>...1.1.1</v>
      </c>
      <c r="L46" s="1285"/>
      <c r="P46" s="8882"/>
      <c r="Q46" s="8882"/>
      <c r="R46" s="278">
        <v>1</v>
      </c>
      <c r="S46" s="1408" t="str">
        <f>$K46</f>
        <v>...1.1.1</v>
      </c>
      <c r="T46" s="1357"/>
      <c r="U46" s="214"/>
      <c r="V46" s="1281"/>
      <c r="W46" s="1281"/>
      <c r="X46" s="1282"/>
      <c r="Y46" s="8888"/>
      <c r="Z46" s="8889" t="s">
        <v>63</v>
      </c>
      <c r="AA46" s="8888"/>
      <c r="AB46" s="8889" t="s">
        <v>63</v>
      </c>
      <c r="AC46" s="666"/>
      <c r="AD46" s="666"/>
      <c r="AE46" s="1181"/>
      <c r="AF46" s="8886"/>
      <c r="AG46" s="8734" t="s">
        <v>63</v>
      </c>
      <c r="AH46" s="8905"/>
      <c r="AI46" s="8734" t="s">
        <v>53</v>
      </c>
      <c r="AJ46" s="1358"/>
      <c r="AK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734</v>
      </c>
      <c r="B47" s="1284" t="s">
        <v>735</v>
      </c>
      <c r="C47" s="1284" t="s">
        <v>736</v>
      </c>
      <c r="D47" s="1284" t="s">
        <v>985</v>
      </c>
      <c r="E47" s="8884"/>
      <c r="F47" s="8884"/>
      <c r="G47" s="8884"/>
      <c r="H47" s="8884"/>
      <c r="I47" s="8904"/>
      <c r="J47" s="8904"/>
      <c r="K47" s="8881"/>
      <c r="L47" s="1285"/>
      <c r="P47" s="8882"/>
      <c r="Q47" s="8882"/>
      <c r="R47" s="278"/>
      <c r="S47" s="1405"/>
      <c r="T47" s="214"/>
      <c r="U47" s="214"/>
      <c r="V47" s="1281"/>
      <c r="W47" s="1281"/>
      <c r="X47" s="250" t="str">
        <f>Y46&amp;"-"&amp;AA46</f>
        <v>-</v>
      </c>
      <c r="Y47" s="8889"/>
      <c r="Z47" s="8889"/>
      <c r="AA47" s="8889"/>
      <c r="AB47" s="8889"/>
      <c r="AC47" s="246"/>
      <c r="AD47" s="246"/>
      <c r="AE47" s="250" t="str">
        <f>AF46&amp;"-"&amp;AH46</f>
        <v>-</v>
      </c>
      <c r="AF47" s="8887"/>
      <c r="AG47" s="8734"/>
      <c r="AH47" s="8906"/>
      <c r="AI47" s="8734"/>
      <c r="AJ47" s="1359"/>
      <c r="AK47" s="8941"/>
      <c r="AM47" s="424"/>
      <c r="AN47" s="424" t="str">
        <f t="shared" si="1"/>
        <v/>
      </c>
      <c r="AO47" s="424"/>
      <c r="AP47" s="424"/>
    </row>
    <row r="48" spans="1:42" ht="21" customHeight="1">
      <c r="A48" s="1284" t="s">
        <v>734</v>
      </c>
      <c r="B48" s="1284" t="s">
        <v>735</v>
      </c>
      <c r="C48" s="1284" t="s">
        <v>736</v>
      </c>
      <c r="D48" s="1284" t="s">
        <v>985</v>
      </c>
      <c r="E48" s="8884"/>
      <c r="F48" s="8884"/>
      <c r="G48" s="8884"/>
      <c r="H48" s="8884"/>
      <c r="I48" s="8904"/>
      <c r="J48" s="8881"/>
      <c r="K48" s="1284"/>
      <c r="L48" s="1285"/>
      <c r="P48" s="8882"/>
      <c r="Q48" s="8882"/>
      <c r="R48" s="277"/>
      <c r="S48" s="1203"/>
      <c r="T48" s="202" t="s">
        <v>948</v>
      </c>
      <c r="U48" s="291"/>
      <c r="V48" s="291"/>
      <c r="W48" s="291"/>
      <c r="X48" s="291"/>
      <c r="Y48" s="291"/>
      <c r="Z48" s="291"/>
      <c r="AA48" s="291"/>
      <c r="AB48" s="291"/>
      <c r="AC48" s="291"/>
      <c r="AD48" s="291"/>
      <c r="AE48" s="291"/>
      <c r="AF48" s="291"/>
      <c r="AG48" s="291"/>
      <c r="AH48" s="291"/>
      <c r="AI48" s="291"/>
      <c r="AJ48" s="291"/>
      <c r="AK48" s="1182" t="s">
        <v>949</v>
      </c>
      <c r="AM48" s="424"/>
      <c r="AN48" s="424" t="str">
        <f t="shared" si="1"/>
        <v>Добавить значение признака дифференциации</v>
      </c>
      <c r="AO48" s="424"/>
      <c r="AP48" s="424"/>
    </row>
    <row r="49" spans="1:42" ht="21" customHeight="1">
      <c r="A49" s="1284" t="s">
        <v>734</v>
      </c>
      <c r="B49" s="1284" t="s">
        <v>735</v>
      </c>
      <c r="C49" s="1284" t="s">
        <v>736</v>
      </c>
      <c r="D49" s="1284" t="s">
        <v>985</v>
      </c>
      <c r="E49" s="8884"/>
      <c r="F49" s="8884"/>
      <c r="G49" s="8884"/>
      <c r="H49" s="8884"/>
      <c r="I49" s="8881"/>
      <c r="J49" s="1284"/>
      <c r="K49" s="1284"/>
      <c r="L49" s="1285"/>
      <c r="P49" s="8882"/>
      <c r="Q49" s="1396"/>
      <c r="R49" s="277"/>
      <c r="S49" s="1203"/>
      <c r="T49" s="288" t="s">
        <v>877</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734</v>
      </c>
      <c r="B50" s="1284" t="s">
        <v>735</v>
      </c>
      <c r="C50" s="1284" t="s">
        <v>736</v>
      </c>
      <c r="D50" s="1284" t="s">
        <v>985</v>
      </c>
      <c r="E50" s="8884"/>
      <c r="F50" s="8884"/>
      <c r="G50" s="8884"/>
      <c r="H50" s="8883"/>
      <c r="I50" s="1284"/>
      <c r="J50" s="1284"/>
      <c r="K50" s="1284"/>
      <c r="L50" s="1285"/>
      <c r="M50" s="1286"/>
      <c r="N50" s="1286"/>
      <c r="O50" s="460"/>
      <c r="P50" s="281"/>
      <c r="Q50" s="299"/>
      <c r="R50" s="276"/>
      <c r="S50" s="1203"/>
      <c r="T50" s="296" t="s">
        <v>950</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734</v>
      </c>
      <c r="B51" s="1265" t="s">
        <v>735</v>
      </c>
      <c r="C51" s="1237"/>
      <c r="D51" s="1237"/>
      <c r="E51" s="8884"/>
      <c r="F51" s="8883"/>
      <c r="G51" s="1237"/>
      <c r="H51" s="1237"/>
      <c r="I51" s="1237"/>
      <c r="J51" s="1237"/>
      <c r="K51" s="1237"/>
      <c r="L51" s="1409"/>
      <c r="M51" s="1244"/>
      <c r="N51" s="1244"/>
      <c r="P51" s="1239"/>
      <c r="Q51" s="1240"/>
      <c r="R51" s="1239"/>
      <c r="S51" s="1245"/>
      <c r="T51" s="1248" t="s">
        <v>314</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734</v>
      </c>
      <c r="B52" s="1265"/>
      <c r="C52" s="1265"/>
      <c r="D52" s="1265"/>
      <c r="E52" s="8883"/>
      <c r="F52" s="1265"/>
      <c r="G52" s="1265"/>
      <c r="H52" s="1265"/>
      <c r="I52" s="1265"/>
      <c r="J52" s="1265"/>
      <c r="K52" s="1265"/>
      <c r="L52" s="1268"/>
      <c r="M52" s="1244"/>
      <c r="N52" s="1244"/>
      <c r="O52" s="442"/>
      <c r="P52" s="308"/>
      <c r="Q52" s="1266"/>
      <c r="R52" s="308"/>
      <c r="S52" s="1245"/>
      <c r="T52" s="1248" t="s">
        <v>315</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706</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8903"/>
      <c r="U55" s="8903"/>
      <c r="V55" s="8903"/>
      <c r="W55" s="8903"/>
      <c r="X55" s="8903"/>
      <c r="Y55" s="8903"/>
      <c r="Z55" s="8903"/>
      <c r="AA55" s="8903"/>
      <c r="AB55" s="8903"/>
      <c r="AC55" s="8903"/>
      <c r="AD55" s="8903"/>
      <c r="AE55" s="8903"/>
      <c r="AF55" s="8903"/>
      <c r="AG55" s="8903"/>
      <c r="AH55" s="8903"/>
      <c r="AI55" s="8903"/>
      <c r="AJ55" s="8903"/>
      <c r="AK55" s="8903"/>
    </row>
    <row r="56" spans="1:42" ht="14.25" customHeight="1">
      <c r="O56" s="460"/>
    </row>
    <row r="57" spans="1:42" ht="14.25" customHeight="1">
      <c r="O57" s="460"/>
      <c r="S57" s="1169"/>
      <c r="T57" s="8903"/>
      <c r="U57" s="8903"/>
      <c r="V57" s="8903"/>
      <c r="W57" s="8903"/>
      <c r="X57" s="8903"/>
      <c r="Y57" s="8903"/>
      <c r="Z57" s="8903"/>
      <c r="AA57" s="8903"/>
      <c r="AB57" s="8903"/>
      <c r="AC57" s="8903"/>
      <c r="AD57" s="8903"/>
      <c r="AE57" s="8903"/>
      <c r="AF57" s="8903"/>
      <c r="AG57" s="8903"/>
      <c r="AH57" s="8903"/>
      <c r="AI57" s="8903"/>
      <c r="AJ57" s="8903"/>
      <c r="AK57" s="890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4"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8883">
        <v>1</v>
      </c>
      <c r="F2" s="1284"/>
      <c r="G2" s="1284"/>
      <c r="H2" s="1284"/>
      <c r="I2" s="1284"/>
      <c r="J2" s="1284"/>
      <c r="K2" s="1284"/>
      <c r="L2" s="1285"/>
      <c r="M2" s="1286"/>
      <c r="N2" s="1286"/>
      <c r="O2" s="1286"/>
      <c r="P2" s="1330"/>
      <c r="Q2" s="787"/>
      <c r="R2" s="276"/>
      <c r="S2" s="1408" t="e">
        <f>INDEX(PT_DIFFERENTIATION_NUM_NTAR,MATCH(A2,PT_DIFFERENTIATION_NTAR_ID,0))</f>
        <v>#N/A</v>
      </c>
      <c r="T2" s="212" t="s">
        <v>211</v>
      </c>
      <c r="U2" s="214"/>
      <c r="V2" s="8870"/>
      <c r="W2" s="8870"/>
      <c r="X2" s="8870"/>
      <c r="Y2" s="8870"/>
      <c r="Z2" s="8870"/>
      <c r="AA2" s="8870"/>
      <c r="AB2" s="8870"/>
      <c r="AC2" s="8871"/>
      <c r="AD2" s="8869" t="e">
        <f>INDEX(PT_DIFFERENTIATION_NTAR,MATCH(A2,PT_DIFFERENTIATION_NTAR_ID,0))</f>
        <v>#N/A</v>
      </c>
      <c r="AE2" s="8870"/>
      <c r="AF2" s="8870"/>
      <c r="AG2" s="8870"/>
      <c r="AH2" s="8870"/>
      <c r="AI2" s="8870"/>
      <c r="AJ2" s="8870"/>
      <c r="AK2" s="8870"/>
      <c r="AL2" s="8870"/>
      <c r="AM2" s="8870"/>
      <c r="AN2" s="8870"/>
      <c r="AO2" s="8870"/>
      <c r="AP2" s="8870"/>
      <c r="AQ2" s="8870"/>
      <c r="AR2" s="8870"/>
      <c r="AS2" s="8870"/>
      <c r="AT2" s="8870"/>
      <c r="AU2" s="8870"/>
      <c r="AV2" s="8870"/>
      <c r="AW2" s="8870"/>
      <c r="AX2" s="8870"/>
      <c r="AY2" s="8870"/>
      <c r="AZ2" s="8870"/>
      <c r="BA2" s="8870"/>
      <c r="BB2" s="887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8884"/>
      <c r="F3" s="8883">
        <v>1</v>
      </c>
      <c r="G3" s="1284"/>
      <c r="H3" s="1284"/>
      <c r="I3" s="1284"/>
      <c r="J3" s="1284"/>
      <c r="K3" s="1284"/>
      <c r="L3" s="1285"/>
      <c r="M3" s="1286"/>
      <c r="N3" s="1286"/>
      <c r="O3" s="1286"/>
      <c r="P3" s="1331"/>
      <c r="Q3" s="1332"/>
      <c r="R3" s="274"/>
      <c r="S3" s="1408" t="e">
        <f>INDEX(PT_DIFFERENTIATION_NUM_TER,MATCH(B3,PT_DIFFERENTIATION_TER_ID,0))</f>
        <v>#N/A</v>
      </c>
      <c r="T3" s="224" t="s">
        <v>862</v>
      </c>
      <c r="U3" s="214"/>
      <c r="V3" s="8870"/>
      <c r="W3" s="8870"/>
      <c r="X3" s="8870"/>
      <c r="Y3" s="8870"/>
      <c r="Z3" s="8870"/>
      <c r="AA3" s="8870"/>
      <c r="AB3" s="8870"/>
      <c r="AC3" s="8871"/>
      <c r="AD3" s="8869" t="e">
        <f>INDEX(PT_DIFFERENTIATION_TER,MATCH(B3,PT_DIFFERENTIATION_TER_ID,0))</f>
        <v>#N/A</v>
      </c>
      <c r="AE3" s="8870"/>
      <c r="AF3" s="8870"/>
      <c r="AG3" s="8870"/>
      <c r="AH3" s="8870"/>
      <c r="AI3" s="8870"/>
      <c r="AJ3" s="8870"/>
      <c r="AK3" s="8870"/>
      <c r="AL3" s="8870"/>
      <c r="AM3" s="8870"/>
      <c r="AN3" s="8870"/>
      <c r="AO3" s="8870"/>
      <c r="AP3" s="8870"/>
      <c r="AQ3" s="8870"/>
      <c r="AR3" s="8870"/>
      <c r="AS3" s="8870"/>
      <c r="AT3" s="8870"/>
      <c r="AU3" s="8870"/>
      <c r="AV3" s="8870"/>
      <c r="AW3" s="8870"/>
      <c r="AX3" s="8870"/>
      <c r="AY3" s="8870"/>
      <c r="AZ3" s="8870"/>
      <c r="BA3" s="8870"/>
      <c r="BB3" s="8871"/>
      <c r="BC3" s="1182" t="s">
        <v>863</v>
      </c>
      <c r="BE3" s="424"/>
      <c r="BF3" s="424" t="str">
        <f t="shared" si="0"/>
        <v>Территория действия тарифа</v>
      </c>
      <c r="BG3" s="424"/>
      <c r="BH3" s="424"/>
    </row>
    <row r="4" spans="1:60" ht="33.75" hidden="1" customHeight="1">
      <c r="A4" s="1284"/>
      <c r="B4" s="1284"/>
      <c r="C4" s="1284"/>
      <c r="D4" s="1284"/>
      <c r="E4" s="8884"/>
      <c r="F4" s="8884"/>
      <c r="G4" s="8883">
        <v>1</v>
      </c>
      <c r="H4" s="1284"/>
      <c r="I4" s="1284"/>
      <c r="J4" s="1284"/>
      <c r="K4" s="1284"/>
      <c r="L4" s="1285"/>
      <c r="M4" s="1286"/>
      <c r="N4" s="1286"/>
      <c r="O4" s="1286"/>
      <c r="P4" s="1333"/>
      <c r="Q4" s="1332"/>
      <c r="R4" s="274"/>
      <c r="S4" s="1408" t="e">
        <f>INDEX(PT_DIFFERENTIATION_NUM_CS,MATCH(C4,PT_DIFFERENTIATION_CS_ID,0))</f>
        <v>#N/A</v>
      </c>
      <c r="T4" s="225" t="s">
        <v>980</v>
      </c>
      <c r="U4" s="214"/>
      <c r="V4" s="8870"/>
      <c r="W4" s="8870"/>
      <c r="X4" s="8870"/>
      <c r="Y4" s="8870"/>
      <c r="Z4" s="8870"/>
      <c r="AA4" s="8870"/>
      <c r="AB4" s="8870"/>
      <c r="AC4" s="8871"/>
      <c r="AD4" s="8869" t="e">
        <f>INDEX(PT_DIFFERENTIATION_CS,MATCH(C4,PT_DIFFERENTIATION_CS_ID,0))</f>
        <v>#N/A</v>
      </c>
      <c r="AE4" s="8870"/>
      <c r="AF4" s="8870"/>
      <c r="AG4" s="8870"/>
      <c r="AH4" s="8870"/>
      <c r="AI4" s="8870"/>
      <c r="AJ4" s="8870"/>
      <c r="AK4" s="8870"/>
      <c r="AL4" s="8870"/>
      <c r="AM4" s="8870"/>
      <c r="AN4" s="8870"/>
      <c r="AO4" s="8870"/>
      <c r="AP4" s="8870"/>
      <c r="AQ4" s="8870"/>
      <c r="AR4" s="8870"/>
      <c r="AS4" s="8870"/>
      <c r="AT4" s="8870"/>
      <c r="AU4" s="8870"/>
      <c r="AV4" s="8870"/>
      <c r="AW4" s="8870"/>
      <c r="AX4" s="8870"/>
      <c r="AY4" s="8870"/>
      <c r="AZ4" s="8870"/>
      <c r="BA4" s="8870"/>
      <c r="BB4" s="8871"/>
      <c r="BC4" s="1182" t="s">
        <v>981</v>
      </c>
      <c r="BE4" s="424"/>
      <c r="BF4" s="424" t="str">
        <f t="shared" si="0"/>
        <v>Наименование централизованной системы водоотведения</v>
      </c>
      <c r="BG4" s="424"/>
      <c r="BH4" s="424"/>
    </row>
    <row r="5" spans="1:60" s="1562" customFormat="1" ht="14.25" hidden="1" customHeight="1">
      <c r="A5" s="1265"/>
      <c r="B5" s="1265"/>
      <c r="C5" s="1265"/>
      <c r="D5" s="1265"/>
      <c r="E5" s="8884"/>
      <c r="F5" s="8884"/>
      <c r="G5" s="8884"/>
      <c r="H5" s="8883">
        <v>1</v>
      </c>
      <c r="I5" s="1265"/>
      <c r="J5" s="1265"/>
      <c r="K5" s="1265"/>
      <c r="L5" s="1268"/>
      <c r="M5" s="1238"/>
      <c r="N5" s="1238"/>
      <c r="O5" s="1238"/>
      <c r="P5" s="1412"/>
      <c r="Q5" s="1413"/>
      <c r="R5" s="278"/>
      <c r="S5" s="953"/>
      <c r="T5" s="1414"/>
      <c r="U5" s="1305"/>
      <c r="V5" s="8911"/>
      <c r="W5" s="8911"/>
      <c r="X5" s="8911"/>
      <c r="Y5" s="8911"/>
      <c r="Z5" s="8911"/>
      <c r="AA5" s="8911"/>
      <c r="AB5" s="8911"/>
      <c r="AC5" s="8912"/>
      <c r="AD5" s="8910"/>
      <c r="AE5" s="8911"/>
      <c r="AF5" s="8911"/>
      <c r="AG5" s="8911"/>
      <c r="AH5" s="8911"/>
      <c r="AI5" s="8911"/>
      <c r="AJ5" s="8911"/>
      <c r="AK5" s="8911"/>
      <c r="AL5" s="8911"/>
      <c r="AM5" s="8911"/>
      <c r="AN5" s="8911"/>
      <c r="AO5" s="8911"/>
      <c r="AP5" s="8911"/>
      <c r="AQ5" s="8911"/>
      <c r="AR5" s="8911"/>
      <c r="AS5" s="8911"/>
      <c r="AT5" s="8911"/>
      <c r="AU5" s="8911"/>
      <c r="AV5" s="8911"/>
      <c r="AW5" s="8911"/>
      <c r="AX5" s="8911"/>
      <c r="AY5" s="8911"/>
      <c r="AZ5" s="8911"/>
      <c r="BA5" s="8911"/>
      <c r="BB5" s="8912"/>
      <c r="BC5" s="1306" t="s">
        <v>867</v>
      </c>
      <c r="BE5" s="424"/>
      <c r="BF5" s="424" t="str">
        <f t="shared" si="0"/>
        <v/>
      </c>
      <c r="BG5" s="424"/>
      <c r="BH5" s="424"/>
    </row>
    <row r="6" spans="1:60" s="1562" customFormat="1" ht="14.25" hidden="1" customHeight="1">
      <c r="A6" s="1265"/>
      <c r="B6" s="1265"/>
      <c r="C6" s="1265"/>
      <c r="D6" s="1265"/>
      <c r="E6" s="8884"/>
      <c r="F6" s="8884"/>
      <c r="G6" s="8884"/>
      <c r="H6" s="8884"/>
      <c r="I6" s="8881" t="str">
        <f>S5&amp;".1"</f>
        <v>.1</v>
      </c>
      <c r="J6" s="1265"/>
      <c r="K6" s="1265"/>
      <c r="L6" s="1268" t="s">
        <v>868</v>
      </c>
      <c r="M6" s="434"/>
      <c r="N6" s="434"/>
      <c r="O6" s="434"/>
      <c r="P6" s="8882">
        <v>1</v>
      </c>
      <c r="Q6" s="1396"/>
      <c r="R6" s="277"/>
      <c r="S6" s="953"/>
      <c r="T6" s="1304"/>
      <c r="U6" s="1305"/>
      <c r="V6" s="8911"/>
      <c r="W6" s="8911"/>
      <c r="X6" s="8911"/>
      <c r="Y6" s="8911"/>
      <c r="Z6" s="8911"/>
      <c r="AA6" s="8911"/>
      <c r="AB6" s="8911"/>
      <c r="AC6" s="8912"/>
      <c r="AD6" s="8910"/>
      <c r="AE6" s="8911"/>
      <c r="AF6" s="8911"/>
      <c r="AG6" s="8911"/>
      <c r="AH6" s="8911"/>
      <c r="AI6" s="8911"/>
      <c r="AJ6" s="8911"/>
      <c r="AK6" s="8911"/>
      <c r="AL6" s="8911"/>
      <c r="AM6" s="8911"/>
      <c r="AN6" s="8911"/>
      <c r="AO6" s="8911"/>
      <c r="AP6" s="8911"/>
      <c r="AQ6" s="8911"/>
      <c r="AR6" s="8911"/>
      <c r="AS6" s="8911"/>
      <c r="AT6" s="8911"/>
      <c r="AU6" s="8911"/>
      <c r="AV6" s="8911"/>
      <c r="AW6" s="8911"/>
      <c r="AX6" s="8911"/>
      <c r="AY6" s="8911"/>
      <c r="AZ6" s="8911"/>
      <c r="BA6" s="8911"/>
      <c r="BB6" s="8912"/>
      <c r="BC6" s="1306"/>
      <c r="BE6" s="424"/>
      <c r="BF6" s="424" t="str">
        <f t="shared" si="0"/>
        <v/>
      </c>
      <c r="BG6" s="424"/>
      <c r="BH6" s="424"/>
    </row>
    <row r="7" spans="1:60" s="1562" customFormat="1" ht="14.25" hidden="1" customHeight="1">
      <c r="A7" s="1265"/>
      <c r="B7" s="1265"/>
      <c r="C7" s="1265"/>
      <c r="D7" s="1265"/>
      <c r="E7" s="8884"/>
      <c r="F7" s="8884"/>
      <c r="G7" s="8884"/>
      <c r="H7" s="8884"/>
      <c r="I7" s="8904"/>
      <c r="J7" s="8881" t="str">
        <f>S5&amp;".1"</f>
        <v>.1</v>
      </c>
      <c r="K7" s="1265"/>
      <c r="L7" s="1268"/>
      <c r="M7" s="434"/>
      <c r="N7" s="434"/>
      <c r="O7" s="434"/>
      <c r="P7" s="8882"/>
      <c r="Q7" s="8882">
        <v>1</v>
      </c>
      <c r="R7" s="278"/>
      <c r="S7" s="953"/>
      <c r="T7" s="1320"/>
      <c r="U7" s="1305"/>
      <c r="V7" s="8911"/>
      <c r="W7" s="8911"/>
      <c r="X7" s="8911"/>
      <c r="Y7" s="8911"/>
      <c r="Z7" s="8911"/>
      <c r="AA7" s="8911"/>
      <c r="AB7" s="8911"/>
      <c r="AC7" s="8912"/>
      <c r="AD7" s="8910"/>
      <c r="AE7" s="8911"/>
      <c r="AF7" s="8911"/>
      <c r="AG7" s="8911"/>
      <c r="AH7" s="8911"/>
      <c r="AI7" s="8911"/>
      <c r="AJ7" s="8911"/>
      <c r="AK7" s="8911"/>
      <c r="AL7" s="8911"/>
      <c r="AM7" s="8911"/>
      <c r="AN7" s="8911"/>
      <c r="AO7" s="8911"/>
      <c r="AP7" s="8911"/>
      <c r="AQ7" s="8911"/>
      <c r="AR7" s="8911"/>
      <c r="AS7" s="8911"/>
      <c r="AT7" s="8911"/>
      <c r="AU7" s="8911"/>
      <c r="AV7" s="8911"/>
      <c r="AW7" s="8911"/>
      <c r="AX7" s="8911"/>
      <c r="AY7" s="8911"/>
      <c r="AZ7" s="8911"/>
      <c r="BA7" s="8911"/>
      <c r="BB7" s="8912"/>
      <c r="BC7" s="1306"/>
      <c r="BE7" s="424"/>
      <c r="BF7" s="424" t="str">
        <f t="shared" si="0"/>
        <v/>
      </c>
      <c r="BG7" s="424"/>
      <c r="BH7" s="424"/>
    </row>
    <row r="8" spans="1:60" ht="11.25" hidden="1" customHeight="1">
      <c r="A8" s="1284"/>
      <c r="B8" s="1284"/>
      <c r="C8" s="1284"/>
      <c r="D8" s="1284"/>
      <c r="E8" s="8884"/>
      <c r="F8" s="8884"/>
      <c r="G8" s="8884"/>
      <c r="H8" s="8884"/>
      <c r="I8" s="8904"/>
      <c r="J8" s="8904"/>
      <c r="K8" s="8881" t="e">
        <f>S4&amp;".1"</f>
        <v>#N/A</v>
      </c>
      <c r="L8" s="1285"/>
      <c r="P8" s="8882"/>
      <c r="Q8" s="8882"/>
      <c r="R8" s="8939">
        <v>1</v>
      </c>
      <c r="S8" s="8933" t="e">
        <f>$K8</f>
        <v>#N/A</v>
      </c>
      <c r="T8" s="8952"/>
      <c r="U8" s="214"/>
      <c r="V8" s="666"/>
      <c r="W8" s="1181"/>
      <c r="X8" s="666"/>
      <c r="Y8" s="1181"/>
      <c r="Z8" s="1653"/>
      <c r="AA8" s="1385" t="s">
        <v>63</v>
      </c>
      <c r="AB8" s="1653"/>
      <c r="AC8" s="1385" t="s">
        <v>63</v>
      </c>
      <c r="AD8" s="8808" t="s">
        <v>63</v>
      </c>
      <c r="AE8" s="8919"/>
      <c r="AF8" s="8838">
        <v>1</v>
      </c>
      <c r="AG8" s="8956"/>
      <c r="AH8" s="8734" t="s">
        <v>63</v>
      </c>
      <c r="AI8" s="8919"/>
      <c r="AJ8" s="8838">
        <v>1</v>
      </c>
      <c r="AK8" s="8955" t="s">
        <v>24</v>
      </c>
      <c r="AL8" s="8734" t="s">
        <v>63</v>
      </c>
      <c r="AM8" s="8828"/>
      <c r="AN8" s="8838">
        <v>1</v>
      </c>
      <c r="AO8" s="8949"/>
      <c r="AP8" s="8950" t="s">
        <v>63</v>
      </c>
      <c r="AQ8" s="227"/>
      <c r="AR8" s="1401">
        <v>1</v>
      </c>
      <c r="AS8" s="1407" t="s">
        <v>24</v>
      </c>
      <c r="AT8" s="666"/>
      <c r="AU8" s="1181"/>
      <c r="AV8" s="666"/>
      <c r="AW8" s="1181"/>
      <c r="AX8" s="1653"/>
      <c r="AY8" s="1385" t="s">
        <v>63</v>
      </c>
      <c r="AZ8" s="1653"/>
      <c r="BA8" s="1385" t="s">
        <v>63</v>
      </c>
      <c r="BB8" s="1270"/>
      <c r="BC8" s="8878" t="s">
        <v>965</v>
      </c>
      <c r="BE8" s="424"/>
      <c r="BF8" s="424" t="str">
        <f t="shared" si="0"/>
        <v/>
      </c>
      <c r="BG8" s="424"/>
      <c r="BH8" s="424"/>
    </row>
    <row r="9" spans="1:60" ht="11.25" hidden="1" customHeight="1">
      <c r="A9" s="1284"/>
      <c r="B9" s="1284"/>
      <c r="C9" s="1284"/>
      <c r="D9" s="1284"/>
      <c r="E9" s="8884"/>
      <c r="F9" s="8884"/>
      <c r="G9" s="8884"/>
      <c r="H9" s="8884"/>
      <c r="I9" s="8904"/>
      <c r="J9" s="8904"/>
      <c r="K9" s="8881"/>
      <c r="L9" s="1285"/>
      <c r="P9" s="8882"/>
      <c r="Q9" s="8882"/>
      <c r="R9" s="8939"/>
      <c r="S9" s="8934"/>
      <c r="T9" s="8953"/>
      <c r="U9" s="214"/>
      <c r="V9" s="1314"/>
      <c r="W9" s="1411"/>
      <c r="X9" s="1314"/>
      <c r="Y9" s="1411"/>
      <c r="Z9" s="1314"/>
      <c r="AA9" s="1314"/>
      <c r="AB9" s="1314"/>
      <c r="AC9" s="1314"/>
      <c r="AD9" s="8809"/>
      <c r="AE9" s="8919"/>
      <c r="AF9" s="8838"/>
      <c r="AG9" s="8956"/>
      <c r="AH9" s="8734"/>
      <c r="AI9" s="8919"/>
      <c r="AJ9" s="8838"/>
      <c r="AK9" s="8955"/>
      <c r="AL9" s="8734"/>
      <c r="AM9" s="8833"/>
      <c r="AN9" s="8838"/>
      <c r="AO9" s="8949"/>
      <c r="AP9" s="8951"/>
      <c r="AQ9" s="234"/>
      <c r="AR9" s="345"/>
      <c r="AS9" s="345" t="s">
        <v>966</v>
      </c>
      <c r="AT9" s="1314"/>
      <c r="AU9" s="1411"/>
      <c r="AV9" s="1314"/>
      <c r="AW9" s="1411"/>
      <c r="AX9" s="1314"/>
      <c r="AY9" s="1314"/>
      <c r="AZ9" s="1314"/>
      <c r="BA9" s="1314"/>
      <c r="BB9" s="1318"/>
      <c r="BC9" s="8879"/>
      <c r="BE9" s="424"/>
      <c r="BF9" s="424"/>
      <c r="BG9" s="424"/>
      <c r="BH9" s="424"/>
    </row>
    <row r="10" spans="1:60" ht="11.25" hidden="1" customHeight="1">
      <c r="A10" s="1284"/>
      <c r="B10" s="1284"/>
      <c r="C10" s="1284"/>
      <c r="D10" s="1284"/>
      <c r="E10" s="8884"/>
      <c r="F10" s="8884"/>
      <c r="G10" s="8884"/>
      <c r="H10" s="8884"/>
      <c r="I10" s="8904"/>
      <c r="J10" s="8904"/>
      <c r="K10" s="8881"/>
      <c r="L10" s="1285"/>
      <c r="P10" s="8882"/>
      <c r="Q10" s="8882"/>
      <c r="R10" s="8939"/>
      <c r="S10" s="8934"/>
      <c r="T10" s="8953"/>
      <c r="U10" s="214"/>
      <c r="V10" s="1314"/>
      <c r="W10" s="1411"/>
      <c r="X10" s="1314"/>
      <c r="Y10" s="1411"/>
      <c r="Z10" s="1314"/>
      <c r="AA10" s="1314"/>
      <c r="AB10" s="1314"/>
      <c r="AC10" s="1314"/>
      <c r="AD10" s="8809"/>
      <c r="AE10" s="8919"/>
      <c r="AF10" s="8838"/>
      <c r="AG10" s="8956"/>
      <c r="AH10" s="8734"/>
      <c r="AI10" s="8919"/>
      <c r="AJ10" s="8838"/>
      <c r="AK10" s="8955"/>
      <c r="AL10" s="8734"/>
      <c r="AM10" s="234"/>
      <c r="AN10" s="1415"/>
      <c r="AO10" s="1415" t="s">
        <v>986</v>
      </c>
      <c r="AP10" s="345"/>
      <c r="AQ10" s="345"/>
      <c r="AR10" s="345"/>
      <c r="AS10" s="1314"/>
      <c r="AT10" s="1314"/>
      <c r="AU10" s="1411"/>
      <c r="AV10" s="1314"/>
      <c r="AW10" s="1411"/>
      <c r="AX10" s="1314"/>
      <c r="AY10" s="1314"/>
      <c r="AZ10" s="1314"/>
      <c r="BA10" s="1314"/>
      <c r="BB10" s="1318"/>
      <c r="BC10" s="8879"/>
      <c r="BE10" s="424"/>
      <c r="BF10" s="424"/>
      <c r="BG10" s="424"/>
      <c r="BH10" s="424"/>
    </row>
    <row r="11" spans="1:60" ht="11.25" hidden="1" customHeight="1">
      <c r="A11" s="1284"/>
      <c r="B11" s="1284"/>
      <c r="C11" s="1284"/>
      <c r="D11" s="1284"/>
      <c r="E11" s="8884"/>
      <c r="F11" s="8884"/>
      <c r="G11" s="8884"/>
      <c r="H11" s="8884"/>
      <c r="I11" s="8904"/>
      <c r="J11" s="8904"/>
      <c r="K11" s="8881"/>
      <c r="L11" s="1285"/>
      <c r="P11" s="8882"/>
      <c r="Q11" s="8882"/>
      <c r="R11" s="8939"/>
      <c r="S11" s="8934"/>
      <c r="T11" s="8953"/>
      <c r="U11" s="214"/>
      <c r="V11" s="1314"/>
      <c r="W11" s="1411"/>
      <c r="X11" s="1314"/>
      <c r="Y11" s="1411"/>
      <c r="Z11" s="1314"/>
      <c r="AA11" s="1314"/>
      <c r="AB11" s="1314"/>
      <c r="AC11" s="1314"/>
      <c r="AD11" s="8809"/>
      <c r="AE11" s="8919"/>
      <c r="AF11" s="8838"/>
      <c r="AG11" s="8956"/>
      <c r="AH11" s="8734"/>
      <c r="AI11" s="208"/>
      <c r="AJ11" s="344"/>
      <c r="AK11" s="229" t="s">
        <v>987</v>
      </c>
      <c r="AL11" s="1314"/>
      <c r="AM11" s="1314"/>
      <c r="AN11" s="1314"/>
      <c r="AO11" s="1314"/>
      <c r="AP11" s="1314"/>
      <c r="AQ11" s="1314"/>
      <c r="AR11" s="1314"/>
      <c r="AS11" s="1314"/>
      <c r="AT11" s="1314"/>
      <c r="AU11" s="1411"/>
      <c r="AV11" s="1314"/>
      <c r="AW11" s="1411"/>
      <c r="AX11" s="1314"/>
      <c r="AY11" s="1314"/>
      <c r="AZ11" s="1314"/>
      <c r="BA11" s="1314"/>
      <c r="BB11" s="1318"/>
      <c r="BC11" s="8879"/>
      <c r="BE11" s="424"/>
      <c r="BF11" s="424"/>
      <c r="BG11" s="424"/>
      <c r="BH11" s="424"/>
    </row>
    <row r="12" spans="1:60" ht="11.25" hidden="1" customHeight="1">
      <c r="A12" s="1284"/>
      <c r="B12" s="1284"/>
      <c r="C12" s="1284"/>
      <c r="D12" s="1284"/>
      <c r="E12" s="8884"/>
      <c r="F12" s="8884"/>
      <c r="G12" s="8884"/>
      <c r="H12" s="8884"/>
      <c r="I12" s="8904"/>
      <c r="J12" s="8904"/>
      <c r="K12" s="8881"/>
      <c r="L12" s="1285"/>
      <c r="P12" s="8882"/>
      <c r="Q12" s="8882"/>
      <c r="R12" s="8939"/>
      <c r="S12" s="8935"/>
      <c r="T12" s="8954"/>
      <c r="U12" s="214"/>
      <c r="V12" s="1314"/>
      <c r="W12" s="1315" t="str">
        <f>Z8&amp;"-"&amp;AB8</f>
        <v>-</v>
      </c>
      <c r="X12" s="1314"/>
      <c r="Y12" s="1315" t="str">
        <f>AB8&amp;"-"&amp;AD8</f>
        <v>-да</v>
      </c>
      <c r="Z12" s="1314"/>
      <c r="AA12" s="1314"/>
      <c r="AB12" s="1314"/>
      <c r="AC12" s="1314"/>
      <c r="AD12" s="8739"/>
      <c r="AE12" s="228"/>
      <c r="AF12" s="230"/>
      <c r="AG12" s="345" t="s">
        <v>969</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8879"/>
      <c r="BE12" s="424"/>
      <c r="BF12" s="424" t="str">
        <f t="shared" ref="BF12:BF18" si="1">IF(T12="","",T12)</f>
        <v/>
      </c>
      <c r="BG12" s="424"/>
      <c r="BH12" s="424"/>
    </row>
    <row r="13" spans="1:60" ht="11.25" hidden="1" customHeight="1">
      <c r="A13" s="1284"/>
      <c r="B13" s="1284"/>
      <c r="C13" s="1284"/>
      <c r="D13" s="1284"/>
      <c r="E13" s="8884"/>
      <c r="F13" s="8884"/>
      <c r="G13" s="8884"/>
      <c r="H13" s="8884"/>
      <c r="I13" s="8904"/>
      <c r="J13" s="8881"/>
      <c r="K13" s="1284"/>
      <c r="L13" s="1285"/>
      <c r="P13" s="8882"/>
      <c r="Q13" s="8882"/>
      <c r="R13" s="277"/>
      <c r="S13" s="1203"/>
      <c r="T13" s="202" t="s">
        <v>929</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8880"/>
      <c r="BE13" s="424"/>
      <c r="BF13" s="424" t="str">
        <f t="shared" si="1"/>
        <v>Добавить строку</v>
      </c>
      <c r="BG13" s="424"/>
      <c r="BH13" s="424"/>
    </row>
    <row r="14" spans="1:60" s="1562" customFormat="1" ht="14.25" hidden="1" customHeight="1">
      <c r="A14" s="1265"/>
      <c r="B14" s="1265"/>
      <c r="C14" s="1265"/>
      <c r="D14" s="1265"/>
      <c r="E14" s="8884"/>
      <c r="F14" s="8884"/>
      <c r="G14" s="8884"/>
      <c r="H14" s="8884"/>
      <c r="I14" s="8881"/>
      <c r="J14" s="1265"/>
      <c r="K14" s="1265"/>
      <c r="L14" s="1268"/>
      <c r="M14" s="434"/>
      <c r="N14" s="434"/>
      <c r="O14" s="434"/>
      <c r="P14" s="8882"/>
      <c r="Q14" s="1396"/>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8884"/>
      <c r="F15" s="8884"/>
      <c r="G15" s="8884"/>
      <c r="H15" s="8883"/>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8884"/>
      <c r="F16" s="8884"/>
      <c r="G16" s="8883"/>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8884"/>
      <c r="F17" s="8883"/>
      <c r="G17" s="1237"/>
      <c r="H17" s="1237"/>
      <c r="I17" s="1237"/>
      <c r="J17" s="1237"/>
      <c r="K17" s="1237"/>
      <c r="L17" s="1409"/>
      <c r="M17" s="1244"/>
      <c r="N17" s="1244"/>
      <c r="P17" s="1239"/>
      <c r="Q17" s="1240"/>
      <c r="R17" s="1239"/>
      <c r="S17" s="1245"/>
      <c r="T17" s="1248" t="s">
        <v>314</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8883"/>
      <c r="F18" s="1265"/>
      <c r="G18" s="1265"/>
      <c r="H18" s="1265"/>
      <c r="I18" s="1265"/>
      <c r="J18" s="1265"/>
      <c r="K18" s="1265"/>
      <c r="L18" s="1268"/>
      <c r="M18" s="1244"/>
      <c r="N18" s="1244"/>
      <c r="O18" s="442"/>
      <c r="P18" s="308"/>
      <c r="Q18" s="1266"/>
      <c r="R18" s="308"/>
      <c r="S18" s="1245"/>
      <c r="T18" s="1248" t="s">
        <v>315</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53</v>
      </c>
      <c r="AE20" s="1416"/>
      <c r="AF20" s="471">
        <v>1</v>
      </c>
      <c r="AG20" s="1417"/>
      <c r="AH20" s="1247" t="s">
        <v>53</v>
      </c>
      <c r="AI20" s="1416"/>
      <c r="AJ20" s="471">
        <v>1</v>
      </c>
      <c r="AK20" s="1417"/>
      <c r="AL20" s="1247" t="s">
        <v>53</v>
      </c>
      <c r="AM20" s="1418"/>
      <c r="AN20" s="471">
        <v>1</v>
      </c>
      <c r="AO20" s="1419"/>
      <c r="AP20" s="1247" t="s">
        <v>53</v>
      </c>
      <c r="AQ20" s="1418"/>
      <c r="AR20" s="471">
        <v>1</v>
      </c>
      <c r="AS20" s="1419"/>
      <c r="AT20" s="246"/>
      <c r="AU20" s="313"/>
      <c r="AV20" s="246"/>
      <c r="AW20" s="313"/>
      <c r="AX20" s="1655"/>
      <c r="AY20" s="1400" t="s">
        <v>63</v>
      </c>
      <c r="AZ20" s="1655"/>
      <c r="BA20" s="1400" t="s">
        <v>63</v>
      </c>
    </row>
    <row r="21" spans="1:60" ht="14.25" hidden="1" customHeight="1">
      <c r="BD21" s="420"/>
      <c r="BE21" s="420"/>
      <c r="BF21" s="420"/>
      <c r="BG21" s="420"/>
      <c r="BH21" s="420"/>
    </row>
    <row r="22" spans="1:60" ht="14.25" hidden="1" customHeight="1">
      <c r="O22" s="1288" t="s">
        <v>880</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881</v>
      </c>
      <c r="P24" s="1423"/>
      <c r="Q24" s="1425"/>
      <c r="R24" s="1425"/>
      <c r="AA24" s="1422" t="s">
        <v>883</v>
      </c>
      <c r="AC24" s="1422" t="s">
        <v>884</v>
      </c>
      <c r="AD24" s="1422" t="s">
        <v>930</v>
      </c>
      <c r="AH24" s="1422" t="s">
        <v>930</v>
      </c>
      <c r="AK24" s="1422" t="s">
        <v>970</v>
      </c>
      <c r="AL24" s="1422" t="s">
        <v>930</v>
      </c>
      <c r="AP24" s="1422" t="s">
        <v>930</v>
      </c>
      <c r="AY24" s="1422" t="s">
        <v>883</v>
      </c>
      <c r="BA24" s="1422" t="s">
        <v>884</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88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8867"/>
      <c r="U28" s="8867"/>
      <c r="V28" s="8867"/>
      <c r="W28" s="8867"/>
      <c r="X28" s="8867"/>
      <c r="Y28" s="8867"/>
      <c r="Z28" s="8867"/>
      <c r="AA28" s="8867"/>
      <c r="AB28" s="8867"/>
      <c r="AC28" s="8867"/>
      <c r="AD28" s="8867"/>
      <c r="AE28" s="8867"/>
      <c r="AF28" s="8867"/>
      <c r="AG28" s="8867"/>
      <c r="AH28" s="8867"/>
      <c r="AI28" s="8867"/>
      <c r="AJ28" s="8867"/>
      <c r="AK28" s="8867"/>
      <c r="AL28" s="8867"/>
      <c r="AM28" s="8867"/>
      <c r="AN28" s="8867"/>
      <c r="AO28" s="8867"/>
      <c r="AP28" s="8867"/>
      <c r="AQ28" s="8867"/>
      <c r="AR28" s="8867"/>
      <c r="AS28" s="8867"/>
      <c r="AT28" s="8867"/>
      <c r="AU28" s="8867"/>
      <c r="AV28" s="8867"/>
      <c r="AW28" s="8867"/>
      <c r="AX28" s="8867"/>
      <c r="AY28" s="8867"/>
      <c r="AZ28" s="8867"/>
      <c r="BA28" s="1157"/>
    </row>
    <row r="29" spans="1:60" ht="14.25" customHeight="1">
      <c r="Q29" s="206"/>
      <c r="R29" s="300"/>
      <c r="S29" s="8814" t="str">
        <f>IF(org=0,"Не определено",org)</f>
        <v>ГУП СК "Ставрополькрайводоканал"</v>
      </c>
      <c r="T29" s="8814"/>
      <c r="U29" s="8814"/>
      <c r="V29" s="8814"/>
      <c r="W29" s="8814"/>
      <c r="X29" s="8814"/>
      <c r="Y29" s="8814"/>
      <c r="Z29" s="8814"/>
      <c r="AA29" s="8814"/>
      <c r="AB29" s="8814"/>
      <c r="AC29" s="8814"/>
      <c r="AD29" s="8814"/>
      <c r="AE29" s="8814"/>
      <c r="AF29" s="8814"/>
      <c r="AG29" s="8814"/>
      <c r="AH29" s="8814"/>
      <c r="AI29" s="8814"/>
      <c r="AJ29" s="8814"/>
      <c r="AK29" s="8814"/>
      <c r="AL29" s="8814"/>
      <c r="AM29" s="8814"/>
      <c r="AN29" s="8814"/>
      <c r="AO29" s="8814"/>
      <c r="AP29" s="8814"/>
      <c r="AQ29" s="8814"/>
      <c r="AR29" s="8814"/>
      <c r="AS29" s="8814"/>
      <c r="AT29" s="8814"/>
      <c r="AU29" s="8814"/>
      <c r="AV29" s="8814"/>
      <c r="AW29" s="8814"/>
      <c r="AX29" s="8814"/>
      <c r="AY29" s="8814"/>
      <c r="AZ29" s="8814"/>
      <c r="BA29" s="1157"/>
    </row>
    <row r="30" spans="1:60" ht="14.25" hidden="1"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hidden="1" customHeight="1">
      <c r="A31" s="1289"/>
      <c r="B31" s="1289"/>
      <c r="C31" s="1289"/>
      <c r="D31" s="1289"/>
      <c r="E31" s="1289"/>
      <c r="F31" s="1289"/>
      <c r="G31" s="1289"/>
      <c r="H31" s="1289"/>
      <c r="I31" s="1289"/>
      <c r="J31" s="1289"/>
      <c r="K31" s="1289"/>
      <c r="L31" s="1290"/>
      <c r="M31" s="1289"/>
      <c r="N31" s="1289"/>
      <c r="O31" s="1289"/>
      <c r="P31" s="1289"/>
      <c r="Q31" s="1289"/>
      <c r="S31" s="8875" t="s">
        <v>38</v>
      </c>
      <c r="T31" s="8875"/>
      <c r="U31" s="1293"/>
      <c r="V31" s="8876" t="str">
        <f>IF(TITLE_NAME_OR_PR_CHANGE="",IF(TITLE_NAME_OR_PR="","",TITLE_NAME_OR_PR),TITLE_NAME_OR_PR_CHANGE)</f>
        <v/>
      </c>
      <c r="W31" s="8876"/>
      <c r="X31" s="8876"/>
      <c r="Y31" s="8876"/>
      <c r="Z31" s="8876"/>
      <c r="AA31" s="8876"/>
      <c r="AB31" s="8876"/>
      <c r="AC31" s="248"/>
      <c r="AD31" s="8876" t="str">
        <f>IF(TITLE_NAME_OR_PR_CHANGE="",IF(TITLE_NAME_OR_PR="","",TITLE_NAME_OR_PR),TITLE_NAME_OR_PR_CHANGE)</f>
        <v/>
      </c>
      <c r="AE31" s="8876"/>
      <c r="AF31" s="8876"/>
      <c r="AG31" s="8876"/>
      <c r="AH31" s="8876"/>
      <c r="AI31" s="8876"/>
      <c r="AJ31" s="8876"/>
      <c r="AK31" s="8876"/>
      <c r="AL31" s="8876"/>
      <c r="AM31" s="8876"/>
      <c r="AN31" s="8876"/>
      <c r="AO31" s="8876"/>
      <c r="AP31" s="8876"/>
      <c r="AQ31" s="8876"/>
      <c r="AR31" s="8876"/>
      <c r="AS31" s="8876"/>
      <c r="AT31" s="8876"/>
      <c r="AU31" s="8876"/>
      <c r="AV31" s="8876"/>
      <c r="AW31" s="8876"/>
      <c r="AX31" s="8876"/>
      <c r="AY31" s="8876"/>
      <c r="AZ31" s="8876"/>
      <c r="BA31" s="248"/>
      <c r="BB31" s="248"/>
      <c r="BC31" s="196"/>
      <c r="BD31" s="292"/>
      <c r="BE31" s="292"/>
      <c r="BF31" s="292"/>
      <c r="BG31" s="292"/>
      <c r="BH31" s="292"/>
    </row>
    <row r="32" spans="1:60" s="1771" customFormat="1" ht="18.75" hidden="1" customHeight="1">
      <c r="A32" s="1289"/>
      <c r="B32" s="1289"/>
      <c r="C32" s="1289"/>
      <c r="D32" s="1289"/>
      <c r="E32" s="1289"/>
      <c r="F32" s="1289"/>
      <c r="G32" s="1289"/>
      <c r="H32" s="1289"/>
      <c r="I32" s="1289"/>
      <c r="J32" s="1289"/>
      <c r="K32" s="1289"/>
      <c r="L32" s="1290"/>
      <c r="M32" s="1289"/>
      <c r="N32" s="1289"/>
      <c r="O32" s="1289"/>
      <c r="P32" s="1289"/>
      <c r="Q32" s="1289"/>
      <c r="S32" s="8875" t="s">
        <v>886</v>
      </c>
      <c r="T32" s="8875"/>
      <c r="U32" s="1293"/>
      <c r="V32" s="8885">
        <f>IF(TITLE_DATE_PR_CHANGE="",IF(TITLE_DATE_PR="","",TITLE_DATE_PR),TITLE_DATE_PR_CHANGE)</f>
        <v>45281.411851851852</v>
      </c>
      <c r="W32" s="8885"/>
      <c r="X32" s="8885"/>
      <c r="Y32" s="8885"/>
      <c r="Z32" s="8885"/>
      <c r="AA32" s="8885"/>
      <c r="AB32" s="8885"/>
      <c r="AC32" s="248"/>
      <c r="AD32" s="8885">
        <f>IF(TITLE_DATE_PR_CHANGE="",IF(TITLE_DATE_PR="","",TITLE_DATE_PR),TITLE_DATE_PR_CHANGE)</f>
        <v>45281.411851851852</v>
      </c>
      <c r="AE32" s="8885"/>
      <c r="AF32" s="8885"/>
      <c r="AG32" s="8885"/>
      <c r="AH32" s="8885"/>
      <c r="AI32" s="8885"/>
      <c r="AJ32" s="8885"/>
      <c r="AK32" s="8885"/>
      <c r="AL32" s="8885"/>
      <c r="AM32" s="8885"/>
      <c r="AN32" s="8885"/>
      <c r="AO32" s="8885"/>
      <c r="AP32" s="8885"/>
      <c r="AQ32" s="8885"/>
      <c r="AR32" s="8885"/>
      <c r="AS32" s="8885"/>
      <c r="AT32" s="8885"/>
      <c r="AU32" s="8885"/>
      <c r="AV32" s="8885"/>
      <c r="AW32" s="8885"/>
      <c r="AX32" s="8885"/>
      <c r="AY32" s="8885"/>
      <c r="AZ32" s="8885"/>
      <c r="BA32" s="248"/>
      <c r="BB32" s="248"/>
      <c r="BC32" s="196"/>
      <c r="BD32" s="292"/>
      <c r="BE32" s="292"/>
      <c r="BF32" s="292"/>
      <c r="BG32" s="292"/>
      <c r="BH32" s="292"/>
    </row>
    <row r="33" spans="1:60" s="1771" customFormat="1" ht="18.75" hidden="1" customHeight="1">
      <c r="A33" s="1289"/>
      <c r="B33" s="1289"/>
      <c r="C33" s="1289"/>
      <c r="D33" s="1289"/>
      <c r="E33" s="1289"/>
      <c r="F33" s="1289"/>
      <c r="G33" s="1289"/>
      <c r="H33" s="1289"/>
      <c r="I33" s="1289"/>
      <c r="J33" s="1289"/>
      <c r="K33" s="1289"/>
      <c r="L33" s="1290"/>
      <c r="M33" s="1289"/>
      <c r="N33" s="1289"/>
      <c r="O33" s="1289"/>
      <c r="P33" s="1289"/>
      <c r="Q33" s="1289"/>
      <c r="S33" s="8875" t="s">
        <v>887</v>
      </c>
      <c r="T33" s="8875"/>
      <c r="U33" s="1293"/>
      <c r="V33" s="8876" t="str">
        <f>IF(TITLE_NUMBER_PR_CHANGE="",IF(TITLE_NUMBER_PR="","",TITLE_NUMBER_PR),TITLE_NUMBER_PR_CHANGE)</f>
        <v>06-11/11398</v>
      </c>
      <c r="W33" s="8876"/>
      <c r="X33" s="8876"/>
      <c r="Y33" s="8876"/>
      <c r="Z33" s="8876"/>
      <c r="AA33" s="8876"/>
      <c r="AB33" s="8876"/>
      <c r="AC33" s="248"/>
      <c r="AD33" s="8876" t="str">
        <f>IF(TITLE_NUMBER_PR_CHANGE="",IF(TITLE_NUMBER_PR="","",TITLE_NUMBER_PR),TITLE_NUMBER_PR_CHANGE)</f>
        <v>06-11/11398</v>
      </c>
      <c r="AE33" s="8876"/>
      <c r="AF33" s="8876"/>
      <c r="AG33" s="8876"/>
      <c r="AH33" s="8876"/>
      <c r="AI33" s="8876"/>
      <c r="AJ33" s="8876"/>
      <c r="AK33" s="8876"/>
      <c r="AL33" s="8876"/>
      <c r="AM33" s="8876"/>
      <c r="AN33" s="8876"/>
      <c r="AO33" s="8876"/>
      <c r="AP33" s="8876"/>
      <c r="AQ33" s="8876"/>
      <c r="AR33" s="8876"/>
      <c r="AS33" s="8876"/>
      <c r="AT33" s="8876"/>
      <c r="AU33" s="8876"/>
      <c r="AV33" s="8876"/>
      <c r="AW33" s="8876"/>
      <c r="AX33" s="8876"/>
      <c r="AY33" s="8876"/>
      <c r="AZ33" s="8876"/>
      <c r="BA33" s="248"/>
      <c r="BB33" s="248"/>
      <c r="BC33" s="196"/>
      <c r="BD33" s="292"/>
      <c r="BE33" s="292"/>
      <c r="BF33" s="292"/>
      <c r="BG33" s="292"/>
      <c r="BH33" s="292"/>
    </row>
    <row r="34" spans="1:60" s="1771" customFormat="1" ht="18.75" hidden="1" customHeight="1">
      <c r="A34" s="1289"/>
      <c r="B34" s="1289"/>
      <c r="C34" s="1289"/>
      <c r="D34" s="1289"/>
      <c r="E34" s="1289"/>
      <c r="F34" s="1289"/>
      <c r="G34" s="1289"/>
      <c r="H34" s="1289"/>
      <c r="I34" s="1289"/>
      <c r="J34" s="1289"/>
      <c r="K34" s="1289"/>
      <c r="L34" s="1290"/>
      <c r="M34" s="1289"/>
      <c r="N34" s="1289"/>
      <c r="O34" s="1289"/>
      <c r="P34" s="1289"/>
      <c r="Q34" s="1289"/>
      <c r="S34" s="8875" t="s">
        <v>39</v>
      </c>
      <c r="T34" s="8875"/>
      <c r="U34" s="1293"/>
      <c r="V34" s="8876" t="str">
        <f>IF(TITLE_IST_PUB_CHANGE="",IF(TITLE_IST_PUB="","",TITLE_IST_PUB),TITLE_IST_PUB_CHANGE)</f>
        <v/>
      </c>
      <c r="W34" s="8876"/>
      <c r="X34" s="8876"/>
      <c r="Y34" s="8876"/>
      <c r="Z34" s="8876"/>
      <c r="AA34" s="8876"/>
      <c r="AB34" s="8876"/>
      <c r="AC34" s="248"/>
      <c r="AD34" s="8876" t="str">
        <f>IF(TITLE_IST_PUB_CHANGE="",IF(TITLE_IST_PUB="","",TITLE_IST_PUB),TITLE_IST_PUB_CHANGE)</f>
        <v/>
      </c>
      <c r="AE34" s="8876"/>
      <c r="AF34" s="8876"/>
      <c r="AG34" s="8876"/>
      <c r="AH34" s="8876"/>
      <c r="AI34" s="8876"/>
      <c r="AJ34" s="8876"/>
      <c r="AK34" s="8876"/>
      <c r="AL34" s="8876"/>
      <c r="AM34" s="8876"/>
      <c r="AN34" s="8876"/>
      <c r="AO34" s="8876"/>
      <c r="AP34" s="8876"/>
      <c r="AQ34" s="8876"/>
      <c r="AR34" s="8876"/>
      <c r="AS34" s="8876"/>
      <c r="AT34" s="8876"/>
      <c r="AU34" s="8876"/>
      <c r="AV34" s="8876"/>
      <c r="AW34" s="8876"/>
      <c r="AX34" s="8876"/>
      <c r="AY34" s="8876"/>
      <c r="AZ34" s="8876"/>
      <c r="BA34" s="248"/>
      <c r="BB34" s="248"/>
      <c r="BC34" s="196"/>
      <c r="BD34" s="292"/>
      <c r="BE34" s="292"/>
      <c r="BF34" s="292"/>
      <c r="BG34" s="292"/>
      <c r="BH34" s="292"/>
    </row>
    <row r="35" spans="1:60" ht="14.25"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customHeight="1">
      <c r="A36" s="1289"/>
      <c r="B36" s="1289"/>
      <c r="C36" s="1289"/>
      <c r="D36" s="1289"/>
      <c r="E36" s="1289"/>
      <c r="F36" s="1289"/>
      <c r="G36" s="1289"/>
      <c r="H36" s="1289"/>
      <c r="I36" s="1289"/>
      <c r="J36" s="1289"/>
      <c r="K36" s="1289"/>
      <c r="L36" s="1290"/>
      <c r="M36" s="1289"/>
      <c r="N36" s="1289"/>
      <c r="O36" s="1289"/>
      <c r="P36" s="1289"/>
      <c r="Q36" s="1289"/>
      <c r="S36" s="8875" t="s">
        <v>886</v>
      </c>
      <c r="T36" s="8875"/>
      <c r="U36" s="1293"/>
      <c r="V36" s="8885">
        <f>IF(TITLE_DATE_PR_CHANGE="",IF(TITLE_DATE_PR="","",TITLE_DATE_PR),TITLE_DATE_PR_CHANGE)</f>
        <v>45281.411851851852</v>
      </c>
      <c r="W36" s="8885"/>
      <c r="X36" s="8885"/>
      <c r="Y36" s="8885"/>
      <c r="Z36" s="8885"/>
      <c r="AA36" s="8885"/>
      <c r="AB36" s="8885"/>
      <c r="AC36" s="248"/>
      <c r="AD36" s="8885">
        <f>IF(TITLE_DATE_PR_CHANGE="",IF(TITLE_DATE_PR="","",TITLE_DATE_PR),TITLE_DATE_PR_CHANGE)</f>
        <v>45281.411851851852</v>
      </c>
      <c r="AE36" s="8885"/>
      <c r="AF36" s="8885"/>
      <c r="AG36" s="8885"/>
      <c r="AH36" s="8885"/>
      <c r="AI36" s="8885"/>
      <c r="AJ36" s="8885"/>
      <c r="AK36" s="8885"/>
      <c r="AL36" s="8885"/>
      <c r="AM36" s="8885"/>
      <c r="AN36" s="8885"/>
      <c r="AO36" s="8885"/>
      <c r="AP36" s="8885"/>
      <c r="AQ36" s="8885"/>
      <c r="AR36" s="8885"/>
      <c r="AS36" s="8885"/>
      <c r="AT36" s="8885"/>
      <c r="AU36" s="8885"/>
      <c r="AV36" s="8885"/>
      <c r="AW36" s="8885"/>
      <c r="AX36" s="8885"/>
      <c r="AY36" s="8885"/>
      <c r="AZ36" s="8885"/>
      <c r="BA36" s="248"/>
      <c r="BB36" s="248"/>
      <c r="BC36" s="196"/>
      <c r="BD36" s="292"/>
      <c r="BE36" s="292"/>
      <c r="BF36" s="292"/>
      <c r="BG36" s="292"/>
      <c r="BH36" s="292"/>
    </row>
    <row r="37" spans="1:60" s="1771" customFormat="1" ht="18.75" customHeight="1">
      <c r="A37" s="1289"/>
      <c r="B37" s="1289"/>
      <c r="C37" s="1289"/>
      <c r="D37" s="1289"/>
      <c r="E37" s="1289"/>
      <c r="F37" s="1289"/>
      <c r="G37" s="1289"/>
      <c r="H37" s="1289"/>
      <c r="I37" s="1289"/>
      <c r="J37" s="1289"/>
      <c r="K37" s="1289"/>
      <c r="L37" s="1290"/>
      <c r="M37" s="1289"/>
      <c r="N37" s="1289"/>
      <c r="O37" s="1289"/>
      <c r="P37" s="1289"/>
      <c r="Q37" s="1289"/>
      <c r="S37" s="8875" t="s">
        <v>887</v>
      </c>
      <c r="T37" s="8875"/>
      <c r="U37" s="1293"/>
      <c r="V37" s="8876" t="str">
        <f>IF(TITLE_NUMBER_PR_CHANGE="",IF(TITLE_NUMBER_PR="","",TITLE_NUMBER_PR),TITLE_NUMBER_PR_CHANGE)</f>
        <v>06-11/11398</v>
      </c>
      <c r="W37" s="8876"/>
      <c r="X37" s="8876"/>
      <c r="Y37" s="8876"/>
      <c r="Z37" s="8876"/>
      <c r="AA37" s="8876"/>
      <c r="AB37" s="8876"/>
      <c r="AC37" s="248"/>
      <c r="AD37" s="8876" t="str">
        <f>IF(TITLE_NUMBER_PR_CHANGE="",IF(TITLE_NUMBER_PR="","",TITLE_NUMBER_PR),TITLE_NUMBER_PR_CHANGE)</f>
        <v>06-11/11398</v>
      </c>
      <c r="AE37" s="8876"/>
      <c r="AF37" s="8876"/>
      <c r="AG37" s="8876"/>
      <c r="AH37" s="8876"/>
      <c r="AI37" s="8876"/>
      <c r="AJ37" s="8876"/>
      <c r="AK37" s="8876"/>
      <c r="AL37" s="8876"/>
      <c r="AM37" s="8876"/>
      <c r="AN37" s="8876"/>
      <c r="AO37" s="8876"/>
      <c r="AP37" s="8876"/>
      <c r="AQ37" s="8876"/>
      <c r="AR37" s="8876"/>
      <c r="AS37" s="8876"/>
      <c r="AT37" s="8876"/>
      <c r="AU37" s="8876"/>
      <c r="AV37" s="8876"/>
      <c r="AW37" s="8876"/>
      <c r="AX37" s="8876"/>
      <c r="AY37" s="8876"/>
      <c r="AZ37" s="8876"/>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890</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890</v>
      </c>
      <c r="BD38" s="292"/>
      <c r="BE38" s="292"/>
      <c r="BF38" s="292"/>
      <c r="BG38" s="292"/>
      <c r="BH38" s="292"/>
    </row>
    <row r="39" spans="1:60" ht="14.25" customHeight="1">
      <c r="Q39" s="206"/>
      <c r="R39" s="300"/>
      <c r="S39" s="1200"/>
      <c r="T39" s="286"/>
      <c r="U39" s="1158"/>
      <c r="V39" s="8877"/>
      <c r="W39" s="8877"/>
      <c r="X39" s="8877"/>
      <c r="Y39" s="8877"/>
      <c r="Z39" s="8877"/>
      <c r="AA39" s="8877"/>
      <c r="AB39" s="8877"/>
      <c r="AC39" s="8877"/>
      <c r="AD39" s="8877"/>
      <c r="AE39" s="8877"/>
      <c r="AF39" s="8877"/>
      <c r="AG39" s="8877"/>
      <c r="AH39" s="8877"/>
      <c r="AI39" s="8877"/>
      <c r="AJ39" s="8877"/>
      <c r="AK39" s="8877"/>
      <c r="AL39" s="8877"/>
      <c r="AM39" s="8877"/>
      <c r="AN39" s="8877"/>
      <c r="AO39" s="8877"/>
      <c r="AP39" s="8877"/>
      <c r="AQ39" s="8877"/>
      <c r="AR39" s="8877"/>
      <c r="AS39" s="8877"/>
      <c r="AT39" s="8877"/>
      <c r="AU39" s="8877"/>
      <c r="AV39" s="8877"/>
      <c r="AW39" s="8877"/>
      <c r="AX39" s="8877"/>
      <c r="AY39" s="8877"/>
      <c r="AZ39" s="8877"/>
      <c r="BA39" s="8877"/>
    </row>
    <row r="40" spans="1:60" ht="14.25" customHeight="1">
      <c r="Q40" s="206"/>
      <c r="R40" s="300"/>
      <c r="S40" s="8753" t="s">
        <v>763</v>
      </c>
      <c r="T40" s="8753"/>
      <c r="U40" s="8753"/>
      <c r="V40" s="8753"/>
      <c r="W40" s="8753"/>
      <c r="X40" s="8753"/>
      <c r="Y40" s="8753"/>
      <c r="Z40" s="8753"/>
      <c r="AA40" s="8753"/>
      <c r="AB40" s="8753"/>
      <c r="AC40" s="8753"/>
      <c r="AD40" s="8753"/>
      <c r="AE40" s="8753"/>
      <c r="AF40" s="8753"/>
      <c r="AG40" s="8753"/>
      <c r="AH40" s="8753"/>
      <c r="AI40" s="8753"/>
      <c r="AJ40" s="8753"/>
      <c r="AK40" s="8753"/>
      <c r="AL40" s="8753"/>
      <c r="AM40" s="8753"/>
      <c r="AN40" s="8753"/>
      <c r="AO40" s="8753"/>
      <c r="AP40" s="8753"/>
      <c r="AQ40" s="8753"/>
      <c r="AR40" s="8753"/>
      <c r="AS40" s="8753"/>
      <c r="AT40" s="8753"/>
      <c r="AU40" s="8753"/>
      <c r="AV40" s="8753"/>
      <c r="AW40" s="8753"/>
      <c r="AX40" s="8753"/>
      <c r="AY40" s="8753"/>
      <c r="AZ40" s="8753"/>
      <c r="BA40" s="8753"/>
      <c r="BB40" s="8753"/>
      <c r="BC40" s="8753" t="s">
        <v>764</v>
      </c>
    </row>
    <row r="41" spans="1:60" ht="14.25" customHeight="1">
      <c r="Q41" s="206"/>
      <c r="R41" s="300"/>
      <c r="S41" s="8891" t="s">
        <v>84</v>
      </c>
      <c r="T41" s="8843" t="s">
        <v>971</v>
      </c>
      <c r="U41" s="215"/>
      <c r="V41" s="8892" t="s">
        <v>892</v>
      </c>
      <c r="W41" s="8893"/>
      <c r="X41" s="8893"/>
      <c r="Y41" s="8893"/>
      <c r="Z41" s="8893"/>
      <c r="AA41" s="8893"/>
      <c r="AB41" s="8894"/>
      <c r="AC41" s="8895" t="s">
        <v>893</v>
      </c>
      <c r="AD41" s="8921" t="s">
        <v>988</v>
      </c>
      <c r="AE41" s="8907"/>
      <c r="AF41" s="8907"/>
      <c r="AG41" s="8922"/>
      <c r="AH41" s="8921" t="s">
        <v>989</v>
      </c>
      <c r="AI41" s="8907"/>
      <c r="AJ41" s="8907"/>
      <c r="AK41" s="8922"/>
      <c r="AL41" s="8921" t="s">
        <v>990</v>
      </c>
      <c r="AM41" s="8907"/>
      <c r="AN41" s="8907"/>
      <c r="AO41" s="8922"/>
      <c r="AP41" s="8921" t="s">
        <v>975</v>
      </c>
      <c r="AQ41" s="8907"/>
      <c r="AR41" s="8907"/>
      <c r="AS41" s="8922"/>
      <c r="AT41" s="8892" t="s">
        <v>892</v>
      </c>
      <c r="AU41" s="8893"/>
      <c r="AV41" s="8893"/>
      <c r="AW41" s="8893"/>
      <c r="AX41" s="8893"/>
      <c r="AY41" s="8893"/>
      <c r="AZ41" s="8894"/>
      <c r="BA41" s="8895" t="s">
        <v>893</v>
      </c>
      <c r="BB41" s="8898" t="s">
        <v>895</v>
      </c>
      <c r="BC41" s="8753"/>
    </row>
    <row r="42" spans="1:60" ht="33.75" customHeight="1">
      <c r="Q42" s="206"/>
      <c r="R42" s="300"/>
      <c r="S42" s="8891"/>
      <c r="T42" s="8843"/>
      <c r="U42" s="942"/>
      <c r="V42" s="8828" t="s">
        <v>976</v>
      </c>
      <c r="W42" s="8829"/>
      <c r="X42" s="8828" t="s">
        <v>977</v>
      </c>
      <c r="Y42" s="8829"/>
      <c r="Z42" s="8828" t="s">
        <v>978</v>
      </c>
      <c r="AA42" s="8916"/>
      <c r="AB42" s="8829"/>
      <c r="AC42" s="8896"/>
      <c r="AD42" s="8923"/>
      <c r="AE42" s="8924"/>
      <c r="AF42" s="8924"/>
      <c r="AG42" s="8925"/>
      <c r="AH42" s="8923"/>
      <c r="AI42" s="8924"/>
      <c r="AJ42" s="8924"/>
      <c r="AK42" s="8925"/>
      <c r="AL42" s="8923"/>
      <c r="AM42" s="8924"/>
      <c r="AN42" s="8924"/>
      <c r="AO42" s="8925"/>
      <c r="AP42" s="8923"/>
      <c r="AQ42" s="8924"/>
      <c r="AR42" s="8924"/>
      <c r="AS42" s="8925"/>
      <c r="AT42" s="8828" t="s">
        <v>991</v>
      </c>
      <c r="AU42" s="8829"/>
      <c r="AV42" s="8828" t="s">
        <v>992</v>
      </c>
      <c r="AW42" s="8829"/>
      <c r="AX42" s="8828" t="s">
        <v>978</v>
      </c>
      <c r="AY42" s="8916"/>
      <c r="AZ42" s="8829"/>
      <c r="BA42" s="8896"/>
      <c r="BB42" s="8899"/>
      <c r="BC42" s="8753"/>
    </row>
    <row r="43" spans="1:60" ht="14.25" customHeight="1">
      <c r="Q43" s="206"/>
      <c r="R43" s="300"/>
      <c r="S43" s="8891"/>
      <c r="T43" s="8843"/>
      <c r="U43" s="942"/>
      <c r="V43" s="8833"/>
      <c r="W43" s="8834"/>
      <c r="X43" s="8833"/>
      <c r="Y43" s="8834"/>
      <c r="Z43" s="8833"/>
      <c r="AA43" s="8917"/>
      <c r="AB43" s="8834"/>
      <c r="AC43" s="8896"/>
      <c r="AD43" s="8923"/>
      <c r="AE43" s="8924"/>
      <c r="AF43" s="8924"/>
      <c r="AG43" s="8925"/>
      <c r="AH43" s="8923"/>
      <c r="AI43" s="8924"/>
      <c r="AJ43" s="8924"/>
      <c r="AK43" s="8925"/>
      <c r="AL43" s="8923"/>
      <c r="AM43" s="8924"/>
      <c r="AN43" s="8924"/>
      <c r="AO43" s="8925"/>
      <c r="AP43" s="8923"/>
      <c r="AQ43" s="8924"/>
      <c r="AR43" s="8924"/>
      <c r="AS43" s="8925"/>
      <c r="AT43" s="8833"/>
      <c r="AU43" s="8834"/>
      <c r="AV43" s="8833"/>
      <c r="AW43" s="8834"/>
      <c r="AX43" s="8833"/>
      <c r="AY43" s="8917"/>
      <c r="AZ43" s="8834"/>
      <c r="BA43" s="8896"/>
      <c r="BB43" s="8899"/>
      <c r="BC43" s="8753"/>
    </row>
    <row r="44" spans="1:60" ht="14.25" customHeight="1">
      <c r="A44" s="1291"/>
      <c r="B44" s="1291" t="s">
        <v>223</v>
      </c>
      <c r="C44" s="1291" t="s">
        <v>224</v>
      </c>
      <c r="D44" s="1291" t="s">
        <v>225</v>
      </c>
      <c r="E44" s="1285" t="s">
        <v>900</v>
      </c>
      <c r="F44" s="1285" t="s">
        <v>901</v>
      </c>
      <c r="G44" s="1285" t="s">
        <v>902</v>
      </c>
      <c r="H44" s="1285" t="s">
        <v>903</v>
      </c>
      <c r="I44" s="1285" t="s">
        <v>904</v>
      </c>
      <c r="J44" s="1285" t="s">
        <v>905</v>
      </c>
      <c r="K44" s="1285" t="s">
        <v>906</v>
      </c>
      <c r="L44" s="1285" t="s">
        <v>881</v>
      </c>
      <c r="Q44" s="206"/>
      <c r="R44" s="300"/>
      <c r="S44" s="8891"/>
      <c r="T44" s="8843"/>
      <c r="U44" s="216"/>
      <c r="V44" s="1394" t="s">
        <v>940</v>
      </c>
      <c r="W44" s="1394" t="s">
        <v>941</v>
      </c>
      <c r="X44" s="1394" t="s">
        <v>940</v>
      </c>
      <c r="Y44" s="1394" t="s">
        <v>941</v>
      </c>
      <c r="Z44" s="1404" t="s">
        <v>909</v>
      </c>
      <c r="AA44" s="8851" t="s">
        <v>910</v>
      </c>
      <c r="AB44" s="8853"/>
      <c r="AC44" s="8897"/>
      <c r="AD44" s="8926"/>
      <c r="AE44" s="8927"/>
      <c r="AF44" s="8927"/>
      <c r="AG44" s="8928"/>
      <c r="AH44" s="8926"/>
      <c r="AI44" s="8927"/>
      <c r="AJ44" s="8927"/>
      <c r="AK44" s="8928"/>
      <c r="AL44" s="8926"/>
      <c r="AM44" s="8927"/>
      <c r="AN44" s="8927"/>
      <c r="AO44" s="8928"/>
      <c r="AP44" s="8926"/>
      <c r="AQ44" s="8927"/>
      <c r="AR44" s="8927"/>
      <c r="AS44" s="8928"/>
      <c r="AT44" s="1394" t="s">
        <v>940</v>
      </c>
      <c r="AU44" s="1394" t="s">
        <v>941</v>
      </c>
      <c r="AV44" s="1394" t="s">
        <v>940</v>
      </c>
      <c r="AW44" s="1394" t="s">
        <v>941</v>
      </c>
      <c r="AX44" s="1404" t="s">
        <v>909</v>
      </c>
      <c r="AY44" s="8851" t="s">
        <v>910</v>
      </c>
      <c r="AZ44" s="8853"/>
      <c r="BA44" s="8897"/>
      <c r="BB44" s="8900"/>
      <c r="BC44" s="8753"/>
    </row>
    <row r="45" spans="1:60" s="1561" customFormat="1" ht="11.25" hidden="1" customHeight="1">
      <c r="A45" s="1291"/>
      <c r="B45" s="1291"/>
      <c r="C45" s="1291"/>
      <c r="D45" s="1291"/>
      <c r="E45" s="1291"/>
      <c r="F45" s="1291"/>
      <c r="G45" s="1291"/>
      <c r="H45" s="1291"/>
      <c r="I45" s="1291"/>
      <c r="J45" s="1291"/>
      <c r="K45" s="1291"/>
      <c r="L45" s="1285"/>
      <c r="M45" s="1283"/>
      <c r="N45" s="1283"/>
      <c r="O45" s="1283"/>
      <c r="P45" s="434"/>
      <c r="Q45" s="1176"/>
      <c r="R45" s="1176">
        <v>1</v>
      </c>
      <c r="S45" s="1202" t="s">
        <v>95</v>
      </c>
      <c r="T45" s="1177" t="s">
        <v>99</v>
      </c>
      <c r="U45" s="1159" t="str">
        <f ca="1">OFFSET(U45,0,-1)</f>
        <v>2</v>
      </c>
      <c r="V45" s="1397">
        <f t="shared" ref="V45:AA45" ca="1" si="2">OFFSET(V45,0,-1)+1</f>
        <v>3</v>
      </c>
      <c r="W45" s="1397">
        <f t="shared" ca="1" si="2"/>
        <v>4</v>
      </c>
      <c r="X45" s="1397">
        <f t="shared" ca="1" si="2"/>
        <v>5</v>
      </c>
      <c r="Y45" s="1397">
        <f t="shared" ca="1" si="2"/>
        <v>6</v>
      </c>
      <c r="Z45" s="1397">
        <f t="shared" ca="1" si="2"/>
        <v>7</v>
      </c>
      <c r="AA45" s="8890">
        <f t="shared" ca="1" si="2"/>
        <v>8</v>
      </c>
      <c r="AB45" s="8890"/>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8890">
        <f ca="1">OFFSET(AY45,0,-1)+1</f>
        <v>3</v>
      </c>
      <c r="AZ45" s="8890"/>
      <c r="BA45" s="1397">
        <f ca="1">OFFSET(BA45,0,-2)+1</f>
        <v>4</v>
      </c>
      <c r="BB45" s="1159">
        <f ca="1">OFFSET(BB45,0,-1)</f>
        <v>4</v>
      </c>
      <c r="BC45" s="1397">
        <f ca="1">OFFSET(BC45,0,-1)+1</f>
        <v>5</v>
      </c>
      <c r="BD45" s="435"/>
      <c r="BE45" s="435"/>
      <c r="BF45" s="435"/>
      <c r="BG45" s="435"/>
      <c r="BH45" s="435"/>
    </row>
    <row r="46" spans="1:60" ht="21" customHeight="1">
      <c r="A46" s="1284" t="s">
        <v>739</v>
      </c>
      <c r="B46" s="1284"/>
      <c r="C46" s="1284"/>
      <c r="D46" s="1284"/>
      <c r="E46" s="8883">
        <v>1</v>
      </c>
      <c r="F46" s="1284"/>
      <c r="G46" s="1284"/>
      <c r="H46" s="1284"/>
      <c r="I46" s="1284"/>
      <c r="J46" s="1284"/>
      <c r="K46" s="1284"/>
      <c r="L46" s="1285"/>
      <c r="M46" s="1286"/>
      <c r="N46" s="1286"/>
      <c r="O46" s="1286"/>
      <c r="P46" s="1330"/>
      <c r="Q46" s="787"/>
      <c r="R46" s="276"/>
      <c r="S46" s="1408">
        <f>INDEX(PT_DIFFERENTIATION_NUM_NTAR,MATCH(A46,PT_DIFFERENTIATION_NTAR_ID,0))</f>
        <v>0</v>
      </c>
      <c r="T46" s="212" t="s">
        <v>211</v>
      </c>
      <c r="U46" s="214"/>
      <c r="V46" s="8870"/>
      <c r="W46" s="8870"/>
      <c r="X46" s="8870"/>
      <c r="Y46" s="8870"/>
      <c r="Z46" s="8870"/>
      <c r="AA46" s="8870"/>
      <c r="AB46" s="8870"/>
      <c r="AC46" s="8871"/>
      <c r="AD46" s="8869" t="str">
        <f>INDEX(PT_DIFFERENTIATION_NTAR,MATCH(A46,PT_DIFFERENTIATION_NTAR_ID,0))</f>
        <v/>
      </c>
      <c r="AE46" s="8870"/>
      <c r="AF46" s="8870"/>
      <c r="AG46" s="8870"/>
      <c r="AH46" s="8870"/>
      <c r="AI46" s="8870"/>
      <c r="AJ46" s="8870"/>
      <c r="AK46" s="8870"/>
      <c r="AL46" s="8870"/>
      <c r="AM46" s="8870"/>
      <c r="AN46" s="8870"/>
      <c r="AO46" s="8870"/>
      <c r="AP46" s="8870"/>
      <c r="AQ46" s="8870"/>
      <c r="AR46" s="8870"/>
      <c r="AS46" s="8870"/>
      <c r="AT46" s="8870"/>
      <c r="AU46" s="8870"/>
      <c r="AV46" s="8870"/>
      <c r="AW46" s="8870"/>
      <c r="AX46" s="8870"/>
      <c r="AY46" s="8870"/>
      <c r="AZ46" s="8870"/>
      <c r="BA46" s="8870"/>
      <c r="BB46" s="887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739</v>
      </c>
      <c r="B47" s="1284" t="s">
        <v>740</v>
      </c>
      <c r="C47" s="1284"/>
      <c r="D47" s="1284"/>
      <c r="E47" s="8884"/>
      <c r="F47" s="8883">
        <v>1</v>
      </c>
      <c r="G47" s="1284"/>
      <c r="H47" s="1284"/>
      <c r="I47" s="1284"/>
      <c r="J47" s="1284"/>
      <c r="K47" s="1284"/>
      <c r="L47" s="1285"/>
      <c r="M47" s="1286"/>
      <c r="N47" s="1286"/>
      <c r="O47" s="1286"/>
      <c r="P47" s="1331"/>
      <c r="Q47" s="1332"/>
      <c r="R47" s="274"/>
      <c r="S47" s="1408" t="str">
        <f>INDEX(PT_DIFFERENTIATION_NUM_TER,MATCH(B47,PT_DIFFERENTIATION_TER_ID,0))</f>
        <v>.</v>
      </c>
      <c r="T47" s="224" t="s">
        <v>862</v>
      </c>
      <c r="U47" s="214"/>
      <c r="V47" s="8870"/>
      <c r="W47" s="8870"/>
      <c r="X47" s="8870"/>
      <c r="Y47" s="8870"/>
      <c r="Z47" s="8870"/>
      <c r="AA47" s="8870"/>
      <c r="AB47" s="8870"/>
      <c r="AC47" s="8871"/>
      <c r="AD47" s="8869" t="str">
        <f>INDEX(PT_DIFFERENTIATION_TER,MATCH(B47,PT_DIFFERENTIATION_TER_ID,0))</f>
        <v/>
      </c>
      <c r="AE47" s="8870"/>
      <c r="AF47" s="8870"/>
      <c r="AG47" s="8870"/>
      <c r="AH47" s="8870"/>
      <c r="AI47" s="8870"/>
      <c r="AJ47" s="8870"/>
      <c r="AK47" s="8870"/>
      <c r="AL47" s="8870"/>
      <c r="AM47" s="8870"/>
      <c r="AN47" s="8870"/>
      <c r="AO47" s="8870"/>
      <c r="AP47" s="8870"/>
      <c r="AQ47" s="8870"/>
      <c r="AR47" s="8870"/>
      <c r="AS47" s="8870"/>
      <c r="AT47" s="8870"/>
      <c r="AU47" s="8870"/>
      <c r="AV47" s="8870"/>
      <c r="AW47" s="8870"/>
      <c r="AX47" s="8870"/>
      <c r="AY47" s="8870"/>
      <c r="AZ47" s="8870"/>
      <c r="BA47" s="8870"/>
      <c r="BB47" s="8871"/>
      <c r="BC47" s="1182" t="s">
        <v>863</v>
      </c>
      <c r="BE47" s="424"/>
      <c r="BF47" s="424" t="str">
        <f t="shared" si="3"/>
        <v>Территория действия тарифа</v>
      </c>
      <c r="BG47" s="424"/>
      <c r="BH47" s="424"/>
    </row>
    <row r="48" spans="1:60" ht="33.75" customHeight="1">
      <c r="A48" s="1284" t="s">
        <v>739</v>
      </c>
      <c r="B48" s="1284" t="s">
        <v>740</v>
      </c>
      <c r="C48" s="1284" t="s">
        <v>741</v>
      </c>
      <c r="D48" s="1284"/>
      <c r="E48" s="8884"/>
      <c r="F48" s="8884"/>
      <c r="G48" s="8883">
        <v>1</v>
      </c>
      <c r="H48" s="1284"/>
      <c r="I48" s="1284"/>
      <c r="J48" s="1284"/>
      <c r="K48" s="1284"/>
      <c r="L48" s="1285"/>
      <c r="M48" s="1286"/>
      <c r="N48" s="1286"/>
      <c r="O48" s="1286"/>
      <c r="P48" s="1333"/>
      <c r="Q48" s="1332"/>
      <c r="R48" s="274"/>
      <c r="S48" s="1408" t="str">
        <f>INDEX(PT_DIFFERENTIATION_NUM_CS,MATCH(C48,PT_DIFFERENTIATION_CS_ID,0))</f>
        <v>..</v>
      </c>
      <c r="T48" s="225" t="s">
        <v>980</v>
      </c>
      <c r="U48" s="214"/>
      <c r="V48" s="8870"/>
      <c r="W48" s="8870"/>
      <c r="X48" s="8870"/>
      <c r="Y48" s="8870"/>
      <c r="Z48" s="8870"/>
      <c r="AA48" s="8870"/>
      <c r="AB48" s="8870"/>
      <c r="AC48" s="8871"/>
      <c r="AD48" s="8869" t="str">
        <f>INDEX(PT_DIFFERENTIATION_CS,MATCH(C48,PT_DIFFERENTIATION_CS_ID,0))</f>
        <v/>
      </c>
      <c r="AE48" s="8870"/>
      <c r="AF48" s="8870"/>
      <c r="AG48" s="8870"/>
      <c r="AH48" s="8870"/>
      <c r="AI48" s="8870"/>
      <c r="AJ48" s="8870"/>
      <c r="AK48" s="8870"/>
      <c r="AL48" s="8870"/>
      <c r="AM48" s="8870"/>
      <c r="AN48" s="8870"/>
      <c r="AO48" s="8870"/>
      <c r="AP48" s="8870"/>
      <c r="AQ48" s="8870"/>
      <c r="AR48" s="8870"/>
      <c r="AS48" s="8870"/>
      <c r="AT48" s="8870"/>
      <c r="AU48" s="8870"/>
      <c r="AV48" s="8870"/>
      <c r="AW48" s="8870"/>
      <c r="AX48" s="8870"/>
      <c r="AY48" s="8870"/>
      <c r="AZ48" s="8870"/>
      <c r="BA48" s="8870"/>
      <c r="BB48" s="8871"/>
      <c r="BC48" s="1182" t="s">
        <v>981</v>
      </c>
      <c r="BE48" s="424"/>
      <c r="BF48" s="424" t="str">
        <f t="shared" si="3"/>
        <v>Наименование централизованной системы водоотведения</v>
      </c>
      <c r="BG48" s="424"/>
      <c r="BH48" s="424"/>
    </row>
    <row r="49" spans="1:60" s="1562" customFormat="1" ht="0" hidden="1" customHeight="1">
      <c r="A49" s="1265" t="s">
        <v>739</v>
      </c>
      <c r="B49" s="1265" t="s">
        <v>740</v>
      </c>
      <c r="C49" s="1265" t="s">
        <v>741</v>
      </c>
      <c r="D49" s="1265" t="s">
        <v>993</v>
      </c>
      <c r="E49" s="8884"/>
      <c r="F49" s="8884"/>
      <c r="G49" s="8884"/>
      <c r="H49" s="8883">
        <v>1</v>
      </c>
      <c r="I49" s="1265"/>
      <c r="J49" s="1265"/>
      <c r="K49" s="1265"/>
      <c r="L49" s="1268"/>
      <c r="M49" s="1238"/>
      <c r="N49" s="1238"/>
      <c r="O49" s="1238"/>
      <c r="P49" s="1412"/>
      <c r="Q49" s="1413"/>
      <c r="R49" s="278"/>
      <c r="S49" s="953"/>
      <c r="T49" s="1414"/>
      <c r="U49" s="1305"/>
      <c r="V49" s="8911"/>
      <c r="W49" s="8911"/>
      <c r="X49" s="8911"/>
      <c r="Y49" s="8911"/>
      <c r="Z49" s="8911"/>
      <c r="AA49" s="8911"/>
      <c r="AB49" s="8911"/>
      <c r="AC49" s="8912"/>
      <c r="AD49" s="8910"/>
      <c r="AE49" s="8911"/>
      <c r="AF49" s="8911"/>
      <c r="AG49" s="8911"/>
      <c r="AH49" s="8911"/>
      <c r="AI49" s="8911"/>
      <c r="AJ49" s="8911"/>
      <c r="AK49" s="8911"/>
      <c r="AL49" s="8911"/>
      <c r="AM49" s="8911"/>
      <c r="AN49" s="8911"/>
      <c r="AO49" s="8911"/>
      <c r="AP49" s="8911"/>
      <c r="AQ49" s="8911"/>
      <c r="AR49" s="8911"/>
      <c r="AS49" s="8911"/>
      <c r="AT49" s="8911"/>
      <c r="AU49" s="8911"/>
      <c r="AV49" s="8911"/>
      <c r="AW49" s="8911"/>
      <c r="AX49" s="8911"/>
      <c r="AY49" s="8911"/>
      <c r="AZ49" s="8911"/>
      <c r="BA49" s="8911"/>
      <c r="BB49" s="8912"/>
      <c r="BC49" s="1306" t="s">
        <v>867</v>
      </c>
      <c r="BE49" s="424"/>
      <c r="BF49" s="424" t="str">
        <f t="shared" si="3"/>
        <v/>
      </c>
      <c r="BG49" s="424"/>
      <c r="BH49" s="424"/>
    </row>
    <row r="50" spans="1:60" s="1562" customFormat="1" ht="0" hidden="1" customHeight="1">
      <c r="A50" s="1265" t="s">
        <v>739</v>
      </c>
      <c r="B50" s="1265" t="s">
        <v>740</v>
      </c>
      <c r="C50" s="1265" t="s">
        <v>741</v>
      </c>
      <c r="D50" s="1265" t="s">
        <v>993</v>
      </c>
      <c r="E50" s="8884"/>
      <c r="F50" s="8884"/>
      <c r="G50" s="8884"/>
      <c r="H50" s="8884"/>
      <c r="I50" s="8881" t="str">
        <f>S49&amp;".1"</f>
        <v>.1</v>
      </c>
      <c r="J50" s="1265"/>
      <c r="K50" s="1265"/>
      <c r="L50" s="1268" t="s">
        <v>868</v>
      </c>
      <c r="M50" s="434"/>
      <c r="N50" s="434"/>
      <c r="O50" s="434"/>
      <c r="P50" s="8882">
        <v>1</v>
      </c>
      <c r="Q50" s="1396"/>
      <c r="R50" s="277"/>
      <c r="S50" s="953"/>
      <c r="T50" s="1304"/>
      <c r="U50" s="1305"/>
      <c r="V50" s="8911"/>
      <c r="W50" s="8911"/>
      <c r="X50" s="8911"/>
      <c r="Y50" s="8911"/>
      <c r="Z50" s="8911"/>
      <c r="AA50" s="8911"/>
      <c r="AB50" s="8911"/>
      <c r="AC50" s="8912"/>
      <c r="AD50" s="8910"/>
      <c r="AE50" s="8911"/>
      <c r="AF50" s="8911"/>
      <c r="AG50" s="8911"/>
      <c r="AH50" s="8911"/>
      <c r="AI50" s="8911"/>
      <c r="AJ50" s="8911"/>
      <c r="AK50" s="8911"/>
      <c r="AL50" s="8911"/>
      <c r="AM50" s="8911"/>
      <c r="AN50" s="8911"/>
      <c r="AO50" s="8911"/>
      <c r="AP50" s="8911"/>
      <c r="AQ50" s="8911"/>
      <c r="AR50" s="8911"/>
      <c r="AS50" s="8911"/>
      <c r="AT50" s="8911"/>
      <c r="AU50" s="8911"/>
      <c r="AV50" s="8911"/>
      <c r="AW50" s="8911"/>
      <c r="AX50" s="8911"/>
      <c r="AY50" s="8911"/>
      <c r="AZ50" s="8911"/>
      <c r="BA50" s="8911"/>
      <c r="BB50" s="8912"/>
      <c r="BC50" s="1306"/>
      <c r="BE50" s="424"/>
      <c r="BF50" s="424" t="str">
        <f t="shared" si="3"/>
        <v/>
      </c>
      <c r="BG50" s="424"/>
      <c r="BH50" s="424"/>
    </row>
    <row r="51" spans="1:60" s="1562" customFormat="1" ht="0" hidden="1" customHeight="1">
      <c r="A51" s="1265" t="s">
        <v>739</v>
      </c>
      <c r="B51" s="1265" t="s">
        <v>740</v>
      </c>
      <c r="C51" s="1265" t="s">
        <v>741</v>
      </c>
      <c r="D51" s="1265" t="s">
        <v>993</v>
      </c>
      <c r="E51" s="8884"/>
      <c r="F51" s="8884"/>
      <c r="G51" s="8884"/>
      <c r="H51" s="8884"/>
      <c r="I51" s="8904"/>
      <c r="J51" s="8881" t="str">
        <f>S49&amp;".1"</f>
        <v>.1</v>
      </c>
      <c r="K51" s="1265"/>
      <c r="L51" s="1268"/>
      <c r="M51" s="434"/>
      <c r="N51" s="434"/>
      <c r="O51" s="434"/>
      <c r="P51" s="8882"/>
      <c r="Q51" s="8882">
        <v>1</v>
      </c>
      <c r="R51" s="278"/>
      <c r="S51" s="953"/>
      <c r="T51" s="1320"/>
      <c r="U51" s="1305"/>
      <c r="V51" s="8911"/>
      <c r="W51" s="8911"/>
      <c r="X51" s="8911"/>
      <c r="Y51" s="8911"/>
      <c r="Z51" s="8911"/>
      <c r="AA51" s="8911"/>
      <c r="AB51" s="8911"/>
      <c r="AC51" s="8912"/>
      <c r="AD51" s="8910"/>
      <c r="AE51" s="8911"/>
      <c r="AF51" s="8911"/>
      <c r="AG51" s="8911"/>
      <c r="AH51" s="8911"/>
      <c r="AI51" s="8911"/>
      <c r="AJ51" s="8911"/>
      <c r="AK51" s="8911"/>
      <c r="AL51" s="8911"/>
      <c r="AM51" s="8911"/>
      <c r="AN51" s="8957"/>
      <c r="AO51" s="8957"/>
      <c r="AP51" s="8911"/>
      <c r="AQ51" s="8911"/>
      <c r="AR51" s="8911"/>
      <c r="AS51" s="8911"/>
      <c r="AT51" s="8911"/>
      <c r="AU51" s="8911"/>
      <c r="AV51" s="8911"/>
      <c r="AW51" s="8911"/>
      <c r="AX51" s="8911"/>
      <c r="AY51" s="8911"/>
      <c r="AZ51" s="8911"/>
      <c r="BA51" s="8911"/>
      <c r="BB51" s="8912"/>
      <c r="BC51" s="1306"/>
      <c r="BE51" s="424"/>
      <c r="BF51" s="424" t="str">
        <f t="shared" si="3"/>
        <v/>
      </c>
      <c r="BG51" s="424"/>
      <c r="BH51" s="424"/>
    </row>
    <row r="52" spans="1:60" ht="11.25" customHeight="1">
      <c r="A52" s="1284" t="s">
        <v>739</v>
      </c>
      <c r="B52" s="1284" t="s">
        <v>740</v>
      </c>
      <c r="C52" s="1284" t="s">
        <v>741</v>
      </c>
      <c r="D52" s="1284" t="s">
        <v>993</v>
      </c>
      <c r="E52" s="8884"/>
      <c r="F52" s="8884"/>
      <c r="G52" s="8884"/>
      <c r="H52" s="8884"/>
      <c r="I52" s="8904"/>
      <c r="J52" s="8904"/>
      <c r="K52" s="8881" t="str">
        <f>S48&amp;".1"</f>
        <v>...1</v>
      </c>
      <c r="L52" s="1285"/>
      <c r="P52" s="8882"/>
      <c r="Q52" s="8882"/>
      <c r="R52" s="278">
        <v>1</v>
      </c>
      <c r="S52" s="8933" t="str">
        <f>$K52</f>
        <v>...1</v>
      </c>
      <c r="T52" s="8952"/>
      <c r="U52" s="214"/>
      <c r="V52" s="666"/>
      <c r="W52" s="1181"/>
      <c r="X52" s="666"/>
      <c r="Y52" s="1181"/>
      <c r="Z52" s="1653"/>
      <c r="AA52" s="1385" t="s">
        <v>63</v>
      </c>
      <c r="AB52" s="1653"/>
      <c r="AC52" s="1385" t="s">
        <v>63</v>
      </c>
      <c r="AD52" s="8808" t="s">
        <v>63</v>
      </c>
      <c r="AE52" s="8919"/>
      <c r="AF52" s="8838">
        <v>1</v>
      </c>
      <c r="AG52" s="8956"/>
      <c r="AH52" s="8734" t="s">
        <v>63</v>
      </c>
      <c r="AI52" s="8919"/>
      <c r="AJ52" s="8838">
        <v>1</v>
      </c>
      <c r="AK52" s="8955" t="s">
        <v>24</v>
      </c>
      <c r="AL52" s="8734" t="s">
        <v>63</v>
      </c>
      <c r="AM52" s="8828"/>
      <c r="AN52" s="8838">
        <v>1</v>
      </c>
      <c r="AO52" s="8949"/>
      <c r="AP52" s="8950" t="s">
        <v>63</v>
      </c>
      <c r="AQ52" s="227"/>
      <c r="AR52" s="1401">
        <v>1</v>
      </c>
      <c r="AS52" s="1407" t="s">
        <v>24</v>
      </c>
      <c r="AT52" s="666"/>
      <c r="AU52" s="1181"/>
      <c r="AV52" s="666"/>
      <c r="AW52" s="1181"/>
      <c r="AX52" s="1653"/>
      <c r="AY52" s="1385" t="s">
        <v>63</v>
      </c>
      <c r="AZ52" s="1653"/>
      <c r="BA52" s="1385" t="s">
        <v>63</v>
      </c>
      <c r="BB52" s="1270"/>
      <c r="BC52" s="8878" t="s">
        <v>965</v>
      </c>
      <c r="BE52" s="424"/>
      <c r="BF52" s="424" t="str">
        <f t="shared" si="3"/>
        <v/>
      </c>
      <c r="BG52" s="424"/>
      <c r="BH52" s="424"/>
    </row>
    <row r="53" spans="1:60" ht="11.25" customHeight="1">
      <c r="A53" s="1284"/>
      <c r="B53" s="1284"/>
      <c r="C53" s="1284"/>
      <c r="D53" s="1284"/>
      <c r="E53" s="8884"/>
      <c r="F53" s="8884"/>
      <c r="G53" s="8884"/>
      <c r="H53" s="8884"/>
      <c r="I53" s="8904"/>
      <c r="J53" s="8904"/>
      <c r="K53" s="8881"/>
      <c r="L53" s="1285"/>
      <c r="P53" s="8882"/>
      <c r="Q53" s="8882"/>
      <c r="R53" s="278"/>
      <c r="S53" s="8934"/>
      <c r="T53" s="8953"/>
      <c r="U53" s="214"/>
      <c r="V53" s="1314"/>
      <c r="W53" s="1411"/>
      <c r="X53" s="1314"/>
      <c r="Y53" s="1411"/>
      <c r="Z53" s="1314"/>
      <c r="AA53" s="1314"/>
      <c r="AB53" s="1314"/>
      <c r="AC53" s="1314"/>
      <c r="AD53" s="8809"/>
      <c r="AE53" s="8919"/>
      <c r="AF53" s="8838"/>
      <c r="AG53" s="8956"/>
      <c r="AH53" s="8734"/>
      <c r="AI53" s="8919"/>
      <c r="AJ53" s="8838"/>
      <c r="AK53" s="8955"/>
      <c r="AL53" s="8734"/>
      <c r="AM53" s="8833"/>
      <c r="AN53" s="8838"/>
      <c r="AO53" s="8949"/>
      <c r="AP53" s="8951"/>
      <c r="AQ53" s="234"/>
      <c r="AR53" s="345"/>
      <c r="AS53" s="345" t="s">
        <v>966</v>
      </c>
      <c r="AT53" s="1314"/>
      <c r="AU53" s="1411"/>
      <c r="AV53" s="1314"/>
      <c r="AW53" s="1411"/>
      <c r="AX53" s="1314"/>
      <c r="AY53" s="1314"/>
      <c r="AZ53" s="1314"/>
      <c r="BA53" s="1314"/>
      <c r="BB53" s="1318"/>
      <c r="BC53" s="8879"/>
      <c r="BE53" s="424"/>
      <c r="BF53" s="424"/>
      <c r="BG53" s="424"/>
      <c r="BH53" s="424"/>
    </row>
    <row r="54" spans="1:60" ht="11.25" customHeight="1">
      <c r="A54" s="1284" t="s">
        <v>739</v>
      </c>
      <c r="B54" s="1284"/>
      <c r="C54" s="1284"/>
      <c r="D54" s="1284"/>
      <c r="E54" s="8884"/>
      <c r="F54" s="8884"/>
      <c r="G54" s="8884"/>
      <c r="H54" s="8884"/>
      <c r="I54" s="8904"/>
      <c r="J54" s="8904"/>
      <c r="K54" s="8881"/>
      <c r="L54" s="1285"/>
      <c r="P54" s="8882"/>
      <c r="Q54" s="8882"/>
      <c r="R54" s="278"/>
      <c r="S54" s="8934"/>
      <c r="T54" s="8953"/>
      <c r="U54" s="214"/>
      <c r="V54" s="1314"/>
      <c r="W54" s="1411"/>
      <c r="X54" s="1314"/>
      <c r="Y54" s="1411"/>
      <c r="Z54" s="1314"/>
      <c r="AA54" s="1314"/>
      <c r="AB54" s="1314"/>
      <c r="AC54" s="1314"/>
      <c r="AD54" s="8809"/>
      <c r="AE54" s="8919"/>
      <c r="AF54" s="8838"/>
      <c r="AG54" s="8956"/>
      <c r="AH54" s="8734"/>
      <c r="AI54" s="8919"/>
      <c r="AJ54" s="8838"/>
      <c r="AK54" s="8955"/>
      <c r="AL54" s="8734"/>
      <c r="AM54" s="234"/>
      <c r="AN54" s="1415"/>
      <c r="AO54" s="1415" t="s">
        <v>986</v>
      </c>
      <c r="AP54" s="345"/>
      <c r="AQ54" s="345"/>
      <c r="AR54" s="345"/>
      <c r="AS54" s="1314"/>
      <c r="AT54" s="1314"/>
      <c r="AU54" s="1411"/>
      <c r="AV54" s="1314"/>
      <c r="AW54" s="1411"/>
      <c r="AX54" s="1314"/>
      <c r="AY54" s="1314"/>
      <c r="AZ54" s="1314"/>
      <c r="BA54" s="1314"/>
      <c r="BB54" s="1318"/>
      <c r="BC54" s="8879"/>
      <c r="BE54" s="424"/>
      <c r="BF54" s="424"/>
      <c r="BG54" s="424"/>
      <c r="BH54" s="424"/>
    </row>
    <row r="55" spans="1:60" ht="11.25" customHeight="1">
      <c r="A55" s="1284" t="s">
        <v>739</v>
      </c>
      <c r="B55" s="1284"/>
      <c r="C55" s="1284"/>
      <c r="D55" s="1284"/>
      <c r="E55" s="8884"/>
      <c r="F55" s="8884"/>
      <c r="G55" s="8884"/>
      <c r="H55" s="8884"/>
      <c r="I55" s="8904"/>
      <c r="J55" s="8904"/>
      <c r="K55" s="8881"/>
      <c r="L55" s="1285"/>
      <c r="P55" s="8882"/>
      <c r="Q55" s="8882"/>
      <c r="R55" s="278"/>
      <c r="S55" s="8934"/>
      <c r="T55" s="8953"/>
      <c r="U55" s="214"/>
      <c r="V55" s="1314"/>
      <c r="W55" s="1411"/>
      <c r="X55" s="1314"/>
      <c r="Y55" s="1411"/>
      <c r="Z55" s="1314"/>
      <c r="AA55" s="1314"/>
      <c r="AB55" s="1314"/>
      <c r="AC55" s="1314"/>
      <c r="AD55" s="8809"/>
      <c r="AE55" s="8919"/>
      <c r="AF55" s="8838"/>
      <c r="AG55" s="8956"/>
      <c r="AH55" s="8734"/>
      <c r="AI55" s="208"/>
      <c r="AJ55" s="344"/>
      <c r="AK55" s="229" t="s">
        <v>987</v>
      </c>
      <c r="AL55" s="1314"/>
      <c r="AM55" s="1314"/>
      <c r="AN55" s="1314"/>
      <c r="AO55" s="1314"/>
      <c r="AP55" s="1314"/>
      <c r="AQ55" s="1314"/>
      <c r="AR55" s="1314"/>
      <c r="AS55" s="1314"/>
      <c r="AT55" s="1314"/>
      <c r="AU55" s="1411"/>
      <c r="AV55" s="1314"/>
      <c r="AW55" s="1411"/>
      <c r="AX55" s="1314"/>
      <c r="AY55" s="1314"/>
      <c r="AZ55" s="1314"/>
      <c r="BA55" s="1314"/>
      <c r="BB55" s="1318"/>
      <c r="BC55" s="8879"/>
      <c r="BE55" s="424"/>
      <c r="BF55" s="424"/>
      <c r="BG55" s="424"/>
      <c r="BH55" s="424"/>
    </row>
    <row r="56" spans="1:60" ht="11.25" customHeight="1">
      <c r="A56" s="1284" t="s">
        <v>739</v>
      </c>
      <c r="B56" s="1284" t="s">
        <v>740</v>
      </c>
      <c r="C56" s="1284" t="s">
        <v>741</v>
      </c>
      <c r="D56" s="1284" t="s">
        <v>993</v>
      </c>
      <c r="E56" s="8884"/>
      <c r="F56" s="8884"/>
      <c r="G56" s="8884"/>
      <c r="H56" s="8884"/>
      <c r="I56" s="8904"/>
      <c r="J56" s="8904"/>
      <c r="K56" s="8881"/>
      <c r="L56" s="1285"/>
      <c r="P56" s="8882"/>
      <c r="Q56" s="8882"/>
      <c r="R56" s="278"/>
      <c r="S56" s="8935"/>
      <c r="T56" s="8954"/>
      <c r="U56" s="214"/>
      <c r="V56" s="1314"/>
      <c r="W56" s="1315" t="str">
        <f>Z52&amp;"-"&amp;AB52</f>
        <v>-</v>
      </c>
      <c r="X56" s="1314"/>
      <c r="Y56" s="1315" t="str">
        <f>AB52&amp;"-"&amp;AD52</f>
        <v>-да</v>
      </c>
      <c r="Z56" s="1314"/>
      <c r="AA56" s="1314"/>
      <c r="AB56" s="1314"/>
      <c r="AC56" s="1314"/>
      <c r="AD56" s="8739"/>
      <c r="AE56" s="228"/>
      <c r="AF56" s="230"/>
      <c r="AG56" s="345" t="s">
        <v>969</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8879"/>
      <c r="BE56" s="424"/>
      <c r="BF56" s="424" t="str">
        <f t="shared" ref="BF56:BF63" si="4">IF(T56="","",T56)</f>
        <v/>
      </c>
      <c r="BG56" s="424"/>
      <c r="BH56" s="424"/>
    </row>
    <row r="57" spans="1:60" ht="11.25" customHeight="1">
      <c r="A57" s="1284" t="s">
        <v>739</v>
      </c>
      <c r="B57" s="1284" t="s">
        <v>740</v>
      </c>
      <c r="C57" s="1284" t="s">
        <v>741</v>
      </c>
      <c r="D57" s="1284" t="s">
        <v>993</v>
      </c>
      <c r="E57" s="8884"/>
      <c r="F57" s="8884"/>
      <c r="G57" s="8884"/>
      <c r="H57" s="8884"/>
      <c r="I57" s="8904"/>
      <c r="J57" s="8881"/>
      <c r="K57" s="1284"/>
      <c r="L57" s="1285"/>
      <c r="P57" s="8882"/>
      <c r="Q57" s="8882"/>
      <c r="R57" s="277"/>
      <c r="S57" s="1203"/>
      <c r="T57" s="202" t="s">
        <v>929</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8880"/>
      <c r="BE57" s="424"/>
      <c r="BF57" s="424" t="str">
        <f t="shared" si="4"/>
        <v>Добавить строку</v>
      </c>
      <c r="BG57" s="424"/>
      <c r="BH57" s="424"/>
    </row>
    <row r="58" spans="1:60" s="1562" customFormat="1" ht="0" hidden="1" customHeight="1">
      <c r="A58" s="1265" t="s">
        <v>739</v>
      </c>
      <c r="B58" s="1265" t="s">
        <v>740</v>
      </c>
      <c r="C58" s="1265" t="s">
        <v>741</v>
      </c>
      <c r="D58" s="1265" t="s">
        <v>993</v>
      </c>
      <c r="E58" s="8884"/>
      <c r="F58" s="8884"/>
      <c r="G58" s="8884"/>
      <c r="H58" s="8884"/>
      <c r="I58" s="8881"/>
      <c r="J58" s="1265"/>
      <c r="K58" s="1265"/>
      <c r="L58" s="1268"/>
      <c r="M58" s="434"/>
      <c r="N58" s="434"/>
      <c r="O58" s="434"/>
      <c r="P58" s="8882"/>
      <c r="Q58" s="1396"/>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739</v>
      </c>
      <c r="B59" s="1265" t="s">
        <v>740</v>
      </c>
      <c r="C59" s="1265" t="s">
        <v>741</v>
      </c>
      <c r="D59" s="1265" t="s">
        <v>993</v>
      </c>
      <c r="E59" s="8884"/>
      <c r="F59" s="8884"/>
      <c r="G59" s="8884"/>
      <c r="H59" s="8883"/>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739</v>
      </c>
      <c r="B60" s="1265" t="s">
        <v>740</v>
      </c>
      <c r="C60" s="1265" t="s">
        <v>741</v>
      </c>
      <c r="D60" s="1237"/>
      <c r="E60" s="8884"/>
      <c r="F60" s="8884"/>
      <c r="G60" s="8883"/>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739</v>
      </c>
      <c r="B61" s="1265" t="s">
        <v>740</v>
      </c>
      <c r="C61" s="1237"/>
      <c r="D61" s="1237"/>
      <c r="E61" s="8884"/>
      <c r="F61" s="8883"/>
      <c r="G61" s="1237"/>
      <c r="H61" s="1237"/>
      <c r="I61" s="1237"/>
      <c r="J61" s="1237"/>
      <c r="K61" s="1237"/>
      <c r="L61" s="1409"/>
      <c r="M61" s="1244"/>
      <c r="N61" s="1244"/>
      <c r="P61" s="1239"/>
      <c r="Q61" s="1240"/>
      <c r="R61" s="1239"/>
      <c r="S61" s="1245"/>
      <c r="T61" s="1248" t="s">
        <v>314</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739</v>
      </c>
      <c r="B62" s="1265"/>
      <c r="C62" s="1265"/>
      <c r="D62" s="1265"/>
      <c r="E62" s="8883"/>
      <c r="F62" s="1265"/>
      <c r="G62" s="1265"/>
      <c r="H62" s="1265"/>
      <c r="I62" s="1265"/>
      <c r="J62" s="1265"/>
      <c r="K62" s="1265"/>
      <c r="L62" s="1268"/>
      <c r="M62" s="1244"/>
      <c r="N62" s="1244"/>
      <c r="O62" s="442"/>
      <c r="P62" s="308"/>
      <c r="Q62" s="1266"/>
      <c r="R62" s="308"/>
      <c r="S62" s="1245"/>
      <c r="T62" s="1248" t="s">
        <v>315</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706</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4.25" customHeight="1">
      <c r="O65" s="460"/>
      <c r="S65" s="1169"/>
      <c r="T65" s="8903"/>
      <c r="U65" s="8903"/>
      <c r="V65" s="8903"/>
      <c r="W65" s="8903"/>
      <c r="X65" s="8903"/>
      <c r="Y65" s="8903"/>
      <c r="Z65" s="8903"/>
      <c r="AA65" s="8903"/>
      <c r="AB65" s="8903"/>
      <c r="AC65" s="8903"/>
      <c r="AD65" s="8903"/>
      <c r="AE65" s="8903"/>
      <c r="AF65" s="8903"/>
      <c r="AG65" s="8903"/>
      <c r="AH65" s="8903"/>
      <c r="AI65" s="8903"/>
      <c r="AJ65" s="8903"/>
      <c r="AK65" s="8903"/>
      <c r="AL65" s="8903"/>
      <c r="AM65" s="8903"/>
      <c r="AN65" s="8903"/>
      <c r="AO65" s="8903"/>
      <c r="AP65" s="8903"/>
      <c r="AQ65" s="8903"/>
      <c r="AR65" s="8903"/>
      <c r="AS65" s="8903"/>
      <c r="AT65" s="8903"/>
      <c r="AU65" s="8903"/>
      <c r="AV65" s="8903"/>
      <c r="AW65" s="8903"/>
      <c r="AX65" s="8903"/>
      <c r="AY65" s="8903"/>
      <c r="AZ65" s="8903"/>
      <c r="BA65" s="8903"/>
      <c r="BB65" s="8903"/>
      <c r="BC65" s="8903"/>
    </row>
    <row r="66" spans="15:55" ht="14.25" customHeight="1">
      <c r="O66" s="46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4.25" customHeight="1">
      <c r="O67" s="460"/>
      <c r="S67" s="1169"/>
      <c r="T67" s="8903"/>
      <c r="U67" s="8903"/>
      <c r="V67" s="8903"/>
      <c r="W67" s="8903"/>
      <c r="X67" s="8903"/>
      <c r="Y67" s="8903"/>
      <c r="Z67" s="8903"/>
      <c r="AA67" s="8903"/>
      <c r="AB67" s="8903"/>
      <c r="AC67" s="8903"/>
      <c r="AD67" s="8903"/>
      <c r="AE67" s="8903"/>
      <c r="AF67" s="8903"/>
      <c r="AG67" s="8903"/>
      <c r="AH67" s="8903"/>
      <c r="AI67" s="8903"/>
      <c r="AJ67" s="8903"/>
      <c r="AK67" s="8903"/>
      <c r="AL67" s="8903"/>
      <c r="AM67" s="8903"/>
      <c r="AN67" s="8903"/>
      <c r="AO67" s="8903"/>
      <c r="AP67" s="8903"/>
      <c r="AQ67" s="8903"/>
      <c r="AR67" s="8903"/>
      <c r="AS67" s="8903"/>
      <c r="AT67" s="8903"/>
      <c r="AU67" s="8903"/>
      <c r="AV67" s="8903"/>
      <c r="AW67" s="8903"/>
      <c r="AX67" s="8903"/>
      <c r="AY67" s="8903"/>
      <c r="AZ67" s="8903"/>
      <c r="BA67" s="8903"/>
      <c r="BB67" s="8903"/>
      <c r="BC67" s="8903"/>
    </row>
    <row r="68" spans="15:55" ht="14.25" customHeight="1">
      <c r="O68" s="460"/>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8883">
        <v>1</v>
      </c>
      <c r="F2" s="1284"/>
      <c r="G2" s="1284"/>
      <c r="H2" s="1284"/>
      <c r="I2" s="1284"/>
      <c r="J2" s="1284"/>
      <c r="K2" s="1284"/>
      <c r="L2" s="1285"/>
      <c r="M2" s="1286"/>
      <c r="N2" s="1286"/>
      <c r="O2" s="1286"/>
      <c r="P2" s="282"/>
      <c r="Q2" s="281"/>
      <c r="R2" s="276"/>
      <c r="S2" s="1408" t="e">
        <f>INDEX(PT_DIFFERENTIATION_NUM_NTAR,MATCH(A2,PT_DIFFERENTIATION_NTAR_ID,0))</f>
        <v>#N/A</v>
      </c>
      <c r="T2" s="212" t="s">
        <v>211</v>
      </c>
      <c r="U2" s="214"/>
      <c r="V2" s="8869"/>
      <c r="W2" s="8870"/>
      <c r="X2" s="8870"/>
      <c r="Y2" s="8870"/>
      <c r="Z2" s="8870"/>
      <c r="AA2" s="8870"/>
      <c r="AB2" s="8871"/>
      <c r="AC2" s="8869" t="e">
        <f>INDEX(PT_DIFFERENTIATION_NTAR,MATCH(A2,PT_DIFFERENTIATION_NTAR_ID,0))</f>
        <v>#N/A</v>
      </c>
      <c r="AD2" s="8870"/>
      <c r="AE2" s="8870"/>
      <c r="AF2" s="8870"/>
      <c r="AG2" s="8870"/>
      <c r="AH2" s="8870"/>
      <c r="AI2" s="8870"/>
      <c r="AJ2" s="887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8884"/>
      <c r="F3" s="8883">
        <v>1</v>
      </c>
      <c r="G3" s="1284"/>
      <c r="H3" s="1284"/>
      <c r="I3" s="1284"/>
      <c r="J3" s="1284"/>
      <c r="K3" s="1284"/>
      <c r="L3" s="1285"/>
      <c r="M3" s="1286"/>
      <c r="N3" s="1286"/>
      <c r="O3" s="1286"/>
      <c r="P3" s="1402"/>
      <c r="Q3" s="273"/>
      <c r="R3" s="274"/>
      <c r="S3" s="1408" t="e">
        <f>INDEX(PT_DIFFERENTIATION_NUM_TER,MATCH(B3,PT_DIFFERENTIATION_TER_ID,0))</f>
        <v>#N/A</v>
      </c>
      <c r="T3" s="224" t="s">
        <v>862</v>
      </c>
      <c r="U3" s="214"/>
      <c r="V3" s="8869"/>
      <c r="W3" s="8870"/>
      <c r="X3" s="8870"/>
      <c r="Y3" s="8870"/>
      <c r="Z3" s="8870"/>
      <c r="AA3" s="8870"/>
      <c r="AB3" s="8871"/>
      <c r="AC3" s="8869" t="e">
        <f>INDEX(PT_DIFFERENTIATION_TER,MATCH(B3,PT_DIFFERENTIATION_TER_ID,0))</f>
        <v>#N/A</v>
      </c>
      <c r="AD3" s="8870"/>
      <c r="AE3" s="8870"/>
      <c r="AF3" s="8870"/>
      <c r="AG3" s="8870"/>
      <c r="AH3" s="8870"/>
      <c r="AI3" s="8870"/>
      <c r="AJ3" s="8871"/>
      <c r="AK3" s="1182" t="s">
        <v>863</v>
      </c>
      <c r="AM3" s="424"/>
      <c r="AN3" s="424" t="str">
        <f t="shared" si="0"/>
        <v>Территория действия тарифа</v>
      </c>
      <c r="AO3" s="424"/>
      <c r="AP3" s="424"/>
    </row>
    <row r="4" spans="1:42" ht="23.25" hidden="1" customHeight="1">
      <c r="A4" s="1284"/>
      <c r="B4" s="1284"/>
      <c r="C4" s="1284"/>
      <c r="D4" s="1284"/>
      <c r="E4" s="8884"/>
      <c r="F4" s="8884"/>
      <c r="G4" s="8883">
        <v>1</v>
      </c>
      <c r="H4" s="1284"/>
      <c r="I4" s="1284"/>
      <c r="J4" s="1284"/>
      <c r="K4" s="1284"/>
      <c r="L4" s="1285"/>
      <c r="M4" s="1286"/>
      <c r="N4" s="1286"/>
      <c r="O4" s="1286"/>
      <c r="P4" s="275"/>
      <c r="Q4" s="273"/>
      <c r="R4" s="274"/>
      <c r="S4" s="1408" t="e">
        <f>INDEX(PT_DIFFERENTIATION_NUM_CS,MATCH(C4,PT_DIFFERENTIATION_CS_ID,0))</f>
        <v>#N/A</v>
      </c>
      <c r="T4" s="225" t="s">
        <v>994</v>
      </c>
      <c r="U4" s="214"/>
      <c r="V4" s="8869"/>
      <c r="W4" s="8870"/>
      <c r="X4" s="8870"/>
      <c r="Y4" s="8870"/>
      <c r="Z4" s="8870"/>
      <c r="AA4" s="8870"/>
      <c r="AB4" s="8871"/>
      <c r="AC4" s="8869" t="e">
        <f>INDEX(PT_DIFFERENTIATION_CS,MATCH(C4,PT_DIFFERENTIATION_CS_ID,0))</f>
        <v>#N/A</v>
      </c>
      <c r="AD4" s="8870"/>
      <c r="AE4" s="8870"/>
      <c r="AF4" s="8870"/>
      <c r="AG4" s="8870"/>
      <c r="AH4" s="8870"/>
      <c r="AI4" s="8870"/>
      <c r="AJ4" s="8871"/>
      <c r="AK4" s="1182" t="s">
        <v>995</v>
      </c>
      <c r="AM4" s="424"/>
      <c r="AN4" s="424" t="str">
        <f t="shared" si="0"/>
        <v>Наименование централизованной системы горячего водоснабжения</v>
      </c>
      <c r="AO4" s="424"/>
      <c r="AP4" s="424"/>
    </row>
    <row r="5" spans="1:42" ht="23.25" hidden="1" customHeight="1">
      <c r="A5" s="1284"/>
      <c r="B5" s="1284"/>
      <c r="C5" s="1284"/>
      <c r="D5" s="1284"/>
      <c r="E5" s="8884"/>
      <c r="F5" s="8884"/>
      <c r="G5" s="8884"/>
      <c r="H5" s="8884"/>
      <c r="I5" s="8881" t="e">
        <f>S4&amp;".1"</f>
        <v>#N/A</v>
      </c>
      <c r="J5" s="1284"/>
      <c r="K5" s="1284"/>
      <c r="L5" s="1285"/>
      <c r="P5" s="8882">
        <v>1</v>
      </c>
      <c r="Q5" s="1396"/>
      <c r="R5" s="277"/>
      <c r="S5" s="1408" t="e">
        <f>$I5</f>
        <v>#N/A</v>
      </c>
      <c r="T5" s="200" t="s">
        <v>945</v>
      </c>
      <c r="U5" s="214"/>
      <c r="V5" s="8942"/>
      <c r="W5" s="8943"/>
      <c r="X5" s="8943"/>
      <c r="Y5" s="8943"/>
      <c r="Z5" s="8943"/>
      <c r="AA5" s="8943"/>
      <c r="AB5" s="8944"/>
      <c r="AC5" s="8945"/>
      <c r="AD5" s="8946"/>
      <c r="AE5" s="8946"/>
      <c r="AF5" s="8946"/>
      <c r="AG5" s="8946"/>
      <c r="AH5" s="8946"/>
      <c r="AI5" s="8946"/>
      <c r="AJ5" s="8947"/>
      <c r="AK5" s="1182" t="s">
        <v>946</v>
      </c>
      <c r="AM5" s="424"/>
      <c r="AN5" s="424" t="str">
        <f t="shared" si="0"/>
        <v>Наименование признака дифференциации</v>
      </c>
      <c r="AO5" s="424"/>
      <c r="AP5" s="424"/>
    </row>
    <row r="6" spans="1:42" ht="23.25" hidden="1" customHeight="1">
      <c r="A6" s="1284"/>
      <c r="B6" s="1284"/>
      <c r="C6" s="1284"/>
      <c r="D6" s="1284"/>
      <c r="E6" s="8884"/>
      <c r="F6" s="8884"/>
      <c r="G6" s="8884"/>
      <c r="H6" s="8884"/>
      <c r="I6" s="8904"/>
      <c r="J6" s="8881" t="e">
        <f>I5&amp;".1"</f>
        <v>#N/A</v>
      </c>
      <c r="K6" s="1284"/>
      <c r="L6" s="1285" t="s">
        <v>871</v>
      </c>
      <c r="P6" s="8882"/>
      <c r="Q6" s="8882">
        <v>1</v>
      </c>
      <c r="R6" s="278"/>
      <c r="S6" s="1408" t="e">
        <f>$J6</f>
        <v>#N/A</v>
      </c>
      <c r="T6" s="201" t="s">
        <v>872</v>
      </c>
      <c r="U6" s="214"/>
      <c r="V6" s="8872"/>
      <c r="W6" s="8873"/>
      <c r="X6" s="8873"/>
      <c r="Y6" s="8873"/>
      <c r="Z6" s="8873"/>
      <c r="AA6" s="8873"/>
      <c r="AB6" s="8874"/>
      <c r="AC6" s="8872"/>
      <c r="AD6" s="8873"/>
      <c r="AE6" s="8873"/>
      <c r="AF6" s="8873"/>
      <c r="AG6" s="8873"/>
      <c r="AH6" s="8873"/>
      <c r="AI6" s="8873"/>
      <c r="AJ6" s="8874"/>
      <c r="AK6" s="1231" t="s">
        <v>947</v>
      </c>
      <c r="AM6" s="424"/>
      <c r="AN6" s="424" t="str">
        <f t="shared" si="0"/>
        <v>Группа потребителей</v>
      </c>
      <c r="AO6" s="424"/>
      <c r="AP6" s="424"/>
    </row>
    <row r="7" spans="1:42" ht="23.25" hidden="1" customHeight="1">
      <c r="A7" s="1284"/>
      <c r="B7" s="1284"/>
      <c r="C7" s="1284"/>
      <c r="D7" s="1284"/>
      <c r="E7" s="8884"/>
      <c r="F7" s="8884"/>
      <c r="G7" s="8884"/>
      <c r="H7" s="8884"/>
      <c r="I7" s="8904"/>
      <c r="J7" s="8904"/>
      <c r="K7" s="8881" t="e">
        <f>J6&amp;".1"</f>
        <v>#N/A</v>
      </c>
      <c r="L7" s="1285"/>
      <c r="P7" s="8882"/>
      <c r="Q7" s="8882"/>
      <c r="R7" s="278">
        <v>1</v>
      </c>
      <c r="S7" s="1408" t="e">
        <f>$K7</f>
        <v>#N/A</v>
      </c>
      <c r="T7" s="1357"/>
      <c r="U7" s="214"/>
      <c r="V7" s="666"/>
      <c r="W7" s="666"/>
      <c r="X7" s="1181"/>
      <c r="Y7" s="8886"/>
      <c r="Z7" s="8734" t="s">
        <v>63</v>
      </c>
      <c r="AA7" s="8886"/>
      <c r="AB7" s="8734" t="s">
        <v>63</v>
      </c>
      <c r="AC7" s="666"/>
      <c r="AD7" s="666"/>
      <c r="AE7" s="1181"/>
      <c r="AF7" s="8886"/>
      <c r="AG7" s="8734" t="s">
        <v>63</v>
      </c>
      <c r="AH7" s="8905"/>
      <c r="AI7" s="8734" t="s">
        <v>63</v>
      </c>
      <c r="AJ7" s="1358"/>
      <c r="AK7"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8884"/>
      <c r="F8" s="8884"/>
      <c r="G8" s="8884"/>
      <c r="H8" s="8884"/>
      <c r="I8" s="8904"/>
      <c r="J8" s="8904"/>
      <c r="K8" s="8881"/>
      <c r="L8" s="1285"/>
      <c r="P8" s="8882"/>
      <c r="Q8" s="8882"/>
      <c r="R8" s="278"/>
      <c r="S8" s="1405"/>
      <c r="T8" s="214"/>
      <c r="U8" s="214"/>
      <c r="V8" s="246"/>
      <c r="W8" s="246"/>
      <c r="X8" s="250" t="str">
        <f>Y7&amp;"-"&amp;AA7</f>
        <v>-</v>
      </c>
      <c r="Y8" s="8887"/>
      <c r="Z8" s="8734"/>
      <c r="AA8" s="8887"/>
      <c r="AB8" s="8734"/>
      <c r="AC8" s="246"/>
      <c r="AD8" s="246"/>
      <c r="AE8" s="250" t="str">
        <f>AF7&amp;"-"&amp;AH7</f>
        <v>-</v>
      </c>
      <c r="AF8" s="8887"/>
      <c r="AG8" s="8734"/>
      <c r="AH8" s="8906"/>
      <c r="AI8" s="8734"/>
      <c r="AJ8" s="1359"/>
      <c r="AK8" s="8941"/>
      <c r="AM8" s="424"/>
      <c r="AN8" s="424" t="str">
        <f t="shared" si="0"/>
        <v/>
      </c>
      <c r="AO8" s="424"/>
      <c r="AP8" s="424"/>
    </row>
    <row r="9" spans="1:42" ht="21" hidden="1" customHeight="1">
      <c r="A9" s="1284"/>
      <c r="B9" s="1284"/>
      <c r="C9" s="1284"/>
      <c r="D9" s="1284"/>
      <c r="E9" s="8884"/>
      <c r="F9" s="8884"/>
      <c r="G9" s="8884"/>
      <c r="H9" s="8884"/>
      <c r="I9" s="8904"/>
      <c r="J9" s="8881"/>
      <c r="K9" s="1284"/>
      <c r="L9" s="1285"/>
      <c r="P9" s="8882"/>
      <c r="Q9" s="8882"/>
      <c r="R9" s="277"/>
      <c r="S9" s="1203"/>
      <c r="T9" s="202" t="s">
        <v>948</v>
      </c>
      <c r="U9" s="291"/>
      <c r="V9" s="291"/>
      <c r="W9" s="291"/>
      <c r="X9" s="291"/>
      <c r="Y9" s="291"/>
      <c r="Z9" s="291"/>
      <c r="AA9" s="291"/>
      <c r="AB9" s="291"/>
      <c r="AC9" s="291"/>
      <c r="AD9" s="291"/>
      <c r="AE9" s="291"/>
      <c r="AF9" s="291"/>
      <c r="AG9" s="291"/>
      <c r="AH9" s="291"/>
      <c r="AI9" s="291"/>
      <c r="AJ9" s="291"/>
      <c r="AK9" s="1182" t="s">
        <v>949</v>
      </c>
      <c r="AM9" s="424"/>
      <c r="AN9" s="424" t="str">
        <f t="shared" si="0"/>
        <v>Добавить значение признака дифференциации</v>
      </c>
      <c r="AO9" s="424"/>
      <c r="AP9" s="424"/>
    </row>
    <row r="10" spans="1:42" ht="21" hidden="1" customHeight="1">
      <c r="A10" s="1284"/>
      <c r="B10" s="1284"/>
      <c r="C10" s="1284"/>
      <c r="D10" s="1284"/>
      <c r="E10" s="8884"/>
      <c r="F10" s="8884"/>
      <c r="G10" s="8884"/>
      <c r="H10" s="8884"/>
      <c r="I10" s="8881"/>
      <c r="J10" s="1284"/>
      <c r="K10" s="1284"/>
      <c r="L10" s="1285"/>
      <c r="P10" s="8882"/>
      <c r="Q10" s="1396"/>
      <c r="R10" s="277"/>
      <c r="S10" s="1203"/>
      <c r="T10" s="288" t="s">
        <v>877</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8884"/>
      <c r="F11" s="8884"/>
      <c r="G11" s="8884"/>
      <c r="H11" s="8883"/>
      <c r="I11" s="1284"/>
      <c r="J11" s="1284"/>
      <c r="K11" s="1284"/>
      <c r="L11" s="1285"/>
      <c r="M11" s="1286"/>
      <c r="N11" s="1286"/>
      <c r="O11" s="460"/>
      <c r="P11" s="281"/>
      <c r="Q11" s="299"/>
      <c r="R11" s="276"/>
      <c r="S11" s="1203"/>
      <c r="T11" s="296" t="s">
        <v>950</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8884"/>
      <c r="F12" s="8883"/>
      <c r="G12" s="1237"/>
      <c r="H12" s="1237"/>
      <c r="I12" s="1237"/>
      <c r="J12" s="1237"/>
      <c r="K12" s="1237"/>
      <c r="L12" s="1409"/>
      <c r="M12" s="1244"/>
      <c r="N12" s="1244"/>
      <c r="P12" s="1239"/>
      <c r="Q12" s="1240"/>
      <c r="R12" s="1239"/>
      <c r="S12" s="1245"/>
      <c r="T12" s="1248" t="s">
        <v>314</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8883"/>
      <c r="F13" s="1265"/>
      <c r="G13" s="1265"/>
      <c r="H13" s="1265"/>
      <c r="I13" s="1265"/>
      <c r="J13" s="1265"/>
      <c r="K13" s="1265"/>
      <c r="L13" s="1268"/>
      <c r="M13" s="1244"/>
      <c r="N13" s="1244"/>
      <c r="O13" s="442"/>
      <c r="P13" s="308"/>
      <c r="Q13" s="1266"/>
      <c r="R13" s="308"/>
      <c r="S13" s="1245"/>
      <c r="T13" s="1248" t="s">
        <v>315</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8888"/>
      <c r="AG15" s="8889" t="s">
        <v>63</v>
      </c>
      <c r="AH15" s="8888"/>
      <c r="AI15" s="8889" t="s">
        <v>63</v>
      </c>
    </row>
    <row r="16" spans="1:42" ht="14.25" hidden="1" customHeight="1">
      <c r="AC16" s="1281"/>
      <c r="AD16" s="1281"/>
      <c r="AE16" s="250" t="str">
        <f>AF15&amp;"-"&amp;AH15</f>
        <v>-</v>
      </c>
      <c r="AF16" s="8889"/>
      <c r="AG16" s="8889"/>
      <c r="AH16" s="8889"/>
      <c r="AI16" s="8889"/>
    </row>
    <row r="17" spans="1:42" ht="14.25" hidden="1" customHeight="1">
      <c r="AI17" s="249"/>
    </row>
    <row r="18" spans="1:42" s="1287" customFormat="1" ht="22.5" hidden="1" customHeight="1">
      <c r="L18" s="1393"/>
      <c r="M18" s="1283"/>
      <c r="N18" s="1283"/>
      <c r="O18" s="1288" t="s">
        <v>880</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881</v>
      </c>
      <c r="P20" s="1283"/>
      <c r="Q20" s="1361"/>
      <c r="R20" s="1361"/>
      <c r="S20" s="646"/>
      <c r="T20" s="1065" t="s">
        <v>882</v>
      </c>
      <c r="Z20" s="104" t="s">
        <v>883</v>
      </c>
      <c r="AB20" s="104" t="s">
        <v>884</v>
      </c>
      <c r="AC20" s="1065" t="s">
        <v>882</v>
      </c>
      <c r="AG20" s="104" t="s">
        <v>885</v>
      </c>
      <c r="AI20" s="104" t="s">
        <v>884</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29.25" customHeight="1">
      <c r="Q24" s="300"/>
      <c r="R24" s="300"/>
      <c r="S24" s="88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8867"/>
      <c r="U24" s="8867"/>
      <c r="V24" s="8867"/>
      <c r="W24" s="8867"/>
      <c r="X24" s="8867"/>
      <c r="Y24" s="8867"/>
      <c r="Z24" s="8867"/>
      <c r="AA24" s="8867"/>
      <c r="AB24" s="8867"/>
      <c r="AC24" s="8867"/>
      <c r="AD24" s="8867"/>
      <c r="AE24" s="8867"/>
      <c r="AF24" s="8867"/>
      <c r="AG24" s="8867"/>
      <c r="AH24" s="8867"/>
      <c r="AI24" s="1157"/>
    </row>
    <row r="25" spans="1:42" ht="14.25" customHeight="1">
      <c r="Q25" s="300"/>
      <c r="R25" s="300"/>
      <c r="S25" s="8814" t="str">
        <f>IF(org=0,"Не определено",org)</f>
        <v>ГУП СК "Ставрополькрайводоканал"</v>
      </c>
      <c r="T25" s="8814"/>
      <c r="U25" s="8814"/>
      <c r="V25" s="8814"/>
      <c r="W25" s="8814"/>
      <c r="X25" s="8814"/>
      <c r="Y25" s="8814"/>
      <c r="Z25" s="8814"/>
      <c r="AA25" s="8814"/>
      <c r="AB25" s="8814"/>
      <c r="AC25" s="8814"/>
      <c r="AD25" s="8814"/>
      <c r="AE25" s="8814"/>
      <c r="AF25" s="8814"/>
      <c r="AG25" s="8814"/>
      <c r="AH25" s="8814"/>
      <c r="AI25" s="1157"/>
    </row>
    <row r="26" spans="1:42" ht="14.25" hidden="1"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hidden="1" customHeight="1">
      <c r="A27" s="1289"/>
      <c r="B27" s="1289"/>
      <c r="C27" s="1289"/>
      <c r="D27" s="1289"/>
      <c r="E27" s="1289"/>
      <c r="F27" s="1289"/>
      <c r="G27" s="1289"/>
      <c r="H27" s="1289"/>
      <c r="I27" s="1289"/>
      <c r="J27" s="1289"/>
      <c r="K27" s="1289"/>
      <c r="L27" s="1290"/>
      <c r="M27" s="1289"/>
      <c r="N27" s="1289"/>
      <c r="O27" s="1289"/>
      <c r="S27" s="8875" t="s">
        <v>38</v>
      </c>
      <c r="T27" s="8875"/>
      <c r="U27" s="1293"/>
      <c r="V27" s="8876" t="str">
        <f>IF(TITLE_NAME_OR_PR_CHANGE="",IF(TITLE_NAME_OR_PR="","",TITLE_NAME_OR_PR),TITLE_NAME_OR_PR_CHANGE)</f>
        <v/>
      </c>
      <c r="W27" s="8876"/>
      <c r="X27" s="8876"/>
      <c r="Y27" s="8876"/>
      <c r="Z27" s="8876"/>
      <c r="AA27" s="8876"/>
      <c r="AB27" s="248"/>
      <c r="AC27" s="8876" t="str">
        <f>IF(TITLE_NAME_OR_PR_CHANGE="",IF(TITLE_NAME_OR_PR="","",TITLE_NAME_OR_PR),TITLE_NAME_OR_PR_CHANGE)</f>
        <v/>
      </c>
      <c r="AD27" s="8876"/>
      <c r="AE27" s="8876"/>
      <c r="AF27" s="8876"/>
      <c r="AG27" s="8876"/>
      <c r="AH27" s="8876"/>
      <c r="AI27" s="248"/>
      <c r="AJ27" s="248"/>
      <c r="AK27" s="196"/>
      <c r="AL27" s="292"/>
      <c r="AM27" s="292"/>
      <c r="AN27" s="292"/>
      <c r="AO27" s="292"/>
      <c r="AP27" s="292"/>
    </row>
    <row r="28" spans="1:42" s="1771" customFormat="1" ht="18.75" hidden="1" customHeight="1">
      <c r="A28" s="1289"/>
      <c r="B28" s="1289"/>
      <c r="C28" s="1289"/>
      <c r="D28" s="1289"/>
      <c r="E28" s="1289"/>
      <c r="F28" s="1289"/>
      <c r="G28" s="1289"/>
      <c r="H28" s="1289"/>
      <c r="I28" s="1289"/>
      <c r="J28" s="1289"/>
      <c r="K28" s="1289"/>
      <c r="L28" s="1290"/>
      <c r="M28" s="1289"/>
      <c r="N28" s="1289"/>
      <c r="O28" s="1289"/>
      <c r="S28" s="8875" t="s">
        <v>886</v>
      </c>
      <c r="T28" s="8875"/>
      <c r="U28" s="1293"/>
      <c r="V28" s="8885">
        <f>IF(TITLE_DATE_PR_CHANGE="",IF(TITLE_DATE_PR="","",TITLE_DATE_PR),TITLE_DATE_PR_CHANGE)</f>
        <v>45281.411851851852</v>
      </c>
      <c r="W28" s="8885"/>
      <c r="X28" s="8885"/>
      <c r="Y28" s="8885"/>
      <c r="Z28" s="8885"/>
      <c r="AA28" s="8885"/>
      <c r="AB28" s="248"/>
      <c r="AC28" s="8885">
        <f>IF(TITLE_DATE_PR_CHANGE="",IF(TITLE_DATE_PR="","",TITLE_DATE_PR),TITLE_DATE_PR_CHANGE)</f>
        <v>45281.411851851852</v>
      </c>
      <c r="AD28" s="8885"/>
      <c r="AE28" s="8885"/>
      <c r="AF28" s="8885"/>
      <c r="AG28" s="8885"/>
      <c r="AH28" s="8885"/>
      <c r="AI28" s="248"/>
      <c r="AJ28" s="248"/>
      <c r="AK28" s="196"/>
      <c r="AL28" s="292"/>
      <c r="AM28" s="292"/>
      <c r="AN28" s="292"/>
      <c r="AO28" s="292"/>
      <c r="AP28" s="292"/>
    </row>
    <row r="29" spans="1:42" s="1771" customFormat="1" ht="18.75" hidden="1" customHeight="1">
      <c r="A29" s="1289"/>
      <c r="B29" s="1289"/>
      <c r="C29" s="1289"/>
      <c r="D29" s="1289"/>
      <c r="E29" s="1289"/>
      <c r="F29" s="1289"/>
      <c r="G29" s="1289"/>
      <c r="H29" s="1289"/>
      <c r="I29" s="1289"/>
      <c r="J29" s="1289"/>
      <c r="K29" s="1289"/>
      <c r="L29" s="1290"/>
      <c r="M29" s="1289"/>
      <c r="N29" s="1289"/>
      <c r="O29" s="1289"/>
      <c r="S29" s="8875" t="s">
        <v>887</v>
      </c>
      <c r="T29" s="8875"/>
      <c r="U29" s="1293"/>
      <c r="V29" s="8876" t="str">
        <f>IF(TITLE_NUMBER_PR_CHANGE="",IF(TITLE_NUMBER_PR="","",TITLE_NUMBER_PR),TITLE_NUMBER_PR_CHANGE)</f>
        <v>06-11/11398</v>
      </c>
      <c r="W29" s="8876"/>
      <c r="X29" s="8876"/>
      <c r="Y29" s="8876"/>
      <c r="Z29" s="8876"/>
      <c r="AA29" s="8876"/>
      <c r="AB29" s="248"/>
      <c r="AC29" s="8876" t="str">
        <f>IF(TITLE_NUMBER_PR_CHANGE="",IF(TITLE_NUMBER_PR="","",TITLE_NUMBER_PR),TITLE_NUMBER_PR_CHANGE)</f>
        <v>06-11/11398</v>
      </c>
      <c r="AD29" s="8876"/>
      <c r="AE29" s="8876"/>
      <c r="AF29" s="8876"/>
      <c r="AG29" s="8876"/>
      <c r="AH29" s="8876"/>
      <c r="AI29" s="248"/>
      <c r="AJ29" s="248"/>
      <c r="AK29" s="196"/>
      <c r="AL29" s="292"/>
      <c r="AM29" s="292"/>
      <c r="AN29" s="292"/>
      <c r="AO29" s="292"/>
      <c r="AP29" s="292"/>
    </row>
    <row r="30" spans="1:42" s="1771" customFormat="1" ht="18.75" hidden="1" customHeight="1">
      <c r="A30" s="1289"/>
      <c r="B30" s="1289"/>
      <c r="C30" s="1289"/>
      <c r="D30" s="1289"/>
      <c r="E30" s="1289"/>
      <c r="F30" s="1289"/>
      <c r="G30" s="1289"/>
      <c r="H30" s="1289"/>
      <c r="I30" s="1289"/>
      <c r="J30" s="1289"/>
      <c r="K30" s="1289"/>
      <c r="L30" s="1290"/>
      <c r="M30" s="1289"/>
      <c r="N30" s="1289"/>
      <c r="O30" s="1289"/>
      <c r="S30" s="8875" t="s">
        <v>39</v>
      </c>
      <c r="T30" s="8875"/>
      <c r="U30" s="1293"/>
      <c r="V30" s="8876" t="str">
        <f>IF(TITLE_IST_PUB_CHANGE="",IF(TITLE_IST_PUB="","",TITLE_IST_PUB),TITLE_IST_PUB_CHANGE)</f>
        <v/>
      </c>
      <c r="W30" s="8876"/>
      <c r="X30" s="8876"/>
      <c r="Y30" s="8876"/>
      <c r="Z30" s="8876"/>
      <c r="AA30" s="8876"/>
      <c r="AB30" s="248"/>
      <c r="AC30" s="8876" t="str">
        <f>IF(TITLE_IST_PUB_CHANGE="",IF(TITLE_IST_PUB="","",TITLE_IST_PUB),TITLE_IST_PUB_CHANGE)</f>
        <v/>
      </c>
      <c r="AD30" s="8876"/>
      <c r="AE30" s="8876"/>
      <c r="AF30" s="8876"/>
      <c r="AG30" s="8876"/>
      <c r="AH30" s="8876"/>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8875" t="s">
        <v>888</v>
      </c>
      <c r="T32" s="8875"/>
      <c r="U32" s="1293"/>
      <c r="V32" s="8885">
        <f>IF(TITLE_DATE_PR_CHANGE="",IF(TITLE_DATE_PR="","",TITLE_DATE_PR),TITLE_DATE_PR_CHANGE)</f>
        <v>45281.411851851852</v>
      </c>
      <c r="W32" s="8885"/>
      <c r="X32" s="8885"/>
      <c r="Y32" s="8885"/>
      <c r="Z32" s="8885"/>
      <c r="AA32" s="8885"/>
      <c r="AB32" s="248"/>
      <c r="AC32" s="8885">
        <f>IF(TITLE_DATE_PR_CHANGE="",IF(TITLE_DATE_PR="","",TITLE_DATE_PR),TITLE_DATE_PR_CHANGE)</f>
        <v>45281.411851851852</v>
      </c>
      <c r="AD32" s="8885"/>
      <c r="AE32" s="8885"/>
      <c r="AF32" s="8885"/>
      <c r="AG32" s="8885"/>
      <c r="AH32" s="8885"/>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8875" t="s">
        <v>889</v>
      </c>
      <c r="T33" s="8875"/>
      <c r="U33" s="1293"/>
      <c r="V33" s="8876" t="str">
        <f>IF(TITLE_NUMBER_PR_CHANGE="",IF(TITLE_NUMBER_PR="","",TITLE_NUMBER_PR),TITLE_NUMBER_PR_CHANGE)</f>
        <v>06-11/11398</v>
      </c>
      <c r="W33" s="8876"/>
      <c r="X33" s="8876"/>
      <c r="Y33" s="8876"/>
      <c r="Z33" s="8876"/>
      <c r="AA33" s="8876"/>
      <c r="AB33" s="248"/>
      <c r="AC33" s="8876" t="str">
        <f>IF(TITLE_NUMBER_PR_CHANGE="",IF(TITLE_NUMBER_PR="","",TITLE_NUMBER_PR),TITLE_NUMBER_PR_CHANGE)</f>
        <v>06-11/11398</v>
      </c>
      <c r="AD33" s="8876"/>
      <c r="AE33" s="8876"/>
      <c r="AF33" s="8876"/>
      <c r="AG33" s="8876"/>
      <c r="AH33" s="8876"/>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890</v>
      </c>
      <c r="AC34" s="248"/>
      <c r="AD34" s="248"/>
      <c r="AE34" s="248"/>
      <c r="AF34" s="248"/>
      <c r="AG34" s="248"/>
      <c r="AH34" s="248"/>
      <c r="AI34" s="194" t="s">
        <v>890</v>
      </c>
      <c r="AL34" s="292"/>
      <c r="AM34" s="292"/>
      <c r="AN34" s="292"/>
      <c r="AO34" s="292"/>
      <c r="AP34" s="292"/>
    </row>
    <row r="35" spans="1:42" ht="14.25" customHeight="1">
      <c r="Q35" s="300"/>
      <c r="R35" s="300"/>
      <c r="S35" s="1200"/>
      <c r="T35" s="286"/>
      <c r="U35" s="1158"/>
      <c r="V35" s="8877"/>
      <c r="W35" s="8877"/>
      <c r="X35" s="8877"/>
      <c r="Y35" s="8877"/>
      <c r="Z35" s="8877"/>
      <c r="AA35" s="8877"/>
      <c r="AB35" s="8877"/>
      <c r="AC35" s="8877"/>
      <c r="AD35" s="8877"/>
      <c r="AE35" s="8877"/>
      <c r="AF35" s="8877"/>
      <c r="AG35" s="8877"/>
      <c r="AH35" s="8877"/>
      <c r="AI35" s="8877"/>
    </row>
    <row r="36" spans="1:42" ht="14.25" customHeight="1">
      <c r="Q36" s="300"/>
      <c r="R36" s="300"/>
      <c r="S36" s="8753" t="s">
        <v>763</v>
      </c>
      <c r="T36" s="8753"/>
      <c r="U36" s="8753"/>
      <c r="V36" s="8753"/>
      <c r="W36" s="8753"/>
      <c r="X36" s="8753"/>
      <c r="Y36" s="8753"/>
      <c r="Z36" s="8753"/>
      <c r="AA36" s="8753"/>
      <c r="AB36" s="8753"/>
      <c r="AC36" s="8753"/>
      <c r="AD36" s="8753"/>
      <c r="AE36" s="8753"/>
      <c r="AF36" s="8753"/>
      <c r="AG36" s="8753"/>
      <c r="AH36" s="8753"/>
      <c r="AI36" s="8753"/>
      <c r="AJ36" s="8753"/>
      <c r="AK36" s="8753" t="s">
        <v>764</v>
      </c>
    </row>
    <row r="37" spans="1:42" ht="14.25" customHeight="1">
      <c r="Q37" s="300"/>
      <c r="R37" s="300"/>
      <c r="S37" s="8891" t="s">
        <v>84</v>
      </c>
      <c r="T37" s="8843" t="s">
        <v>891</v>
      </c>
      <c r="U37" s="215"/>
      <c r="V37" s="8892" t="s">
        <v>892</v>
      </c>
      <c r="W37" s="8893"/>
      <c r="X37" s="8893"/>
      <c r="Y37" s="8893"/>
      <c r="Z37" s="8893"/>
      <c r="AA37" s="8894"/>
      <c r="AB37" s="8895" t="s">
        <v>893</v>
      </c>
      <c r="AC37" s="8892" t="s">
        <v>892</v>
      </c>
      <c r="AD37" s="8893"/>
      <c r="AE37" s="8893"/>
      <c r="AF37" s="8893"/>
      <c r="AG37" s="8893"/>
      <c r="AH37" s="8894"/>
      <c r="AI37" s="8895" t="s">
        <v>894</v>
      </c>
      <c r="AJ37" s="8898" t="s">
        <v>895</v>
      </c>
      <c r="AK37" s="8753"/>
    </row>
    <row r="38" spans="1:42" ht="33.75" customHeight="1">
      <c r="Q38" s="300"/>
      <c r="R38" s="300"/>
      <c r="S38" s="8891"/>
      <c r="T38" s="8843"/>
      <c r="U38" s="942"/>
      <c r="V38" s="1398" t="s">
        <v>996</v>
      </c>
      <c r="W38" s="8724" t="s">
        <v>997</v>
      </c>
      <c r="X38" s="8723"/>
      <c r="Y38" s="8724" t="s">
        <v>899</v>
      </c>
      <c r="Z38" s="8729"/>
      <c r="AA38" s="8723"/>
      <c r="AB38" s="8896"/>
      <c r="AC38" s="1398" t="s">
        <v>996</v>
      </c>
      <c r="AD38" s="8724" t="s">
        <v>997</v>
      </c>
      <c r="AE38" s="8723"/>
      <c r="AF38" s="8724" t="s">
        <v>899</v>
      </c>
      <c r="AG38" s="8729"/>
      <c r="AH38" s="8723"/>
      <c r="AI38" s="8896"/>
      <c r="AJ38" s="8899"/>
      <c r="AK38" s="8753"/>
    </row>
    <row r="39" spans="1:42" ht="86.25" customHeight="1">
      <c r="A39" s="1291"/>
      <c r="B39" s="1291" t="s">
        <v>223</v>
      </c>
      <c r="C39" s="1291" t="s">
        <v>224</v>
      </c>
      <c r="D39" s="1291" t="s">
        <v>225</v>
      </c>
      <c r="E39" s="1285" t="s">
        <v>900</v>
      </c>
      <c r="F39" s="1285" t="s">
        <v>901</v>
      </c>
      <c r="G39" s="1285" t="s">
        <v>902</v>
      </c>
      <c r="H39" s="1285"/>
      <c r="I39" s="1285" t="s">
        <v>952</v>
      </c>
      <c r="J39" s="1285" t="s">
        <v>905</v>
      </c>
      <c r="K39" s="1285" t="s">
        <v>953</v>
      </c>
      <c r="L39" s="1285" t="s">
        <v>881</v>
      </c>
      <c r="Q39" s="300"/>
      <c r="R39" s="300"/>
      <c r="S39" s="8891"/>
      <c r="T39" s="8843"/>
      <c r="U39" s="216"/>
      <c r="V39" s="1398" t="s">
        <v>998</v>
      </c>
      <c r="W39" s="1133" t="s">
        <v>999</v>
      </c>
      <c r="X39" s="1133" t="s">
        <v>1000</v>
      </c>
      <c r="Y39" s="1404" t="s">
        <v>909</v>
      </c>
      <c r="Z39" s="8851" t="s">
        <v>910</v>
      </c>
      <c r="AA39" s="8853"/>
      <c r="AB39" s="8897"/>
      <c r="AC39" s="1398" t="s">
        <v>998</v>
      </c>
      <c r="AD39" s="1133" t="s">
        <v>999</v>
      </c>
      <c r="AE39" s="1133" t="s">
        <v>1000</v>
      </c>
      <c r="AF39" s="1404" t="s">
        <v>909</v>
      </c>
      <c r="AG39" s="8851" t="s">
        <v>910</v>
      </c>
      <c r="AH39" s="8853"/>
      <c r="AI39" s="8897"/>
      <c r="AJ39" s="8900"/>
      <c r="AK39" s="8753"/>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95</v>
      </c>
      <c r="T40" s="1177" t="s">
        <v>99</v>
      </c>
      <c r="U40" s="1159" t="str">
        <f ca="1">OFFSET(U40,0,-1)</f>
        <v>2</v>
      </c>
      <c r="V40" s="1397">
        <f ca="1">OFFSET(V40,0,-1)+1</f>
        <v>3</v>
      </c>
      <c r="W40" s="1397">
        <f ca="1">OFFSET(W40,0,-1)+1</f>
        <v>4</v>
      </c>
      <c r="X40" s="1397">
        <f ca="1">OFFSET(X40,0,-1)+1</f>
        <v>5</v>
      </c>
      <c r="Y40" s="1397">
        <f ca="1">OFFSET(Y40,0,-1)+1</f>
        <v>6</v>
      </c>
      <c r="Z40" s="8890">
        <f ca="1">OFFSET(Z40,0,-1)+1</f>
        <v>7</v>
      </c>
      <c r="AA40" s="8890"/>
      <c r="AB40" s="1397">
        <f ca="1">OFFSET(AB40,0,-2)+1</f>
        <v>8</v>
      </c>
      <c r="AC40" s="1397">
        <f ca="1">OFFSET(AC40,0,-1)+1</f>
        <v>9</v>
      </c>
      <c r="AD40" s="1397">
        <f ca="1">OFFSET(AD40,0,-1)+1</f>
        <v>10</v>
      </c>
      <c r="AE40" s="1397">
        <f ca="1">OFFSET(AE40,0,-1)+1</f>
        <v>11</v>
      </c>
      <c r="AF40" s="1397">
        <f ca="1">OFFSET(AF40,0,-1)+1</f>
        <v>12</v>
      </c>
      <c r="AG40" s="8890">
        <f ca="1">OFFSET(AG40,0,-1)+1</f>
        <v>13</v>
      </c>
      <c r="AH40" s="8890"/>
      <c r="AI40" s="1397">
        <f ca="1">OFFSET(AI40,0,-2)+1</f>
        <v>14</v>
      </c>
      <c r="AJ40" s="1159">
        <f ca="1">OFFSET(AJ40,0,-1)</f>
        <v>14</v>
      </c>
      <c r="AK40" s="1397">
        <f ca="1">OFFSET(AK40,0,-1)+1</f>
        <v>15</v>
      </c>
      <c r="AL40" s="435"/>
      <c r="AM40" s="435"/>
      <c r="AN40" s="435"/>
      <c r="AO40" s="435"/>
      <c r="AP40" s="435"/>
    </row>
    <row r="41" spans="1:42" ht="23.25" customHeight="1">
      <c r="A41" s="1284" t="s">
        <v>714</v>
      </c>
      <c r="B41" s="1284"/>
      <c r="C41" s="1284"/>
      <c r="D41" s="1284"/>
      <c r="E41" s="8883">
        <v>1</v>
      </c>
      <c r="F41" s="1284"/>
      <c r="G41" s="1284"/>
      <c r="H41" s="1284"/>
      <c r="I41" s="1284"/>
      <c r="J41" s="1284"/>
      <c r="K41" s="1284"/>
      <c r="L41" s="1285"/>
      <c r="M41" s="1286"/>
      <c r="N41" s="1286"/>
      <c r="O41" s="1286"/>
      <c r="P41" s="282"/>
      <c r="Q41" s="281"/>
      <c r="R41" s="276"/>
      <c r="S41" s="1408">
        <f>INDEX(PT_DIFFERENTIATION_NUM_NTAR,MATCH(A41,PT_DIFFERENTIATION_NTAR_ID,0))</f>
        <v>0</v>
      </c>
      <c r="T41" s="212" t="s">
        <v>211</v>
      </c>
      <c r="U41" s="214"/>
      <c r="V41" s="8869"/>
      <c r="W41" s="8870"/>
      <c r="X41" s="8870"/>
      <c r="Y41" s="8870"/>
      <c r="Z41" s="8870"/>
      <c r="AA41" s="8870"/>
      <c r="AB41" s="8871"/>
      <c r="AC41" s="8869" t="str">
        <f>INDEX(PT_DIFFERENTIATION_NTAR,MATCH(A41,PT_DIFFERENTIATION_NTAR_ID,0))</f>
        <v/>
      </c>
      <c r="AD41" s="8870"/>
      <c r="AE41" s="8870"/>
      <c r="AF41" s="8870"/>
      <c r="AG41" s="8870"/>
      <c r="AH41" s="8870"/>
      <c r="AI41" s="8870"/>
      <c r="AJ41" s="887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714</v>
      </c>
      <c r="B42" s="1284" t="s">
        <v>715</v>
      </c>
      <c r="C42" s="1284"/>
      <c r="D42" s="1284"/>
      <c r="E42" s="8884"/>
      <c r="F42" s="8883">
        <v>1</v>
      </c>
      <c r="G42" s="1284"/>
      <c r="H42" s="1284"/>
      <c r="I42" s="1284"/>
      <c r="J42" s="1284"/>
      <c r="K42" s="1284"/>
      <c r="L42" s="1285"/>
      <c r="M42" s="1286"/>
      <c r="N42" s="1286"/>
      <c r="O42" s="1286"/>
      <c r="P42" s="1402"/>
      <c r="Q42" s="273"/>
      <c r="R42" s="274"/>
      <c r="S42" s="1408" t="str">
        <f>INDEX(PT_DIFFERENTIATION_NUM_TER,MATCH(B42,PT_DIFFERENTIATION_TER_ID,0))</f>
        <v>.</v>
      </c>
      <c r="T42" s="224" t="s">
        <v>862</v>
      </c>
      <c r="U42" s="214"/>
      <c r="V42" s="8869"/>
      <c r="W42" s="8870"/>
      <c r="X42" s="8870"/>
      <c r="Y42" s="8870"/>
      <c r="Z42" s="8870"/>
      <c r="AA42" s="8870"/>
      <c r="AB42" s="8871"/>
      <c r="AC42" s="8869" t="str">
        <f>INDEX(PT_DIFFERENTIATION_TER,MATCH(B42,PT_DIFFERENTIATION_TER_ID,0))</f>
        <v/>
      </c>
      <c r="AD42" s="8870"/>
      <c r="AE42" s="8870"/>
      <c r="AF42" s="8870"/>
      <c r="AG42" s="8870"/>
      <c r="AH42" s="8870"/>
      <c r="AI42" s="8870"/>
      <c r="AJ42" s="8871"/>
      <c r="AK42" s="1182" t="s">
        <v>863</v>
      </c>
      <c r="AM42" s="424"/>
      <c r="AN42" s="424" t="str">
        <f t="shared" si="1"/>
        <v>Территория действия тарифа</v>
      </c>
      <c r="AO42" s="424"/>
      <c r="AP42" s="424"/>
    </row>
    <row r="43" spans="1:42" ht="23.25" customHeight="1">
      <c r="A43" s="1284" t="s">
        <v>714</v>
      </c>
      <c r="B43" s="1284" t="s">
        <v>715</v>
      </c>
      <c r="C43" s="1284" t="s">
        <v>716</v>
      </c>
      <c r="D43" s="1284"/>
      <c r="E43" s="8884"/>
      <c r="F43" s="8884"/>
      <c r="G43" s="8883">
        <v>1</v>
      </c>
      <c r="H43" s="1284"/>
      <c r="I43" s="1284"/>
      <c r="J43" s="1284"/>
      <c r="K43" s="1284"/>
      <c r="L43" s="1285"/>
      <c r="M43" s="1286"/>
      <c r="N43" s="1286"/>
      <c r="O43" s="1286"/>
      <c r="P43" s="275"/>
      <c r="Q43" s="273"/>
      <c r="R43" s="274"/>
      <c r="S43" s="1408" t="str">
        <f>INDEX(PT_DIFFERENTIATION_NUM_CS,MATCH(C43,PT_DIFFERENTIATION_CS_ID,0))</f>
        <v>..</v>
      </c>
      <c r="T43" s="225" t="s">
        <v>994</v>
      </c>
      <c r="U43" s="214"/>
      <c r="V43" s="8869"/>
      <c r="W43" s="8870"/>
      <c r="X43" s="8870"/>
      <c r="Y43" s="8870"/>
      <c r="Z43" s="8870"/>
      <c r="AA43" s="8870"/>
      <c r="AB43" s="8871"/>
      <c r="AC43" s="8869" t="str">
        <f>INDEX(PT_DIFFERENTIATION_CS,MATCH(C43,PT_DIFFERENTIATION_CS_ID,0))</f>
        <v/>
      </c>
      <c r="AD43" s="8870"/>
      <c r="AE43" s="8870"/>
      <c r="AF43" s="8870"/>
      <c r="AG43" s="8870"/>
      <c r="AH43" s="8870"/>
      <c r="AI43" s="8870"/>
      <c r="AJ43" s="8871"/>
      <c r="AK43" s="1182" t="s">
        <v>995</v>
      </c>
      <c r="AM43" s="424"/>
      <c r="AN43" s="424" t="str">
        <f t="shared" si="1"/>
        <v>Наименование централизованной системы горячего водоснабжения</v>
      </c>
      <c r="AO43" s="424"/>
      <c r="AP43" s="424"/>
    </row>
    <row r="44" spans="1:42" ht="23.25" customHeight="1">
      <c r="A44" s="1284" t="s">
        <v>714</v>
      </c>
      <c r="B44" s="1284" t="s">
        <v>715</v>
      </c>
      <c r="C44" s="1284" t="s">
        <v>716</v>
      </c>
      <c r="D44" s="1284" t="s">
        <v>1001</v>
      </c>
      <c r="E44" s="8884"/>
      <c r="F44" s="8884"/>
      <c r="G44" s="8884"/>
      <c r="H44" s="8884"/>
      <c r="I44" s="8881" t="str">
        <f>S43&amp;".1"</f>
        <v>...1</v>
      </c>
      <c r="J44" s="1284"/>
      <c r="K44" s="1284"/>
      <c r="L44" s="1285"/>
      <c r="P44" s="8882">
        <v>1</v>
      </c>
      <c r="Q44" s="1396"/>
      <c r="R44" s="277"/>
      <c r="S44" s="1408" t="str">
        <f>$I44</f>
        <v>...1</v>
      </c>
      <c r="T44" s="200" t="s">
        <v>945</v>
      </c>
      <c r="U44" s="214"/>
      <c r="V44" s="8942"/>
      <c r="W44" s="8943"/>
      <c r="X44" s="8943"/>
      <c r="Y44" s="8943"/>
      <c r="Z44" s="8943"/>
      <c r="AA44" s="8943"/>
      <c r="AB44" s="8944"/>
      <c r="AC44" s="8945"/>
      <c r="AD44" s="8946"/>
      <c r="AE44" s="8946"/>
      <c r="AF44" s="8946"/>
      <c r="AG44" s="8946"/>
      <c r="AH44" s="8946"/>
      <c r="AI44" s="8946"/>
      <c r="AJ44" s="8947"/>
      <c r="AK44" s="1182" t="s">
        <v>946</v>
      </c>
      <c r="AM44" s="424"/>
      <c r="AN44" s="424" t="str">
        <f t="shared" si="1"/>
        <v>Наименование признака дифференциации</v>
      </c>
      <c r="AO44" s="424"/>
      <c r="AP44" s="424"/>
    </row>
    <row r="45" spans="1:42" ht="23.25" customHeight="1">
      <c r="A45" s="1284" t="s">
        <v>714</v>
      </c>
      <c r="B45" s="1284" t="s">
        <v>715</v>
      </c>
      <c r="C45" s="1284" t="s">
        <v>716</v>
      </c>
      <c r="D45" s="1284" t="s">
        <v>1001</v>
      </c>
      <c r="E45" s="8884"/>
      <c r="F45" s="8884"/>
      <c r="G45" s="8884"/>
      <c r="H45" s="8884"/>
      <c r="I45" s="8904"/>
      <c r="J45" s="8881" t="str">
        <f>I44&amp;".1"</f>
        <v>...1.1</v>
      </c>
      <c r="K45" s="1284"/>
      <c r="L45" s="1285" t="s">
        <v>871</v>
      </c>
      <c r="P45" s="8882"/>
      <c r="Q45" s="8882">
        <v>1</v>
      </c>
      <c r="R45" s="278"/>
      <c r="S45" s="1408" t="str">
        <f>$J45</f>
        <v>...1.1</v>
      </c>
      <c r="T45" s="201" t="s">
        <v>872</v>
      </c>
      <c r="U45" s="214"/>
      <c r="V45" s="8872"/>
      <c r="W45" s="8873"/>
      <c r="X45" s="8873"/>
      <c r="Y45" s="8873"/>
      <c r="Z45" s="8873"/>
      <c r="AA45" s="8873"/>
      <c r="AB45" s="8874"/>
      <c r="AC45" s="8872"/>
      <c r="AD45" s="8873"/>
      <c r="AE45" s="8873"/>
      <c r="AF45" s="8873"/>
      <c r="AG45" s="8873"/>
      <c r="AH45" s="8873"/>
      <c r="AI45" s="8873"/>
      <c r="AJ45" s="8874"/>
      <c r="AK45" s="1231" t="s">
        <v>947</v>
      </c>
      <c r="AM45" s="424"/>
      <c r="AN45" s="424" t="str">
        <f t="shared" si="1"/>
        <v>Группа потребителей</v>
      </c>
      <c r="AO45" s="424"/>
      <c r="AP45" s="424"/>
    </row>
    <row r="46" spans="1:42" ht="23.25" customHeight="1">
      <c r="A46" s="1284" t="s">
        <v>714</v>
      </c>
      <c r="B46" s="1284" t="s">
        <v>715</v>
      </c>
      <c r="C46" s="1284" t="s">
        <v>716</v>
      </c>
      <c r="D46" s="1284" t="s">
        <v>1001</v>
      </c>
      <c r="E46" s="8884"/>
      <c r="F46" s="8884"/>
      <c r="G46" s="8884"/>
      <c r="H46" s="8884"/>
      <c r="I46" s="8904"/>
      <c r="J46" s="8904"/>
      <c r="K46" s="8881" t="str">
        <f>J45&amp;".1"</f>
        <v>...1.1.1</v>
      </c>
      <c r="L46" s="1285"/>
      <c r="P46" s="8882"/>
      <c r="Q46" s="8882"/>
      <c r="R46" s="278">
        <v>1</v>
      </c>
      <c r="S46" s="1408" t="str">
        <f>$K46</f>
        <v>...1.1.1</v>
      </c>
      <c r="T46" s="1357"/>
      <c r="U46" s="214"/>
      <c r="V46" s="1281"/>
      <c r="W46" s="1281"/>
      <c r="X46" s="1282"/>
      <c r="Y46" s="8888"/>
      <c r="Z46" s="8889" t="s">
        <v>63</v>
      </c>
      <c r="AA46" s="8888"/>
      <c r="AB46" s="8889" t="s">
        <v>63</v>
      </c>
      <c r="AC46" s="666"/>
      <c r="AD46" s="666"/>
      <c r="AE46" s="1181"/>
      <c r="AF46" s="8886"/>
      <c r="AG46" s="8734" t="s">
        <v>63</v>
      </c>
      <c r="AH46" s="8905"/>
      <c r="AI46" s="8734" t="s">
        <v>53</v>
      </c>
      <c r="AJ46" s="1358"/>
      <c r="AK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714</v>
      </c>
      <c r="B47" s="1284" t="s">
        <v>715</v>
      </c>
      <c r="C47" s="1284" t="s">
        <v>716</v>
      </c>
      <c r="D47" s="1284" t="s">
        <v>1001</v>
      </c>
      <c r="E47" s="8884"/>
      <c r="F47" s="8884"/>
      <c r="G47" s="8884"/>
      <c r="H47" s="8884"/>
      <c r="I47" s="8904"/>
      <c r="J47" s="8904"/>
      <c r="K47" s="8881"/>
      <c r="L47" s="1285"/>
      <c r="P47" s="8882"/>
      <c r="Q47" s="8882"/>
      <c r="R47" s="278"/>
      <c r="S47" s="1405"/>
      <c r="T47" s="214"/>
      <c r="U47" s="214"/>
      <c r="V47" s="1281"/>
      <c r="W47" s="1281"/>
      <c r="X47" s="250" t="str">
        <f>Y46&amp;"-"&amp;AA46</f>
        <v>-</v>
      </c>
      <c r="Y47" s="8889"/>
      <c r="Z47" s="8889"/>
      <c r="AA47" s="8889"/>
      <c r="AB47" s="8889"/>
      <c r="AC47" s="246"/>
      <c r="AD47" s="246"/>
      <c r="AE47" s="250" t="str">
        <f>AF46&amp;"-"&amp;AH46</f>
        <v>-</v>
      </c>
      <c r="AF47" s="8887"/>
      <c r="AG47" s="8734"/>
      <c r="AH47" s="8906"/>
      <c r="AI47" s="8734"/>
      <c r="AJ47" s="1359"/>
      <c r="AK47" s="8941"/>
      <c r="AM47" s="424"/>
      <c r="AN47" s="424" t="str">
        <f t="shared" si="1"/>
        <v/>
      </c>
      <c r="AO47" s="424"/>
      <c r="AP47" s="424"/>
    </row>
    <row r="48" spans="1:42" ht="21" customHeight="1">
      <c r="A48" s="1284" t="s">
        <v>714</v>
      </c>
      <c r="B48" s="1284" t="s">
        <v>715</v>
      </c>
      <c r="C48" s="1284" t="s">
        <v>716</v>
      </c>
      <c r="D48" s="1284" t="s">
        <v>1001</v>
      </c>
      <c r="E48" s="8884"/>
      <c r="F48" s="8884"/>
      <c r="G48" s="8884"/>
      <c r="H48" s="8884"/>
      <c r="I48" s="8904"/>
      <c r="J48" s="8881"/>
      <c r="K48" s="1284"/>
      <c r="L48" s="1285"/>
      <c r="P48" s="8882"/>
      <c r="Q48" s="8882"/>
      <c r="R48" s="277"/>
      <c r="S48" s="1203"/>
      <c r="T48" s="202" t="s">
        <v>948</v>
      </c>
      <c r="U48" s="291"/>
      <c r="V48" s="291"/>
      <c r="W48" s="291"/>
      <c r="X48" s="291"/>
      <c r="Y48" s="291"/>
      <c r="Z48" s="291"/>
      <c r="AA48" s="291"/>
      <c r="AB48" s="291"/>
      <c r="AC48" s="291"/>
      <c r="AD48" s="291"/>
      <c r="AE48" s="291"/>
      <c r="AF48" s="291"/>
      <c r="AG48" s="291"/>
      <c r="AH48" s="291"/>
      <c r="AI48" s="291"/>
      <c r="AJ48" s="291"/>
      <c r="AK48" s="1182" t="s">
        <v>949</v>
      </c>
      <c r="AM48" s="424"/>
      <c r="AN48" s="424" t="str">
        <f t="shared" si="1"/>
        <v>Добавить значение признака дифференциации</v>
      </c>
      <c r="AO48" s="424"/>
      <c r="AP48" s="424"/>
    </row>
    <row r="49" spans="1:42" ht="21" customHeight="1">
      <c r="A49" s="1284" t="s">
        <v>714</v>
      </c>
      <c r="B49" s="1284" t="s">
        <v>715</v>
      </c>
      <c r="C49" s="1284" t="s">
        <v>716</v>
      </c>
      <c r="D49" s="1284" t="s">
        <v>1001</v>
      </c>
      <c r="E49" s="8884"/>
      <c r="F49" s="8884"/>
      <c r="G49" s="8884"/>
      <c r="H49" s="8884"/>
      <c r="I49" s="8881"/>
      <c r="J49" s="1284"/>
      <c r="K49" s="1284"/>
      <c r="L49" s="1285"/>
      <c r="P49" s="8882"/>
      <c r="Q49" s="1396"/>
      <c r="R49" s="277"/>
      <c r="S49" s="1203"/>
      <c r="T49" s="288" t="s">
        <v>877</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714</v>
      </c>
      <c r="B50" s="1284" t="s">
        <v>715</v>
      </c>
      <c r="C50" s="1284" t="s">
        <v>716</v>
      </c>
      <c r="D50" s="1284" t="s">
        <v>1001</v>
      </c>
      <c r="E50" s="8884"/>
      <c r="F50" s="8884"/>
      <c r="G50" s="8884"/>
      <c r="H50" s="8883"/>
      <c r="I50" s="1284"/>
      <c r="J50" s="1284"/>
      <c r="K50" s="1284"/>
      <c r="L50" s="1285"/>
      <c r="M50" s="1286"/>
      <c r="N50" s="1286"/>
      <c r="O50" s="460"/>
      <c r="P50" s="281"/>
      <c r="Q50" s="299"/>
      <c r="R50" s="276"/>
      <c r="S50" s="1203"/>
      <c r="T50" s="296" t="s">
        <v>950</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714</v>
      </c>
      <c r="B51" s="1265" t="s">
        <v>715</v>
      </c>
      <c r="C51" s="1237"/>
      <c r="D51" s="1237"/>
      <c r="E51" s="8884"/>
      <c r="F51" s="8883"/>
      <c r="G51" s="1237"/>
      <c r="H51" s="1237"/>
      <c r="I51" s="1237"/>
      <c r="J51" s="1237"/>
      <c r="K51" s="1237"/>
      <c r="L51" s="1409"/>
      <c r="M51" s="1244"/>
      <c r="N51" s="1244"/>
      <c r="P51" s="1239"/>
      <c r="Q51" s="1240"/>
      <c r="R51" s="1239"/>
      <c r="S51" s="1245"/>
      <c r="T51" s="1248" t="s">
        <v>314</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714</v>
      </c>
      <c r="B52" s="1265"/>
      <c r="C52" s="1265"/>
      <c r="D52" s="1265"/>
      <c r="E52" s="8883"/>
      <c r="F52" s="1265"/>
      <c r="G52" s="1265"/>
      <c r="H52" s="1265"/>
      <c r="I52" s="1265"/>
      <c r="J52" s="1265"/>
      <c r="K52" s="1265"/>
      <c r="L52" s="1268"/>
      <c r="M52" s="1244"/>
      <c r="N52" s="1244"/>
      <c r="O52" s="442"/>
      <c r="P52" s="308"/>
      <c r="Q52" s="1266"/>
      <c r="R52" s="308"/>
      <c r="S52" s="1245"/>
      <c r="T52" s="1248" t="s">
        <v>315</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706</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8903"/>
      <c r="U55" s="8903"/>
      <c r="V55" s="8903"/>
      <c r="W55" s="8903"/>
      <c r="X55" s="8903"/>
      <c r="Y55" s="8903"/>
      <c r="Z55" s="8903"/>
      <c r="AA55" s="8903"/>
      <c r="AB55" s="8903"/>
      <c r="AC55" s="8903"/>
      <c r="AD55" s="8903"/>
      <c r="AE55" s="8903"/>
      <c r="AF55" s="8903"/>
      <c r="AG55" s="8903"/>
      <c r="AH55" s="8903"/>
      <c r="AI55" s="8903"/>
      <c r="AJ55" s="8903"/>
      <c r="AK55" s="8903"/>
    </row>
    <row r="56" spans="1:42" ht="14.25" customHeight="1">
      <c r="O56" s="460"/>
    </row>
    <row r="57" spans="1:42" ht="14.25" customHeight="1">
      <c r="O57" s="460"/>
      <c r="S57" s="1169"/>
      <c r="T57" s="8903"/>
      <c r="U57" s="8903"/>
      <c r="V57" s="8903"/>
      <c r="W57" s="8903"/>
      <c r="X57" s="8903"/>
      <c r="Y57" s="8903"/>
      <c r="Z57" s="8903"/>
      <c r="AA57" s="8903"/>
      <c r="AB57" s="8903"/>
      <c r="AC57" s="8903"/>
      <c r="AD57" s="8903"/>
      <c r="AE57" s="8903"/>
      <c r="AF57" s="8903"/>
      <c r="AG57" s="8903"/>
      <c r="AH57" s="8903"/>
      <c r="AI57" s="8903"/>
      <c r="AJ57" s="8903"/>
      <c r="AK57" s="890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16"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4"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8883">
        <v>1</v>
      </c>
      <c r="F2" s="1284"/>
      <c r="G2" s="1284"/>
      <c r="H2" s="1284"/>
      <c r="I2" s="1284"/>
      <c r="J2" s="1284"/>
      <c r="K2" s="1284"/>
      <c r="L2" s="1285"/>
      <c r="M2" s="1286"/>
      <c r="N2" s="1286"/>
      <c r="O2" s="1286"/>
      <c r="P2" s="282"/>
      <c r="Q2" s="281"/>
      <c r="R2" s="276"/>
      <c r="S2" s="1408" t="e">
        <f>INDEX(PT_DIFFERENTIATION_NUM_NTAR,MATCH(A2,PT_DIFFERENTIATION_NTAR_ID,0))</f>
        <v>#N/A</v>
      </c>
      <c r="T2" s="212" t="s">
        <v>211</v>
      </c>
      <c r="U2" s="214"/>
      <c r="V2" s="8869"/>
      <c r="W2" s="8870"/>
      <c r="X2" s="8870"/>
      <c r="Y2" s="8870"/>
      <c r="Z2" s="8870"/>
      <c r="AA2" s="8870"/>
      <c r="AB2" s="8871"/>
      <c r="AC2" s="8869" t="e">
        <f>INDEX(PT_DIFFERENTIATION_NTAR,MATCH(A2,PT_DIFFERENTIATION_NTAR_ID,0))</f>
        <v>#N/A</v>
      </c>
      <c r="AD2" s="8870"/>
      <c r="AE2" s="8870"/>
      <c r="AF2" s="8870"/>
      <c r="AG2" s="8870"/>
      <c r="AH2" s="8870"/>
      <c r="AI2" s="8870"/>
      <c r="AJ2" s="887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8884"/>
      <c r="F3" s="8883">
        <v>1</v>
      </c>
      <c r="G3" s="1284"/>
      <c r="H3" s="1284"/>
      <c r="I3" s="1284"/>
      <c r="J3" s="1284"/>
      <c r="K3" s="1284"/>
      <c r="L3" s="1285"/>
      <c r="M3" s="1286"/>
      <c r="N3" s="1286"/>
      <c r="O3" s="1286"/>
      <c r="P3" s="1402"/>
      <c r="Q3" s="273"/>
      <c r="R3" s="274"/>
      <c r="S3" s="1408" t="e">
        <f>INDEX(PT_DIFFERENTIATION_NUM_TER,MATCH(B3,PT_DIFFERENTIATION_TER_ID,0))</f>
        <v>#N/A</v>
      </c>
      <c r="T3" s="224" t="s">
        <v>862</v>
      </c>
      <c r="U3" s="214"/>
      <c r="V3" s="8869"/>
      <c r="W3" s="8870"/>
      <c r="X3" s="8870"/>
      <c r="Y3" s="8870"/>
      <c r="Z3" s="8870"/>
      <c r="AA3" s="8870"/>
      <c r="AB3" s="8871"/>
      <c r="AC3" s="8869" t="e">
        <f>INDEX(PT_DIFFERENTIATION_TER,MATCH(B3,PT_DIFFERENTIATION_TER_ID,0))</f>
        <v>#N/A</v>
      </c>
      <c r="AD3" s="8870"/>
      <c r="AE3" s="8870"/>
      <c r="AF3" s="8870"/>
      <c r="AG3" s="8870"/>
      <c r="AH3" s="8870"/>
      <c r="AI3" s="8870"/>
      <c r="AJ3" s="8871"/>
      <c r="AK3" s="1182" t="s">
        <v>863</v>
      </c>
      <c r="AM3" s="424"/>
      <c r="AN3" s="424" t="str">
        <f t="shared" si="0"/>
        <v>Территория действия тарифа</v>
      </c>
      <c r="AO3" s="424"/>
      <c r="AP3" s="424"/>
    </row>
    <row r="4" spans="1:42" ht="23.25" hidden="1" customHeight="1">
      <c r="A4" s="1284"/>
      <c r="B4" s="1284"/>
      <c r="C4" s="1284"/>
      <c r="D4" s="1284"/>
      <c r="E4" s="8884"/>
      <c r="F4" s="8884"/>
      <c r="G4" s="8883">
        <v>1</v>
      </c>
      <c r="H4" s="1284"/>
      <c r="I4" s="1284"/>
      <c r="J4" s="1284"/>
      <c r="K4" s="1284"/>
      <c r="L4" s="1285"/>
      <c r="M4" s="1286"/>
      <c r="N4" s="1286"/>
      <c r="O4" s="1286"/>
      <c r="P4" s="275"/>
      <c r="Q4" s="273"/>
      <c r="R4" s="274"/>
      <c r="S4" s="1408" t="e">
        <f>INDEX(PT_DIFFERENTIATION_NUM_CS,MATCH(C4,PT_DIFFERENTIATION_CS_ID,0))</f>
        <v>#N/A</v>
      </c>
      <c r="T4" s="225" t="s">
        <v>994</v>
      </c>
      <c r="U4" s="214"/>
      <c r="V4" s="8869"/>
      <c r="W4" s="8870"/>
      <c r="X4" s="8870"/>
      <c r="Y4" s="8870"/>
      <c r="Z4" s="8870"/>
      <c r="AA4" s="8870"/>
      <c r="AB4" s="8871"/>
      <c r="AC4" s="8869" t="e">
        <f>INDEX(PT_DIFFERENTIATION_CS,MATCH(C4,PT_DIFFERENTIATION_CS_ID,0))</f>
        <v>#N/A</v>
      </c>
      <c r="AD4" s="8870"/>
      <c r="AE4" s="8870"/>
      <c r="AF4" s="8870"/>
      <c r="AG4" s="8870"/>
      <c r="AH4" s="8870"/>
      <c r="AI4" s="8870"/>
      <c r="AJ4" s="8871"/>
      <c r="AK4" s="1182" t="s">
        <v>995</v>
      </c>
      <c r="AM4" s="424"/>
      <c r="AN4" s="424" t="str">
        <f t="shared" si="0"/>
        <v>Наименование централизованной системы горячего водоснабжения</v>
      </c>
      <c r="AO4" s="424"/>
      <c r="AP4" s="424"/>
    </row>
    <row r="5" spans="1:42" ht="23.25" hidden="1" customHeight="1">
      <c r="A5" s="1284"/>
      <c r="B5" s="1284"/>
      <c r="C5" s="1284"/>
      <c r="D5" s="1284"/>
      <c r="E5" s="8884"/>
      <c r="F5" s="8884"/>
      <c r="G5" s="8884"/>
      <c r="H5" s="8884"/>
      <c r="I5" s="8881" t="e">
        <f>S4&amp;".1"</f>
        <v>#N/A</v>
      </c>
      <c r="J5" s="1284"/>
      <c r="K5" s="1284"/>
      <c r="L5" s="1285"/>
      <c r="P5" s="8882">
        <v>1</v>
      </c>
      <c r="Q5" s="1396"/>
      <c r="R5" s="277"/>
      <c r="S5" s="1408" t="e">
        <f>$I5</f>
        <v>#N/A</v>
      </c>
      <c r="T5" s="200" t="s">
        <v>945</v>
      </c>
      <c r="U5" s="214"/>
      <c r="V5" s="8942"/>
      <c r="W5" s="8943"/>
      <c r="X5" s="8943"/>
      <c r="Y5" s="8943"/>
      <c r="Z5" s="8943"/>
      <c r="AA5" s="8943"/>
      <c r="AB5" s="8944"/>
      <c r="AC5" s="8945"/>
      <c r="AD5" s="8946"/>
      <c r="AE5" s="8946"/>
      <c r="AF5" s="8946"/>
      <c r="AG5" s="8946"/>
      <c r="AH5" s="8946"/>
      <c r="AI5" s="8946"/>
      <c r="AJ5" s="8947"/>
      <c r="AK5" s="1182" t="s">
        <v>946</v>
      </c>
      <c r="AM5" s="424"/>
      <c r="AN5" s="424" t="str">
        <f t="shared" si="0"/>
        <v>Наименование признака дифференциации</v>
      </c>
      <c r="AO5" s="424"/>
      <c r="AP5" s="424"/>
    </row>
    <row r="6" spans="1:42" ht="23.25" hidden="1" customHeight="1">
      <c r="A6" s="1284"/>
      <c r="B6" s="1284"/>
      <c r="C6" s="1284"/>
      <c r="D6" s="1284"/>
      <c r="E6" s="8884"/>
      <c r="F6" s="8884"/>
      <c r="G6" s="8884"/>
      <c r="H6" s="8884"/>
      <c r="I6" s="8904"/>
      <c r="J6" s="8881" t="e">
        <f>I5&amp;".1"</f>
        <v>#N/A</v>
      </c>
      <c r="K6" s="1284"/>
      <c r="L6" s="1285" t="s">
        <v>871</v>
      </c>
      <c r="P6" s="8882"/>
      <c r="Q6" s="8882">
        <v>1</v>
      </c>
      <c r="R6" s="278"/>
      <c r="S6" s="1408" t="e">
        <f>$J6</f>
        <v>#N/A</v>
      </c>
      <c r="T6" s="201" t="s">
        <v>872</v>
      </c>
      <c r="U6" s="214"/>
      <c r="V6" s="8872"/>
      <c r="W6" s="8873"/>
      <c r="X6" s="8873"/>
      <c r="Y6" s="8873"/>
      <c r="Z6" s="8873"/>
      <c r="AA6" s="8873"/>
      <c r="AB6" s="8874"/>
      <c r="AC6" s="8872"/>
      <c r="AD6" s="8873"/>
      <c r="AE6" s="8873"/>
      <c r="AF6" s="8873"/>
      <c r="AG6" s="8873"/>
      <c r="AH6" s="8873"/>
      <c r="AI6" s="8873"/>
      <c r="AJ6" s="8874"/>
      <c r="AK6" s="1231" t="s">
        <v>947</v>
      </c>
      <c r="AM6" s="424"/>
      <c r="AN6" s="424" t="str">
        <f t="shared" si="0"/>
        <v>Группа потребителей</v>
      </c>
      <c r="AO6" s="424"/>
      <c r="AP6" s="424"/>
    </row>
    <row r="7" spans="1:42" ht="23.25" hidden="1" customHeight="1">
      <c r="A7" s="1284"/>
      <c r="B7" s="1284"/>
      <c r="C7" s="1284"/>
      <c r="D7" s="1284"/>
      <c r="E7" s="8884"/>
      <c r="F7" s="8884"/>
      <c r="G7" s="8884"/>
      <c r="H7" s="8884"/>
      <c r="I7" s="8904"/>
      <c r="J7" s="8904"/>
      <c r="K7" s="8881" t="e">
        <f>J6&amp;".1"</f>
        <v>#N/A</v>
      </c>
      <c r="L7" s="1285"/>
      <c r="P7" s="8882"/>
      <c r="Q7" s="8882"/>
      <c r="R7" s="278">
        <v>1</v>
      </c>
      <c r="S7" s="1408" t="e">
        <f>$K7</f>
        <v>#N/A</v>
      </c>
      <c r="T7" s="1357"/>
      <c r="U7" s="214"/>
      <c r="V7" s="666"/>
      <c r="W7" s="666"/>
      <c r="X7" s="1181"/>
      <c r="Y7" s="8886"/>
      <c r="Z7" s="8734" t="s">
        <v>63</v>
      </c>
      <c r="AA7" s="8886"/>
      <c r="AB7" s="8734" t="s">
        <v>63</v>
      </c>
      <c r="AC7" s="666"/>
      <c r="AD7" s="666"/>
      <c r="AE7" s="1181"/>
      <c r="AF7" s="8886"/>
      <c r="AG7" s="8734" t="s">
        <v>63</v>
      </c>
      <c r="AH7" s="8905"/>
      <c r="AI7" s="8734" t="s">
        <v>63</v>
      </c>
      <c r="AJ7" s="1358"/>
      <c r="AK7"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8884"/>
      <c r="F8" s="8884"/>
      <c r="G8" s="8884"/>
      <c r="H8" s="8884"/>
      <c r="I8" s="8904"/>
      <c r="J8" s="8904"/>
      <c r="K8" s="8881"/>
      <c r="L8" s="1285"/>
      <c r="P8" s="8882"/>
      <c r="Q8" s="8882"/>
      <c r="R8" s="278"/>
      <c r="S8" s="1405"/>
      <c r="T8" s="214"/>
      <c r="U8" s="214"/>
      <c r="V8" s="246"/>
      <c r="W8" s="246"/>
      <c r="X8" s="250" t="str">
        <f>Y7&amp;"-"&amp;AA7</f>
        <v>-</v>
      </c>
      <c r="Y8" s="8887"/>
      <c r="Z8" s="8734"/>
      <c r="AA8" s="8887"/>
      <c r="AB8" s="8734"/>
      <c r="AC8" s="246"/>
      <c r="AD8" s="246"/>
      <c r="AE8" s="250" t="str">
        <f>AF7&amp;"-"&amp;AH7</f>
        <v>-</v>
      </c>
      <c r="AF8" s="8887"/>
      <c r="AG8" s="8734"/>
      <c r="AH8" s="8906"/>
      <c r="AI8" s="8734"/>
      <c r="AJ8" s="1359"/>
      <c r="AK8" s="8941"/>
      <c r="AM8" s="424"/>
      <c r="AN8" s="424" t="str">
        <f t="shared" si="0"/>
        <v/>
      </c>
      <c r="AO8" s="424"/>
      <c r="AP8" s="424"/>
    </row>
    <row r="9" spans="1:42" ht="21" hidden="1" customHeight="1">
      <c r="A9" s="1284"/>
      <c r="B9" s="1284"/>
      <c r="C9" s="1284"/>
      <c r="D9" s="1284"/>
      <c r="E9" s="8884"/>
      <c r="F9" s="8884"/>
      <c r="G9" s="8884"/>
      <c r="H9" s="8884"/>
      <c r="I9" s="8904"/>
      <c r="J9" s="8881"/>
      <c r="K9" s="1284"/>
      <c r="L9" s="1285"/>
      <c r="P9" s="8882"/>
      <c r="Q9" s="8882"/>
      <c r="R9" s="277"/>
      <c r="S9" s="1203"/>
      <c r="T9" s="202" t="s">
        <v>948</v>
      </c>
      <c r="U9" s="291"/>
      <c r="V9" s="291"/>
      <c r="W9" s="291"/>
      <c r="X9" s="291"/>
      <c r="Y9" s="291"/>
      <c r="Z9" s="291"/>
      <c r="AA9" s="291"/>
      <c r="AB9" s="291"/>
      <c r="AC9" s="291"/>
      <c r="AD9" s="291"/>
      <c r="AE9" s="291"/>
      <c r="AF9" s="291"/>
      <c r="AG9" s="291"/>
      <c r="AH9" s="291"/>
      <c r="AI9" s="291"/>
      <c r="AJ9" s="291"/>
      <c r="AK9" s="1182" t="s">
        <v>949</v>
      </c>
      <c r="AM9" s="424"/>
      <c r="AN9" s="424" t="str">
        <f t="shared" si="0"/>
        <v>Добавить значение признака дифференциации</v>
      </c>
      <c r="AO9" s="424"/>
      <c r="AP9" s="424"/>
    </row>
    <row r="10" spans="1:42" ht="21" hidden="1" customHeight="1">
      <c r="A10" s="1284"/>
      <c r="B10" s="1284"/>
      <c r="C10" s="1284"/>
      <c r="D10" s="1284"/>
      <c r="E10" s="8884"/>
      <c r="F10" s="8884"/>
      <c r="G10" s="8884"/>
      <c r="H10" s="8884"/>
      <c r="I10" s="8881"/>
      <c r="J10" s="1284"/>
      <c r="K10" s="1284"/>
      <c r="L10" s="1285"/>
      <c r="P10" s="8882"/>
      <c r="Q10" s="1396"/>
      <c r="R10" s="277"/>
      <c r="S10" s="1203"/>
      <c r="T10" s="288" t="s">
        <v>877</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8884"/>
      <c r="F11" s="8884"/>
      <c r="G11" s="8884"/>
      <c r="H11" s="8883"/>
      <c r="I11" s="1284"/>
      <c r="J11" s="1284"/>
      <c r="K11" s="1284"/>
      <c r="L11" s="1285"/>
      <c r="M11" s="1286"/>
      <c r="N11" s="1286"/>
      <c r="O11" s="460"/>
      <c r="P11" s="281"/>
      <c r="Q11" s="299"/>
      <c r="R11" s="276"/>
      <c r="S11" s="1203"/>
      <c r="T11" s="296" t="s">
        <v>950</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8884"/>
      <c r="F12" s="8883"/>
      <c r="G12" s="1237"/>
      <c r="H12" s="1237"/>
      <c r="I12" s="1237"/>
      <c r="J12" s="1237"/>
      <c r="K12" s="1237"/>
      <c r="L12" s="1409"/>
      <c r="M12" s="1244"/>
      <c r="N12" s="1244"/>
      <c r="P12" s="1239"/>
      <c r="Q12" s="1240"/>
      <c r="R12" s="1239"/>
      <c r="S12" s="1245"/>
      <c r="T12" s="1248" t="s">
        <v>314</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8883"/>
      <c r="F13" s="1265"/>
      <c r="G13" s="1265"/>
      <c r="H13" s="1265"/>
      <c r="I13" s="1265"/>
      <c r="J13" s="1265"/>
      <c r="K13" s="1265"/>
      <c r="L13" s="1268"/>
      <c r="M13" s="1244"/>
      <c r="N13" s="1244"/>
      <c r="O13" s="442"/>
      <c r="P13" s="308"/>
      <c r="Q13" s="1266"/>
      <c r="R13" s="308"/>
      <c r="S13" s="1245"/>
      <c r="T13" s="1248" t="s">
        <v>315</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8888"/>
      <c r="AG15" s="8889" t="s">
        <v>63</v>
      </c>
      <c r="AH15" s="8888"/>
      <c r="AI15" s="8889" t="s">
        <v>63</v>
      </c>
    </row>
    <row r="16" spans="1:42" ht="14.25" hidden="1" customHeight="1">
      <c r="AC16" s="1281"/>
      <c r="AD16" s="1281"/>
      <c r="AE16" s="250" t="str">
        <f>AF15&amp;"-"&amp;AH15</f>
        <v>-</v>
      </c>
      <c r="AF16" s="8889"/>
      <c r="AG16" s="8889"/>
      <c r="AH16" s="8889"/>
      <c r="AI16" s="8889"/>
    </row>
    <row r="17" spans="1:42" ht="14.25" hidden="1" customHeight="1">
      <c r="AI17" s="249"/>
    </row>
    <row r="18" spans="1:42" s="1287" customFormat="1" ht="22.5" hidden="1" customHeight="1">
      <c r="L18" s="1393"/>
      <c r="M18" s="1283"/>
      <c r="N18" s="1283"/>
      <c r="O18" s="1288" t="s">
        <v>880</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881</v>
      </c>
      <c r="P20" s="1283"/>
      <c r="Q20" s="1361"/>
      <c r="R20" s="1361"/>
      <c r="S20" s="646"/>
      <c r="T20" s="1065" t="s">
        <v>882</v>
      </c>
      <c r="Z20" s="104" t="s">
        <v>883</v>
      </c>
      <c r="AB20" s="104" t="s">
        <v>884</v>
      </c>
      <c r="AC20" s="1065" t="s">
        <v>882</v>
      </c>
      <c r="AG20" s="104" t="s">
        <v>885</v>
      </c>
      <c r="AI20" s="104" t="s">
        <v>884</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26.25" customHeight="1">
      <c r="Q24" s="300"/>
      <c r="R24" s="300"/>
      <c r="S24" s="88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8867"/>
      <c r="U24" s="8867"/>
      <c r="V24" s="8867"/>
      <c r="W24" s="8867"/>
      <c r="X24" s="8867"/>
      <c r="Y24" s="8867"/>
      <c r="Z24" s="8867"/>
      <c r="AA24" s="8867"/>
      <c r="AB24" s="8867"/>
      <c r="AC24" s="8867"/>
      <c r="AD24" s="8867"/>
      <c r="AE24" s="8867"/>
      <c r="AF24" s="8867"/>
      <c r="AG24" s="8867"/>
      <c r="AH24" s="8867"/>
      <c r="AI24" s="1157"/>
    </row>
    <row r="25" spans="1:42" ht="14.25" customHeight="1">
      <c r="Q25" s="300"/>
      <c r="R25" s="300"/>
      <c r="S25" s="8814" t="str">
        <f>IF(org=0,"Не определено",org)</f>
        <v>ГУП СК "Ставрополькрайводоканал"</v>
      </c>
      <c r="T25" s="8814"/>
      <c r="U25" s="8814"/>
      <c r="V25" s="8814"/>
      <c r="W25" s="8814"/>
      <c r="X25" s="8814"/>
      <c r="Y25" s="8814"/>
      <c r="Z25" s="8814"/>
      <c r="AA25" s="8814"/>
      <c r="AB25" s="8814"/>
      <c r="AC25" s="8814"/>
      <c r="AD25" s="8814"/>
      <c r="AE25" s="8814"/>
      <c r="AF25" s="8814"/>
      <c r="AG25" s="8814"/>
      <c r="AH25" s="8814"/>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8875" t="s">
        <v>38</v>
      </c>
      <c r="T27" s="8875"/>
      <c r="U27" s="1293"/>
      <c r="V27" s="8876" t="str">
        <f>IF(TITLE_NAME_OR_PR_CHANGE="",IF(TITLE_NAME_OR_PR="","",TITLE_NAME_OR_PR),TITLE_NAME_OR_PR_CHANGE)</f>
        <v/>
      </c>
      <c r="W27" s="8876"/>
      <c r="X27" s="8876"/>
      <c r="Y27" s="8876"/>
      <c r="Z27" s="8876"/>
      <c r="AA27" s="8876"/>
      <c r="AB27" s="248"/>
      <c r="AC27" s="8876" t="str">
        <f>IF(TITLE_NAME_OR_PR_CHANGE="",IF(TITLE_NAME_OR_PR="","",TITLE_NAME_OR_PR),TITLE_NAME_OR_PR_CHANGE)</f>
        <v/>
      </c>
      <c r="AD27" s="8876"/>
      <c r="AE27" s="8876"/>
      <c r="AF27" s="8876"/>
      <c r="AG27" s="8876"/>
      <c r="AH27" s="8876"/>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8875" t="s">
        <v>886</v>
      </c>
      <c r="T28" s="8875"/>
      <c r="U28" s="1293"/>
      <c r="V28" s="8885">
        <f>IF(TITLE_DATE_PR_CHANGE="",IF(TITLE_DATE_PR="","",TITLE_DATE_PR),TITLE_DATE_PR_CHANGE)</f>
        <v>45281.411851851852</v>
      </c>
      <c r="W28" s="8885"/>
      <c r="X28" s="8885"/>
      <c r="Y28" s="8885"/>
      <c r="Z28" s="8885"/>
      <c r="AA28" s="8885"/>
      <c r="AB28" s="248"/>
      <c r="AC28" s="8885">
        <f>IF(TITLE_DATE_PR_CHANGE="",IF(TITLE_DATE_PR="","",TITLE_DATE_PR),TITLE_DATE_PR_CHANGE)</f>
        <v>45281.411851851852</v>
      </c>
      <c r="AD28" s="8885"/>
      <c r="AE28" s="8885"/>
      <c r="AF28" s="8885"/>
      <c r="AG28" s="8885"/>
      <c r="AH28" s="8885"/>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8875" t="s">
        <v>887</v>
      </c>
      <c r="T29" s="8875"/>
      <c r="U29" s="1293"/>
      <c r="V29" s="8876" t="str">
        <f>IF(TITLE_NUMBER_PR_CHANGE="",IF(TITLE_NUMBER_PR="","",TITLE_NUMBER_PR),TITLE_NUMBER_PR_CHANGE)</f>
        <v>06-11/11398</v>
      </c>
      <c r="W29" s="8876"/>
      <c r="X29" s="8876"/>
      <c r="Y29" s="8876"/>
      <c r="Z29" s="8876"/>
      <c r="AA29" s="8876"/>
      <c r="AB29" s="248"/>
      <c r="AC29" s="8876" t="str">
        <f>IF(TITLE_NUMBER_PR_CHANGE="",IF(TITLE_NUMBER_PR="","",TITLE_NUMBER_PR),TITLE_NUMBER_PR_CHANGE)</f>
        <v>06-11/11398</v>
      </c>
      <c r="AD29" s="8876"/>
      <c r="AE29" s="8876"/>
      <c r="AF29" s="8876"/>
      <c r="AG29" s="8876"/>
      <c r="AH29" s="8876"/>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8875" t="s">
        <v>39</v>
      </c>
      <c r="T30" s="8875"/>
      <c r="U30" s="1293"/>
      <c r="V30" s="8876" t="str">
        <f>IF(TITLE_IST_PUB_CHANGE="",IF(TITLE_IST_PUB="","",TITLE_IST_PUB),TITLE_IST_PUB_CHANGE)</f>
        <v/>
      </c>
      <c r="W30" s="8876"/>
      <c r="X30" s="8876"/>
      <c r="Y30" s="8876"/>
      <c r="Z30" s="8876"/>
      <c r="AA30" s="8876"/>
      <c r="AB30" s="248"/>
      <c r="AC30" s="8876" t="str">
        <f>IF(TITLE_IST_PUB_CHANGE="",IF(TITLE_IST_PUB="","",TITLE_IST_PUB),TITLE_IST_PUB_CHANGE)</f>
        <v/>
      </c>
      <c r="AD30" s="8876"/>
      <c r="AE30" s="8876"/>
      <c r="AF30" s="8876"/>
      <c r="AG30" s="8876"/>
      <c r="AH30" s="8876"/>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8875" t="s">
        <v>888</v>
      </c>
      <c r="T32" s="8875"/>
      <c r="U32" s="1293"/>
      <c r="V32" s="8885">
        <f>IF(TITLE_DATE_PR_CHANGE="",IF(TITLE_DATE_PR="","",TITLE_DATE_PR),TITLE_DATE_PR_CHANGE)</f>
        <v>45281.411851851852</v>
      </c>
      <c r="W32" s="8885"/>
      <c r="X32" s="8885"/>
      <c r="Y32" s="8885"/>
      <c r="Z32" s="8885"/>
      <c r="AA32" s="8885"/>
      <c r="AB32" s="248"/>
      <c r="AC32" s="8885">
        <f>IF(TITLE_DATE_PR_CHANGE="",IF(TITLE_DATE_PR="","",TITLE_DATE_PR),TITLE_DATE_PR_CHANGE)</f>
        <v>45281.411851851852</v>
      </c>
      <c r="AD32" s="8885"/>
      <c r="AE32" s="8885"/>
      <c r="AF32" s="8885"/>
      <c r="AG32" s="8885"/>
      <c r="AH32" s="8885"/>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8875" t="s">
        <v>889</v>
      </c>
      <c r="T33" s="8875"/>
      <c r="U33" s="1293"/>
      <c r="V33" s="8876" t="str">
        <f>IF(TITLE_NUMBER_PR_CHANGE="",IF(TITLE_NUMBER_PR="","",TITLE_NUMBER_PR),TITLE_NUMBER_PR_CHANGE)</f>
        <v>06-11/11398</v>
      </c>
      <c r="W33" s="8876"/>
      <c r="X33" s="8876"/>
      <c r="Y33" s="8876"/>
      <c r="Z33" s="8876"/>
      <c r="AA33" s="8876"/>
      <c r="AB33" s="248"/>
      <c r="AC33" s="8876" t="str">
        <f>IF(TITLE_NUMBER_PR_CHANGE="",IF(TITLE_NUMBER_PR="","",TITLE_NUMBER_PR),TITLE_NUMBER_PR_CHANGE)</f>
        <v>06-11/11398</v>
      </c>
      <c r="AD33" s="8876"/>
      <c r="AE33" s="8876"/>
      <c r="AF33" s="8876"/>
      <c r="AG33" s="8876"/>
      <c r="AH33" s="8876"/>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890</v>
      </c>
      <c r="AC34" s="248"/>
      <c r="AD34" s="248"/>
      <c r="AE34" s="248"/>
      <c r="AF34" s="248"/>
      <c r="AG34" s="248"/>
      <c r="AH34" s="248"/>
      <c r="AI34" s="194" t="s">
        <v>890</v>
      </c>
      <c r="AL34" s="292"/>
      <c r="AM34" s="292"/>
      <c r="AN34" s="292"/>
      <c r="AO34" s="292"/>
      <c r="AP34" s="292"/>
    </row>
    <row r="35" spans="1:42" ht="14.25" customHeight="1">
      <c r="Q35" s="300"/>
      <c r="R35" s="300"/>
      <c r="S35" s="1200"/>
      <c r="T35" s="286"/>
      <c r="U35" s="1158"/>
      <c r="V35" s="8877"/>
      <c r="W35" s="8877"/>
      <c r="X35" s="8877"/>
      <c r="Y35" s="8877"/>
      <c r="Z35" s="8877"/>
      <c r="AA35" s="8877"/>
      <c r="AB35" s="8877"/>
      <c r="AC35" s="8877"/>
      <c r="AD35" s="8877"/>
      <c r="AE35" s="8877"/>
      <c r="AF35" s="8877"/>
      <c r="AG35" s="8877"/>
      <c r="AH35" s="8877"/>
      <c r="AI35" s="8877"/>
    </row>
    <row r="36" spans="1:42" ht="14.25" customHeight="1">
      <c r="Q36" s="300"/>
      <c r="R36" s="300"/>
      <c r="S36" s="8753" t="s">
        <v>763</v>
      </c>
      <c r="T36" s="8753"/>
      <c r="U36" s="8753"/>
      <c r="V36" s="8753"/>
      <c r="W36" s="8753"/>
      <c r="X36" s="8753"/>
      <c r="Y36" s="8753"/>
      <c r="Z36" s="8753"/>
      <c r="AA36" s="8753"/>
      <c r="AB36" s="8753"/>
      <c r="AC36" s="8753"/>
      <c r="AD36" s="8753"/>
      <c r="AE36" s="8753"/>
      <c r="AF36" s="8753"/>
      <c r="AG36" s="8753"/>
      <c r="AH36" s="8753"/>
      <c r="AI36" s="8753"/>
      <c r="AJ36" s="8753"/>
      <c r="AK36" s="8753" t="s">
        <v>764</v>
      </c>
    </row>
    <row r="37" spans="1:42" ht="14.25" customHeight="1">
      <c r="Q37" s="300"/>
      <c r="R37" s="300"/>
      <c r="S37" s="8891" t="s">
        <v>84</v>
      </c>
      <c r="T37" s="8843" t="s">
        <v>891</v>
      </c>
      <c r="U37" s="215"/>
      <c r="V37" s="8892" t="s">
        <v>892</v>
      </c>
      <c r="W37" s="8893"/>
      <c r="X37" s="8893"/>
      <c r="Y37" s="8893"/>
      <c r="Z37" s="8893"/>
      <c r="AA37" s="8894"/>
      <c r="AB37" s="8895" t="s">
        <v>893</v>
      </c>
      <c r="AC37" s="8892" t="s">
        <v>892</v>
      </c>
      <c r="AD37" s="8893"/>
      <c r="AE37" s="8893"/>
      <c r="AF37" s="8893"/>
      <c r="AG37" s="8893"/>
      <c r="AH37" s="8894"/>
      <c r="AI37" s="8895" t="s">
        <v>894</v>
      </c>
      <c r="AJ37" s="8898" t="s">
        <v>895</v>
      </c>
      <c r="AK37" s="8753"/>
    </row>
    <row r="38" spans="1:42" ht="33.75" customHeight="1">
      <c r="Q38" s="300"/>
      <c r="R38" s="300"/>
      <c r="S38" s="8891"/>
      <c r="T38" s="8843"/>
      <c r="U38" s="942"/>
      <c r="V38" s="1398" t="s">
        <v>996</v>
      </c>
      <c r="W38" s="8724" t="s">
        <v>997</v>
      </c>
      <c r="X38" s="8723"/>
      <c r="Y38" s="8724" t="s">
        <v>899</v>
      </c>
      <c r="Z38" s="8729"/>
      <c r="AA38" s="8723"/>
      <c r="AB38" s="8896"/>
      <c r="AC38" s="1398" t="s">
        <v>996</v>
      </c>
      <c r="AD38" s="8724" t="s">
        <v>997</v>
      </c>
      <c r="AE38" s="8723"/>
      <c r="AF38" s="8724" t="s">
        <v>899</v>
      </c>
      <c r="AG38" s="8729"/>
      <c r="AH38" s="8723"/>
      <c r="AI38" s="8896"/>
      <c r="AJ38" s="8899"/>
      <c r="AK38" s="8753"/>
    </row>
    <row r="39" spans="1:42" ht="86.25" customHeight="1">
      <c r="A39" s="1291"/>
      <c r="B39" s="1291" t="s">
        <v>223</v>
      </c>
      <c r="C39" s="1291" t="s">
        <v>224</v>
      </c>
      <c r="D39" s="1291" t="s">
        <v>225</v>
      </c>
      <c r="E39" s="1285" t="s">
        <v>900</v>
      </c>
      <c r="F39" s="1285" t="s">
        <v>901</v>
      </c>
      <c r="G39" s="1285" t="s">
        <v>902</v>
      </c>
      <c r="H39" s="1285"/>
      <c r="I39" s="1285" t="s">
        <v>952</v>
      </c>
      <c r="J39" s="1285" t="s">
        <v>905</v>
      </c>
      <c r="K39" s="1285" t="s">
        <v>953</v>
      </c>
      <c r="L39" s="1285" t="s">
        <v>881</v>
      </c>
      <c r="Q39" s="300"/>
      <c r="R39" s="300"/>
      <c r="S39" s="8891"/>
      <c r="T39" s="8843"/>
      <c r="U39" s="216"/>
      <c r="V39" s="1398" t="s">
        <v>998</v>
      </c>
      <c r="W39" s="1133" t="s">
        <v>999</v>
      </c>
      <c r="X39" s="1133" t="s">
        <v>1000</v>
      </c>
      <c r="Y39" s="1404" t="s">
        <v>909</v>
      </c>
      <c r="Z39" s="8851" t="s">
        <v>910</v>
      </c>
      <c r="AA39" s="8853"/>
      <c r="AB39" s="8897"/>
      <c r="AC39" s="1398" t="s">
        <v>998</v>
      </c>
      <c r="AD39" s="1133" t="s">
        <v>999</v>
      </c>
      <c r="AE39" s="1133" t="s">
        <v>1000</v>
      </c>
      <c r="AF39" s="1404" t="s">
        <v>909</v>
      </c>
      <c r="AG39" s="8851" t="s">
        <v>910</v>
      </c>
      <c r="AH39" s="8853"/>
      <c r="AI39" s="8897"/>
      <c r="AJ39" s="8900"/>
      <c r="AK39" s="8753"/>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95</v>
      </c>
      <c r="T40" s="1177" t="s">
        <v>99</v>
      </c>
      <c r="U40" s="1159" t="str">
        <f ca="1">OFFSET(U40,0,-1)</f>
        <v>2</v>
      </c>
      <c r="V40" s="1397">
        <f ca="1">OFFSET(V40,0,-1)+1</f>
        <v>3</v>
      </c>
      <c r="W40" s="1397">
        <f ca="1">OFFSET(W40,0,-1)+1</f>
        <v>4</v>
      </c>
      <c r="X40" s="1397">
        <f ca="1">OFFSET(X40,0,-1)+1</f>
        <v>5</v>
      </c>
      <c r="Y40" s="1397">
        <f ca="1">OFFSET(Y40,0,-1)+1</f>
        <v>6</v>
      </c>
      <c r="Z40" s="8890">
        <f ca="1">OFFSET(Z40,0,-1)+1</f>
        <v>7</v>
      </c>
      <c r="AA40" s="8890"/>
      <c r="AB40" s="1397">
        <f ca="1">OFFSET(AB40,0,-2)+1</f>
        <v>8</v>
      </c>
      <c r="AC40" s="1397">
        <f ca="1">OFFSET(AC40,0,-1)+1</f>
        <v>9</v>
      </c>
      <c r="AD40" s="1397">
        <f ca="1">OFFSET(AD40,0,-1)+1</f>
        <v>10</v>
      </c>
      <c r="AE40" s="1397">
        <f ca="1">OFFSET(AE40,0,-1)+1</f>
        <v>11</v>
      </c>
      <c r="AF40" s="1397">
        <f ca="1">OFFSET(AF40,0,-1)+1</f>
        <v>12</v>
      </c>
      <c r="AG40" s="8890">
        <f ca="1">OFFSET(AG40,0,-1)+1</f>
        <v>13</v>
      </c>
      <c r="AH40" s="8890"/>
      <c r="AI40" s="1397">
        <f ca="1">OFFSET(AI40,0,-2)+1</f>
        <v>14</v>
      </c>
      <c r="AJ40" s="1159">
        <f ca="1">OFFSET(AJ40,0,-1)</f>
        <v>14</v>
      </c>
      <c r="AK40" s="1397">
        <f ca="1">OFFSET(AK40,0,-1)+1</f>
        <v>15</v>
      </c>
      <c r="AL40" s="435"/>
      <c r="AM40" s="435"/>
      <c r="AN40" s="435"/>
      <c r="AO40" s="435"/>
      <c r="AP40" s="435"/>
    </row>
    <row r="41" spans="1:42" ht="23.25" customHeight="1">
      <c r="A41" s="1284" t="s">
        <v>714</v>
      </c>
      <c r="B41" s="1284"/>
      <c r="C41" s="1284"/>
      <c r="D41" s="1284"/>
      <c r="E41" s="8883">
        <v>1</v>
      </c>
      <c r="F41" s="1284"/>
      <c r="G41" s="1284"/>
      <c r="H41" s="1284"/>
      <c r="I41" s="1284"/>
      <c r="J41" s="1284"/>
      <c r="K41" s="1284"/>
      <c r="L41" s="1285"/>
      <c r="M41" s="1286"/>
      <c r="N41" s="1286"/>
      <c r="O41" s="1286"/>
      <c r="P41" s="282"/>
      <c r="Q41" s="281"/>
      <c r="R41" s="276"/>
      <c r="S41" s="1408">
        <f>INDEX(PT_DIFFERENTIATION_NUM_NTAR,MATCH(A41,PT_DIFFERENTIATION_NTAR_ID,0))</f>
        <v>0</v>
      </c>
      <c r="T41" s="212" t="s">
        <v>211</v>
      </c>
      <c r="U41" s="214"/>
      <c r="V41" s="8869"/>
      <c r="W41" s="8870"/>
      <c r="X41" s="8870"/>
      <c r="Y41" s="8870"/>
      <c r="Z41" s="8870"/>
      <c r="AA41" s="8870"/>
      <c r="AB41" s="8871"/>
      <c r="AC41" s="8869" t="str">
        <f>INDEX(PT_DIFFERENTIATION_NTAR,MATCH(A41,PT_DIFFERENTIATION_NTAR_ID,0))</f>
        <v/>
      </c>
      <c r="AD41" s="8870"/>
      <c r="AE41" s="8870"/>
      <c r="AF41" s="8870"/>
      <c r="AG41" s="8870"/>
      <c r="AH41" s="8870"/>
      <c r="AI41" s="8870"/>
      <c r="AJ41" s="887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714</v>
      </c>
      <c r="B42" s="1284" t="s">
        <v>715</v>
      </c>
      <c r="C42" s="1284"/>
      <c r="D42" s="1284"/>
      <c r="E42" s="8884"/>
      <c r="F42" s="8883">
        <v>1</v>
      </c>
      <c r="G42" s="1284"/>
      <c r="H42" s="1284"/>
      <c r="I42" s="1284"/>
      <c r="J42" s="1284"/>
      <c r="K42" s="1284"/>
      <c r="L42" s="1285"/>
      <c r="M42" s="1286"/>
      <c r="N42" s="1286"/>
      <c r="O42" s="1286"/>
      <c r="P42" s="1402"/>
      <c r="Q42" s="273"/>
      <c r="R42" s="274"/>
      <c r="S42" s="1408" t="str">
        <f>INDEX(PT_DIFFERENTIATION_NUM_TER,MATCH(B42,PT_DIFFERENTIATION_TER_ID,0))</f>
        <v>.</v>
      </c>
      <c r="T42" s="224" t="s">
        <v>862</v>
      </c>
      <c r="U42" s="214"/>
      <c r="V42" s="8869"/>
      <c r="W42" s="8870"/>
      <c r="X42" s="8870"/>
      <c r="Y42" s="8870"/>
      <c r="Z42" s="8870"/>
      <c r="AA42" s="8870"/>
      <c r="AB42" s="8871"/>
      <c r="AC42" s="8869" t="str">
        <f>INDEX(PT_DIFFERENTIATION_TER,MATCH(B42,PT_DIFFERENTIATION_TER_ID,0))</f>
        <v/>
      </c>
      <c r="AD42" s="8870"/>
      <c r="AE42" s="8870"/>
      <c r="AF42" s="8870"/>
      <c r="AG42" s="8870"/>
      <c r="AH42" s="8870"/>
      <c r="AI42" s="8870"/>
      <c r="AJ42" s="8871"/>
      <c r="AK42" s="1182" t="s">
        <v>863</v>
      </c>
      <c r="AM42" s="424"/>
      <c r="AN42" s="424" t="str">
        <f t="shared" si="1"/>
        <v>Территория действия тарифа</v>
      </c>
      <c r="AO42" s="424"/>
      <c r="AP42" s="424"/>
    </row>
    <row r="43" spans="1:42" ht="23.25" customHeight="1">
      <c r="A43" s="1284" t="s">
        <v>714</v>
      </c>
      <c r="B43" s="1284" t="s">
        <v>715</v>
      </c>
      <c r="C43" s="1284" t="s">
        <v>716</v>
      </c>
      <c r="D43" s="1284"/>
      <c r="E43" s="8884"/>
      <c r="F43" s="8884"/>
      <c r="G43" s="8883">
        <v>1</v>
      </c>
      <c r="H43" s="1284"/>
      <c r="I43" s="1284"/>
      <c r="J43" s="1284"/>
      <c r="K43" s="1284"/>
      <c r="L43" s="1285"/>
      <c r="M43" s="1286"/>
      <c r="N43" s="1286"/>
      <c r="O43" s="1286"/>
      <c r="P43" s="275"/>
      <c r="Q43" s="273"/>
      <c r="R43" s="274"/>
      <c r="S43" s="1408" t="str">
        <f>INDEX(PT_DIFFERENTIATION_NUM_CS,MATCH(C43,PT_DIFFERENTIATION_CS_ID,0))</f>
        <v>..</v>
      </c>
      <c r="T43" s="225" t="s">
        <v>994</v>
      </c>
      <c r="U43" s="214"/>
      <c r="V43" s="8869"/>
      <c r="W43" s="8870"/>
      <c r="X43" s="8870"/>
      <c r="Y43" s="8870"/>
      <c r="Z43" s="8870"/>
      <c r="AA43" s="8870"/>
      <c r="AB43" s="8871"/>
      <c r="AC43" s="8869" t="str">
        <f>INDEX(PT_DIFFERENTIATION_CS,MATCH(C43,PT_DIFFERENTIATION_CS_ID,0))</f>
        <v/>
      </c>
      <c r="AD43" s="8870"/>
      <c r="AE43" s="8870"/>
      <c r="AF43" s="8870"/>
      <c r="AG43" s="8870"/>
      <c r="AH43" s="8870"/>
      <c r="AI43" s="8870"/>
      <c r="AJ43" s="8871"/>
      <c r="AK43" s="1182" t="s">
        <v>995</v>
      </c>
      <c r="AM43" s="424"/>
      <c r="AN43" s="424" t="str">
        <f t="shared" si="1"/>
        <v>Наименование централизованной системы горячего водоснабжения</v>
      </c>
      <c r="AO43" s="424"/>
      <c r="AP43" s="424"/>
    </row>
    <row r="44" spans="1:42" ht="23.25" customHeight="1">
      <c r="A44" s="1284" t="s">
        <v>714</v>
      </c>
      <c r="B44" s="1284" t="s">
        <v>715</v>
      </c>
      <c r="C44" s="1284" t="s">
        <v>716</v>
      </c>
      <c r="D44" s="1284" t="s">
        <v>1001</v>
      </c>
      <c r="E44" s="8884"/>
      <c r="F44" s="8884"/>
      <c r="G44" s="8884"/>
      <c r="H44" s="8884"/>
      <c r="I44" s="8881" t="str">
        <f>S43&amp;".1"</f>
        <v>...1</v>
      </c>
      <c r="J44" s="1284"/>
      <c r="K44" s="1284"/>
      <c r="L44" s="1285"/>
      <c r="P44" s="8882">
        <v>1</v>
      </c>
      <c r="Q44" s="1396"/>
      <c r="R44" s="277"/>
      <c r="S44" s="1408" t="str">
        <f>$I44</f>
        <v>...1</v>
      </c>
      <c r="T44" s="200" t="s">
        <v>945</v>
      </c>
      <c r="U44" s="214"/>
      <c r="V44" s="8942"/>
      <c r="W44" s="8943"/>
      <c r="X44" s="8943"/>
      <c r="Y44" s="8943"/>
      <c r="Z44" s="8943"/>
      <c r="AA44" s="8943"/>
      <c r="AB44" s="8944"/>
      <c r="AC44" s="8945"/>
      <c r="AD44" s="8946"/>
      <c r="AE44" s="8946"/>
      <c r="AF44" s="8946"/>
      <c r="AG44" s="8946"/>
      <c r="AH44" s="8946"/>
      <c r="AI44" s="8946"/>
      <c r="AJ44" s="8947"/>
      <c r="AK44" s="1182" t="s">
        <v>946</v>
      </c>
      <c r="AM44" s="424"/>
      <c r="AN44" s="424" t="str">
        <f t="shared" si="1"/>
        <v>Наименование признака дифференциации</v>
      </c>
      <c r="AO44" s="424"/>
      <c r="AP44" s="424"/>
    </row>
    <row r="45" spans="1:42" ht="23.25" customHeight="1">
      <c r="A45" s="1284" t="s">
        <v>714</v>
      </c>
      <c r="B45" s="1284" t="s">
        <v>715</v>
      </c>
      <c r="C45" s="1284" t="s">
        <v>716</v>
      </c>
      <c r="D45" s="1284" t="s">
        <v>1001</v>
      </c>
      <c r="E45" s="8884"/>
      <c r="F45" s="8884"/>
      <c r="G45" s="8884"/>
      <c r="H45" s="8884"/>
      <c r="I45" s="8904"/>
      <c r="J45" s="8881" t="str">
        <f>I44&amp;".1"</f>
        <v>...1.1</v>
      </c>
      <c r="K45" s="1284"/>
      <c r="L45" s="1285" t="s">
        <v>871</v>
      </c>
      <c r="P45" s="8882"/>
      <c r="Q45" s="8882">
        <v>1</v>
      </c>
      <c r="R45" s="278"/>
      <c r="S45" s="1408" t="str">
        <f>$J45</f>
        <v>...1.1</v>
      </c>
      <c r="T45" s="201" t="s">
        <v>872</v>
      </c>
      <c r="U45" s="214"/>
      <c r="V45" s="8872"/>
      <c r="W45" s="8873"/>
      <c r="X45" s="8873"/>
      <c r="Y45" s="8873"/>
      <c r="Z45" s="8873"/>
      <c r="AA45" s="8873"/>
      <c r="AB45" s="8874"/>
      <c r="AC45" s="8872"/>
      <c r="AD45" s="8873"/>
      <c r="AE45" s="8873"/>
      <c r="AF45" s="8873"/>
      <c r="AG45" s="8873"/>
      <c r="AH45" s="8873"/>
      <c r="AI45" s="8873"/>
      <c r="AJ45" s="8874"/>
      <c r="AK45" s="1231" t="s">
        <v>947</v>
      </c>
      <c r="AM45" s="424"/>
      <c r="AN45" s="424" t="str">
        <f t="shared" si="1"/>
        <v>Группа потребителей</v>
      </c>
      <c r="AO45" s="424"/>
      <c r="AP45" s="424"/>
    </row>
    <row r="46" spans="1:42" ht="23.25" customHeight="1">
      <c r="A46" s="1284" t="s">
        <v>714</v>
      </c>
      <c r="B46" s="1284" t="s">
        <v>715</v>
      </c>
      <c r="C46" s="1284" t="s">
        <v>716</v>
      </c>
      <c r="D46" s="1284" t="s">
        <v>1001</v>
      </c>
      <c r="E46" s="8884"/>
      <c r="F46" s="8884"/>
      <c r="G46" s="8884"/>
      <c r="H46" s="8884"/>
      <c r="I46" s="8904"/>
      <c r="J46" s="8904"/>
      <c r="K46" s="8881" t="str">
        <f>J45&amp;".1"</f>
        <v>...1.1.1</v>
      </c>
      <c r="L46" s="1285"/>
      <c r="P46" s="8882"/>
      <c r="Q46" s="8882"/>
      <c r="R46" s="278">
        <v>1</v>
      </c>
      <c r="S46" s="1408" t="str">
        <f>$K46</f>
        <v>...1.1.1</v>
      </c>
      <c r="T46" s="1357"/>
      <c r="U46" s="214"/>
      <c r="V46" s="1281"/>
      <c r="W46" s="1281"/>
      <c r="X46" s="1282"/>
      <c r="Y46" s="8888"/>
      <c r="Z46" s="8889" t="s">
        <v>63</v>
      </c>
      <c r="AA46" s="8888"/>
      <c r="AB46" s="8889" t="s">
        <v>63</v>
      </c>
      <c r="AC46" s="666"/>
      <c r="AD46" s="666"/>
      <c r="AE46" s="1181"/>
      <c r="AF46" s="8886"/>
      <c r="AG46" s="8734" t="s">
        <v>63</v>
      </c>
      <c r="AH46" s="8905"/>
      <c r="AI46" s="8734" t="s">
        <v>53</v>
      </c>
      <c r="AJ46" s="1358"/>
      <c r="AK46" s="89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714</v>
      </c>
      <c r="B47" s="1284" t="s">
        <v>715</v>
      </c>
      <c r="C47" s="1284" t="s">
        <v>716</v>
      </c>
      <c r="D47" s="1284" t="s">
        <v>1001</v>
      </c>
      <c r="E47" s="8884"/>
      <c r="F47" s="8884"/>
      <c r="G47" s="8884"/>
      <c r="H47" s="8884"/>
      <c r="I47" s="8904"/>
      <c r="J47" s="8904"/>
      <c r="K47" s="8881"/>
      <c r="L47" s="1285"/>
      <c r="P47" s="8882"/>
      <c r="Q47" s="8882"/>
      <c r="R47" s="278"/>
      <c r="S47" s="1405"/>
      <c r="T47" s="214"/>
      <c r="U47" s="214"/>
      <c r="V47" s="1281"/>
      <c r="W47" s="1281"/>
      <c r="X47" s="250" t="str">
        <f>Y46&amp;"-"&amp;AA46</f>
        <v>-</v>
      </c>
      <c r="Y47" s="8889"/>
      <c r="Z47" s="8889"/>
      <c r="AA47" s="8889"/>
      <c r="AB47" s="8889"/>
      <c r="AC47" s="246"/>
      <c r="AD47" s="246"/>
      <c r="AE47" s="250" t="str">
        <f>AF46&amp;"-"&amp;AH46</f>
        <v>-</v>
      </c>
      <c r="AF47" s="8887"/>
      <c r="AG47" s="8734"/>
      <c r="AH47" s="8906"/>
      <c r="AI47" s="8734"/>
      <c r="AJ47" s="1359"/>
      <c r="AK47" s="8941"/>
      <c r="AM47" s="424"/>
      <c r="AN47" s="424" t="str">
        <f t="shared" si="1"/>
        <v/>
      </c>
      <c r="AO47" s="424"/>
      <c r="AP47" s="424"/>
    </row>
    <row r="48" spans="1:42" ht="21" customHeight="1">
      <c r="A48" s="1284" t="s">
        <v>714</v>
      </c>
      <c r="B48" s="1284" t="s">
        <v>715</v>
      </c>
      <c r="C48" s="1284" t="s">
        <v>716</v>
      </c>
      <c r="D48" s="1284" t="s">
        <v>1001</v>
      </c>
      <c r="E48" s="8884"/>
      <c r="F48" s="8884"/>
      <c r="G48" s="8884"/>
      <c r="H48" s="8884"/>
      <c r="I48" s="8904"/>
      <c r="J48" s="8881"/>
      <c r="K48" s="1284"/>
      <c r="L48" s="1285"/>
      <c r="P48" s="8882"/>
      <c r="Q48" s="8882"/>
      <c r="R48" s="277"/>
      <c r="S48" s="1203"/>
      <c r="T48" s="202" t="s">
        <v>948</v>
      </c>
      <c r="U48" s="291"/>
      <c r="V48" s="291"/>
      <c r="W48" s="291"/>
      <c r="X48" s="291"/>
      <c r="Y48" s="291"/>
      <c r="Z48" s="291"/>
      <c r="AA48" s="291"/>
      <c r="AB48" s="291"/>
      <c r="AC48" s="291"/>
      <c r="AD48" s="291"/>
      <c r="AE48" s="291"/>
      <c r="AF48" s="291"/>
      <c r="AG48" s="291"/>
      <c r="AH48" s="291"/>
      <c r="AI48" s="291"/>
      <c r="AJ48" s="291"/>
      <c r="AK48" s="1182" t="s">
        <v>949</v>
      </c>
      <c r="AM48" s="424"/>
      <c r="AN48" s="424" t="str">
        <f t="shared" si="1"/>
        <v>Добавить значение признака дифференциации</v>
      </c>
      <c r="AO48" s="424"/>
      <c r="AP48" s="424"/>
    </row>
    <row r="49" spans="1:42" ht="21" customHeight="1">
      <c r="A49" s="1284" t="s">
        <v>714</v>
      </c>
      <c r="B49" s="1284" t="s">
        <v>715</v>
      </c>
      <c r="C49" s="1284" t="s">
        <v>716</v>
      </c>
      <c r="D49" s="1284" t="s">
        <v>1001</v>
      </c>
      <c r="E49" s="8884"/>
      <c r="F49" s="8884"/>
      <c r="G49" s="8884"/>
      <c r="H49" s="8884"/>
      <c r="I49" s="8881"/>
      <c r="J49" s="1284"/>
      <c r="K49" s="1284"/>
      <c r="L49" s="1285"/>
      <c r="P49" s="8882"/>
      <c r="Q49" s="1396"/>
      <c r="R49" s="277"/>
      <c r="S49" s="1203"/>
      <c r="T49" s="288" t="s">
        <v>877</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714</v>
      </c>
      <c r="B50" s="1284" t="s">
        <v>715</v>
      </c>
      <c r="C50" s="1284" t="s">
        <v>716</v>
      </c>
      <c r="D50" s="1284" t="s">
        <v>1001</v>
      </c>
      <c r="E50" s="8884"/>
      <c r="F50" s="8884"/>
      <c r="G50" s="8884"/>
      <c r="H50" s="8883"/>
      <c r="I50" s="1284"/>
      <c r="J50" s="1284"/>
      <c r="K50" s="1284"/>
      <c r="L50" s="1285"/>
      <c r="M50" s="1286"/>
      <c r="N50" s="1286"/>
      <c r="O50" s="460"/>
      <c r="P50" s="281"/>
      <c r="Q50" s="299"/>
      <c r="R50" s="276"/>
      <c r="S50" s="1203"/>
      <c r="T50" s="296" t="s">
        <v>950</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714</v>
      </c>
      <c r="B51" s="1265" t="s">
        <v>715</v>
      </c>
      <c r="C51" s="1237"/>
      <c r="D51" s="1237"/>
      <c r="E51" s="8884"/>
      <c r="F51" s="8883"/>
      <c r="G51" s="1237"/>
      <c r="H51" s="1237"/>
      <c r="I51" s="1237"/>
      <c r="J51" s="1237"/>
      <c r="K51" s="1237"/>
      <c r="L51" s="1409"/>
      <c r="M51" s="1244"/>
      <c r="N51" s="1244"/>
      <c r="P51" s="1239"/>
      <c r="Q51" s="1240"/>
      <c r="R51" s="1239"/>
      <c r="S51" s="1245"/>
      <c r="T51" s="1248" t="s">
        <v>314</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714</v>
      </c>
      <c r="B52" s="1265"/>
      <c r="C52" s="1265"/>
      <c r="D52" s="1265"/>
      <c r="E52" s="8883"/>
      <c r="F52" s="1265"/>
      <c r="G52" s="1265"/>
      <c r="H52" s="1265"/>
      <c r="I52" s="1265"/>
      <c r="J52" s="1265"/>
      <c r="K52" s="1265"/>
      <c r="L52" s="1268"/>
      <c r="M52" s="1244"/>
      <c r="N52" s="1244"/>
      <c r="O52" s="442"/>
      <c r="P52" s="308"/>
      <c r="Q52" s="1266"/>
      <c r="R52" s="308"/>
      <c r="S52" s="1245"/>
      <c r="T52" s="1248" t="s">
        <v>315</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706</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8903"/>
      <c r="U55" s="8903"/>
      <c r="V55" s="8903"/>
      <c r="W55" s="8903"/>
      <c r="X55" s="8903"/>
      <c r="Y55" s="8903"/>
      <c r="Z55" s="8903"/>
      <c r="AA55" s="8903"/>
      <c r="AB55" s="8903"/>
      <c r="AC55" s="8903"/>
      <c r="AD55" s="8903"/>
      <c r="AE55" s="8903"/>
      <c r="AF55" s="8903"/>
      <c r="AG55" s="8903"/>
      <c r="AH55" s="8903"/>
      <c r="AI55" s="8903"/>
      <c r="AJ55" s="8903"/>
      <c r="AK55" s="8903"/>
    </row>
    <row r="56" spans="1:42" ht="14.25" customHeight="1">
      <c r="O56" s="460"/>
    </row>
    <row r="57" spans="1:42" ht="14.25" customHeight="1">
      <c r="O57" s="460"/>
      <c r="S57" s="1169"/>
      <c r="T57" s="8903"/>
      <c r="U57" s="8903"/>
      <c r="V57" s="8903"/>
      <c r="W57" s="8903"/>
      <c r="X57" s="8903"/>
      <c r="Y57" s="8903"/>
      <c r="Z57" s="8903"/>
      <c r="AA57" s="8903"/>
      <c r="AB57" s="8903"/>
      <c r="AC57" s="8903"/>
      <c r="AD57" s="8903"/>
      <c r="AE57" s="8903"/>
      <c r="AF57" s="8903"/>
      <c r="AG57" s="8903"/>
      <c r="AH57" s="8903"/>
      <c r="AI57" s="8903"/>
      <c r="AJ57" s="8903"/>
      <c r="AK57" s="890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16"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4"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8883">
        <v>1</v>
      </c>
      <c r="F2" s="1284"/>
      <c r="G2" s="1284"/>
      <c r="H2" s="1284"/>
      <c r="I2" s="1284"/>
      <c r="J2" s="1284"/>
      <c r="K2" s="1284"/>
      <c r="L2" s="1285"/>
      <c r="M2" s="1286"/>
      <c r="N2" s="1286"/>
      <c r="O2" s="1286"/>
      <c r="P2" s="1330"/>
      <c r="Q2" s="787"/>
      <c r="R2" s="276"/>
      <c r="S2" s="1408" t="e">
        <f>INDEX(PT_DIFFERENTIATION_NUM_NTAR,MATCH(A2,PT_DIFFERENTIATION_NTAR_ID,0))</f>
        <v>#N/A</v>
      </c>
      <c r="T2" s="212" t="s">
        <v>211</v>
      </c>
      <c r="U2" s="214"/>
      <c r="V2" s="8870"/>
      <c r="W2" s="8870"/>
      <c r="X2" s="8870"/>
      <c r="Y2" s="8870"/>
      <c r="Z2" s="8870"/>
      <c r="AA2" s="8870"/>
      <c r="AB2" s="8870"/>
      <c r="AC2" s="8871"/>
      <c r="AD2" s="8869" t="e">
        <f>INDEX(PT_DIFFERENTIATION_NTAR,MATCH(A2,PT_DIFFERENTIATION_NTAR_ID,0))</f>
        <v>#N/A</v>
      </c>
      <c r="AE2" s="8870"/>
      <c r="AF2" s="8870"/>
      <c r="AG2" s="8870"/>
      <c r="AH2" s="8870"/>
      <c r="AI2" s="8870"/>
      <c r="AJ2" s="8870"/>
      <c r="AK2" s="8870"/>
      <c r="AL2" s="8870"/>
      <c r="AM2" s="8870"/>
      <c r="AN2" s="8870"/>
      <c r="AO2" s="8870"/>
      <c r="AP2" s="8870"/>
      <c r="AQ2" s="8870"/>
      <c r="AR2" s="8870"/>
      <c r="AS2" s="8870"/>
      <c r="AT2" s="8870"/>
      <c r="AU2" s="8870"/>
      <c r="AV2" s="8870"/>
      <c r="AW2" s="8870"/>
      <c r="AX2" s="8870"/>
      <c r="AY2" s="8870"/>
      <c r="AZ2" s="8870"/>
      <c r="BA2" s="8870"/>
      <c r="BB2" s="887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8884"/>
      <c r="F3" s="8883">
        <v>1</v>
      </c>
      <c r="G3" s="1284"/>
      <c r="H3" s="1284"/>
      <c r="I3" s="1284"/>
      <c r="J3" s="1284"/>
      <c r="K3" s="1284"/>
      <c r="L3" s="1285"/>
      <c r="M3" s="1286"/>
      <c r="N3" s="1286"/>
      <c r="O3" s="1286"/>
      <c r="P3" s="1331"/>
      <c r="Q3" s="1332"/>
      <c r="R3" s="274"/>
      <c r="S3" s="1408" t="e">
        <f>INDEX(PT_DIFFERENTIATION_NUM_TER,MATCH(B3,PT_DIFFERENTIATION_TER_ID,0))</f>
        <v>#N/A</v>
      </c>
      <c r="T3" s="224" t="s">
        <v>862</v>
      </c>
      <c r="U3" s="214"/>
      <c r="V3" s="8870"/>
      <c r="W3" s="8870"/>
      <c r="X3" s="8870"/>
      <c r="Y3" s="8870"/>
      <c r="Z3" s="8870"/>
      <c r="AA3" s="8870"/>
      <c r="AB3" s="8870"/>
      <c r="AC3" s="8871"/>
      <c r="AD3" s="8869" t="e">
        <f>INDEX(PT_DIFFERENTIATION_TER,MATCH(B3,PT_DIFFERENTIATION_TER_ID,0))</f>
        <v>#N/A</v>
      </c>
      <c r="AE3" s="8870"/>
      <c r="AF3" s="8870"/>
      <c r="AG3" s="8870"/>
      <c r="AH3" s="8870"/>
      <c r="AI3" s="8870"/>
      <c r="AJ3" s="8870"/>
      <c r="AK3" s="8870"/>
      <c r="AL3" s="8870"/>
      <c r="AM3" s="8870"/>
      <c r="AN3" s="8870"/>
      <c r="AO3" s="8870"/>
      <c r="AP3" s="8870"/>
      <c r="AQ3" s="8870"/>
      <c r="AR3" s="8870"/>
      <c r="AS3" s="8870"/>
      <c r="AT3" s="8870"/>
      <c r="AU3" s="8870"/>
      <c r="AV3" s="8870"/>
      <c r="AW3" s="8870"/>
      <c r="AX3" s="8870"/>
      <c r="AY3" s="8870"/>
      <c r="AZ3" s="8870"/>
      <c r="BA3" s="8870"/>
      <c r="BB3" s="8871"/>
      <c r="BC3" s="1182" t="s">
        <v>863</v>
      </c>
      <c r="BE3" s="424"/>
      <c r="BF3" s="424" t="str">
        <f t="shared" si="0"/>
        <v>Территория действия тарифа</v>
      </c>
      <c r="BG3" s="424"/>
      <c r="BH3" s="424"/>
    </row>
    <row r="4" spans="1:60" ht="33.75" hidden="1" customHeight="1">
      <c r="A4" s="1284"/>
      <c r="B4" s="1284"/>
      <c r="C4" s="1284"/>
      <c r="D4" s="1284"/>
      <c r="E4" s="8884"/>
      <c r="F4" s="8884"/>
      <c r="G4" s="8883">
        <v>1</v>
      </c>
      <c r="H4" s="1284"/>
      <c r="I4" s="1284"/>
      <c r="J4" s="1284"/>
      <c r="K4" s="1284"/>
      <c r="L4" s="1285"/>
      <c r="M4" s="1286"/>
      <c r="N4" s="1286"/>
      <c r="O4" s="1286"/>
      <c r="P4" s="1333"/>
      <c r="Q4" s="1332"/>
      <c r="R4" s="274"/>
      <c r="S4" s="1408" t="e">
        <f>INDEX(PT_DIFFERENTIATION_NUM_CS,MATCH(C4,PT_DIFFERENTIATION_CS_ID,0))</f>
        <v>#N/A</v>
      </c>
      <c r="T4" s="225" t="s">
        <v>994</v>
      </c>
      <c r="U4" s="214"/>
      <c r="V4" s="8870"/>
      <c r="W4" s="8870"/>
      <c r="X4" s="8870"/>
      <c r="Y4" s="8870"/>
      <c r="Z4" s="8870"/>
      <c r="AA4" s="8870"/>
      <c r="AB4" s="8870"/>
      <c r="AC4" s="8871"/>
      <c r="AD4" s="8869" t="e">
        <f>INDEX(PT_DIFFERENTIATION_CS,MATCH(C4,PT_DIFFERENTIATION_CS_ID,0))</f>
        <v>#N/A</v>
      </c>
      <c r="AE4" s="8870"/>
      <c r="AF4" s="8870"/>
      <c r="AG4" s="8870"/>
      <c r="AH4" s="8870"/>
      <c r="AI4" s="8870"/>
      <c r="AJ4" s="8870"/>
      <c r="AK4" s="8870"/>
      <c r="AL4" s="8870"/>
      <c r="AM4" s="8870"/>
      <c r="AN4" s="8870"/>
      <c r="AO4" s="8870"/>
      <c r="AP4" s="8870"/>
      <c r="AQ4" s="8870"/>
      <c r="AR4" s="8870"/>
      <c r="AS4" s="8870"/>
      <c r="AT4" s="8870"/>
      <c r="AU4" s="8870"/>
      <c r="AV4" s="8870"/>
      <c r="AW4" s="8870"/>
      <c r="AX4" s="8870"/>
      <c r="AY4" s="8870"/>
      <c r="AZ4" s="8870"/>
      <c r="BA4" s="8870"/>
      <c r="BB4" s="8871"/>
      <c r="BC4" s="1182" t="s">
        <v>995</v>
      </c>
      <c r="BE4" s="424"/>
      <c r="BF4" s="424" t="str">
        <f t="shared" si="0"/>
        <v>Наименование централизованной системы горячего водоснабжения</v>
      </c>
      <c r="BG4" s="424"/>
      <c r="BH4" s="424"/>
    </row>
    <row r="5" spans="1:60" s="1562" customFormat="1" ht="14.25" hidden="1" customHeight="1">
      <c r="A5" s="1265"/>
      <c r="B5" s="1265"/>
      <c r="C5" s="1265"/>
      <c r="D5" s="1265"/>
      <c r="E5" s="8884"/>
      <c r="F5" s="8884"/>
      <c r="G5" s="8884"/>
      <c r="H5" s="8883">
        <v>1</v>
      </c>
      <c r="I5" s="1265"/>
      <c r="J5" s="1265"/>
      <c r="K5" s="1265"/>
      <c r="L5" s="1268"/>
      <c r="M5" s="1238"/>
      <c r="N5" s="1238"/>
      <c r="O5" s="1238"/>
      <c r="P5" s="1412"/>
      <c r="Q5" s="1413"/>
      <c r="R5" s="278"/>
      <c r="S5" s="953"/>
      <c r="T5" s="1414"/>
      <c r="U5" s="1305"/>
      <c r="V5" s="8911"/>
      <c r="W5" s="8911"/>
      <c r="X5" s="8911"/>
      <c r="Y5" s="8911"/>
      <c r="Z5" s="8911"/>
      <c r="AA5" s="8911"/>
      <c r="AB5" s="8911"/>
      <c r="AC5" s="8912"/>
      <c r="AD5" s="8910"/>
      <c r="AE5" s="8911"/>
      <c r="AF5" s="8911"/>
      <c r="AG5" s="8911"/>
      <c r="AH5" s="8911"/>
      <c r="AI5" s="8911"/>
      <c r="AJ5" s="8911"/>
      <c r="AK5" s="8911"/>
      <c r="AL5" s="8911"/>
      <c r="AM5" s="8911"/>
      <c r="AN5" s="8911"/>
      <c r="AO5" s="8911"/>
      <c r="AP5" s="8911"/>
      <c r="AQ5" s="8911"/>
      <c r="AR5" s="8911"/>
      <c r="AS5" s="8911"/>
      <c r="AT5" s="8911"/>
      <c r="AU5" s="8911"/>
      <c r="AV5" s="8911"/>
      <c r="AW5" s="8911"/>
      <c r="AX5" s="8911"/>
      <c r="AY5" s="8911"/>
      <c r="AZ5" s="8911"/>
      <c r="BA5" s="8911"/>
      <c r="BB5" s="8912"/>
      <c r="BC5" s="1306" t="s">
        <v>867</v>
      </c>
      <c r="BE5" s="424"/>
      <c r="BF5" s="424" t="str">
        <f t="shared" si="0"/>
        <v/>
      </c>
      <c r="BG5" s="424"/>
      <c r="BH5" s="424"/>
    </row>
    <row r="6" spans="1:60" s="1562" customFormat="1" ht="14.25" hidden="1" customHeight="1">
      <c r="A6" s="1265"/>
      <c r="B6" s="1265"/>
      <c r="C6" s="1265"/>
      <c r="D6" s="1265"/>
      <c r="E6" s="8884"/>
      <c r="F6" s="8884"/>
      <c r="G6" s="8884"/>
      <c r="H6" s="8884"/>
      <c r="I6" s="8881" t="str">
        <f>S5&amp;".1"</f>
        <v>.1</v>
      </c>
      <c r="J6" s="1265"/>
      <c r="K6" s="1265"/>
      <c r="L6" s="1268" t="s">
        <v>868</v>
      </c>
      <c r="M6" s="434"/>
      <c r="N6" s="434"/>
      <c r="O6" s="434"/>
      <c r="P6" s="8882">
        <v>1</v>
      </c>
      <c r="Q6" s="1396"/>
      <c r="R6" s="277"/>
      <c r="S6" s="953"/>
      <c r="T6" s="1304"/>
      <c r="U6" s="1305"/>
      <c r="V6" s="8911"/>
      <c r="W6" s="8911"/>
      <c r="X6" s="8911"/>
      <c r="Y6" s="8911"/>
      <c r="Z6" s="8911"/>
      <c r="AA6" s="8911"/>
      <c r="AB6" s="8911"/>
      <c r="AC6" s="8912"/>
      <c r="AD6" s="8910"/>
      <c r="AE6" s="8911"/>
      <c r="AF6" s="8911"/>
      <c r="AG6" s="8911"/>
      <c r="AH6" s="8911"/>
      <c r="AI6" s="8911"/>
      <c r="AJ6" s="8911"/>
      <c r="AK6" s="8911"/>
      <c r="AL6" s="8911"/>
      <c r="AM6" s="8911"/>
      <c r="AN6" s="8911"/>
      <c r="AO6" s="8911"/>
      <c r="AP6" s="8911"/>
      <c r="AQ6" s="8911"/>
      <c r="AR6" s="8911"/>
      <c r="AS6" s="8911"/>
      <c r="AT6" s="8911"/>
      <c r="AU6" s="8911"/>
      <c r="AV6" s="8911"/>
      <c r="AW6" s="8911"/>
      <c r="AX6" s="8911"/>
      <c r="AY6" s="8911"/>
      <c r="AZ6" s="8911"/>
      <c r="BA6" s="8911"/>
      <c r="BB6" s="8912"/>
      <c r="BC6" s="1306"/>
      <c r="BE6" s="424"/>
      <c r="BF6" s="424" t="str">
        <f t="shared" si="0"/>
        <v/>
      </c>
      <c r="BG6" s="424"/>
      <c r="BH6" s="424"/>
    </row>
    <row r="7" spans="1:60" s="1562" customFormat="1" ht="14.25" hidden="1" customHeight="1">
      <c r="A7" s="1265"/>
      <c r="B7" s="1265"/>
      <c r="C7" s="1265"/>
      <c r="D7" s="1265"/>
      <c r="E7" s="8884"/>
      <c r="F7" s="8884"/>
      <c r="G7" s="8884"/>
      <c r="H7" s="8884"/>
      <c r="I7" s="8904"/>
      <c r="J7" s="8881" t="str">
        <f>S5&amp;".1"</f>
        <v>.1</v>
      </c>
      <c r="K7" s="1265"/>
      <c r="L7" s="1268"/>
      <c r="M7" s="434"/>
      <c r="N7" s="434"/>
      <c r="O7" s="434"/>
      <c r="P7" s="8882"/>
      <c r="Q7" s="8882">
        <v>1</v>
      </c>
      <c r="R7" s="278"/>
      <c r="S7" s="953"/>
      <c r="T7" s="1320"/>
      <c r="U7" s="1305"/>
      <c r="V7" s="8911"/>
      <c r="W7" s="8911"/>
      <c r="X7" s="8911"/>
      <c r="Y7" s="8911"/>
      <c r="Z7" s="8911"/>
      <c r="AA7" s="8911"/>
      <c r="AB7" s="8911"/>
      <c r="AC7" s="8912"/>
      <c r="AD7" s="8910"/>
      <c r="AE7" s="8911"/>
      <c r="AF7" s="8911"/>
      <c r="AG7" s="8911"/>
      <c r="AH7" s="8911"/>
      <c r="AI7" s="8911"/>
      <c r="AJ7" s="8911"/>
      <c r="AK7" s="8911"/>
      <c r="AL7" s="8911"/>
      <c r="AM7" s="8911"/>
      <c r="AN7" s="8911"/>
      <c r="AO7" s="8911"/>
      <c r="AP7" s="8911"/>
      <c r="AQ7" s="8911"/>
      <c r="AR7" s="8911"/>
      <c r="AS7" s="8911"/>
      <c r="AT7" s="8911"/>
      <c r="AU7" s="8911"/>
      <c r="AV7" s="8911"/>
      <c r="AW7" s="8911"/>
      <c r="AX7" s="8911"/>
      <c r="AY7" s="8911"/>
      <c r="AZ7" s="8911"/>
      <c r="BA7" s="8911"/>
      <c r="BB7" s="8912"/>
      <c r="BC7" s="1306"/>
      <c r="BE7" s="424"/>
      <c r="BF7" s="424" t="str">
        <f t="shared" si="0"/>
        <v/>
      </c>
      <c r="BG7" s="424"/>
      <c r="BH7" s="424"/>
    </row>
    <row r="8" spans="1:60" ht="11.25" hidden="1" customHeight="1">
      <c r="A8" s="1284"/>
      <c r="B8" s="1284"/>
      <c r="C8" s="1284"/>
      <c r="D8" s="1284"/>
      <c r="E8" s="8884"/>
      <c r="F8" s="8884"/>
      <c r="G8" s="8884"/>
      <c r="H8" s="8884"/>
      <c r="I8" s="8904"/>
      <c r="J8" s="8904"/>
      <c r="K8" s="8881" t="e">
        <f>S4&amp;".1"</f>
        <v>#N/A</v>
      </c>
      <c r="L8" s="1285"/>
      <c r="P8" s="8882"/>
      <c r="Q8" s="8882"/>
      <c r="R8" s="8939">
        <v>1</v>
      </c>
      <c r="S8" s="8933" t="e">
        <f>$K8</f>
        <v>#N/A</v>
      </c>
      <c r="T8" s="8952"/>
      <c r="U8" s="214"/>
      <c r="V8" s="666"/>
      <c r="W8" s="1181"/>
      <c r="X8" s="666"/>
      <c r="Y8" s="1181"/>
      <c r="Z8" s="1653"/>
      <c r="AA8" s="1385" t="s">
        <v>63</v>
      </c>
      <c r="AB8" s="1653"/>
      <c r="AC8" s="1385" t="s">
        <v>63</v>
      </c>
      <c r="AD8" s="8808" t="s">
        <v>63</v>
      </c>
      <c r="AE8" s="8919"/>
      <c r="AF8" s="8838">
        <v>1</v>
      </c>
      <c r="AG8" s="8956"/>
      <c r="AH8" s="8734" t="s">
        <v>63</v>
      </c>
      <c r="AI8" s="8919"/>
      <c r="AJ8" s="8838">
        <v>1</v>
      </c>
      <c r="AK8" s="8955" t="s">
        <v>24</v>
      </c>
      <c r="AL8" s="8734" t="s">
        <v>63</v>
      </c>
      <c r="AM8" s="8828"/>
      <c r="AN8" s="8838">
        <v>1</v>
      </c>
      <c r="AO8" s="8949"/>
      <c r="AP8" s="8950" t="s">
        <v>63</v>
      </c>
      <c r="AQ8" s="227"/>
      <c r="AR8" s="1401">
        <v>1</v>
      </c>
      <c r="AS8" s="1407" t="s">
        <v>24</v>
      </c>
      <c r="AT8" s="666"/>
      <c r="AU8" s="1181"/>
      <c r="AV8" s="666"/>
      <c r="AW8" s="1181"/>
      <c r="AX8" s="1653"/>
      <c r="AY8" s="1385" t="s">
        <v>63</v>
      </c>
      <c r="AZ8" s="1653"/>
      <c r="BA8" s="1385" t="s">
        <v>63</v>
      </c>
      <c r="BB8" s="1270"/>
      <c r="BC8" s="8878" t="s">
        <v>965</v>
      </c>
      <c r="BE8" s="424"/>
      <c r="BF8" s="424" t="str">
        <f t="shared" si="0"/>
        <v/>
      </c>
      <c r="BG8" s="424"/>
      <c r="BH8" s="424"/>
    </row>
    <row r="9" spans="1:60" ht="11.25" hidden="1" customHeight="1">
      <c r="A9" s="1284"/>
      <c r="B9" s="1284"/>
      <c r="C9" s="1284"/>
      <c r="D9" s="1284"/>
      <c r="E9" s="8884"/>
      <c r="F9" s="8884"/>
      <c r="G9" s="8884"/>
      <c r="H9" s="8884"/>
      <c r="I9" s="8904"/>
      <c r="J9" s="8904"/>
      <c r="K9" s="8881"/>
      <c r="L9" s="1285"/>
      <c r="P9" s="8882"/>
      <c r="Q9" s="8882"/>
      <c r="R9" s="8939"/>
      <c r="S9" s="8934"/>
      <c r="T9" s="8953"/>
      <c r="U9" s="214"/>
      <c r="V9" s="1314"/>
      <c r="W9" s="1411"/>
      <c r="X9" s="1314"/>
      <c r="Y9" s="1411"/>
      <c r="Z9" s="1314"/>
      <c r="AA9" s="1314"/>
      <c r="AB9" s="1314"/>
      <c r="AC9" s="1314"/>
      <c r="AD9" s="8809"/>
      <c r="AE9" s="8919"/>
      <c r="AF9" s="8838"/>
      <c r="AG9" s="8956"/>
      <c r="AH9" s="8734"/>
      <c r="AI9" s="8919"/>
      <c r="AJ9" s="8838"/>
      <c r="AK9" s="8955"/>
      <c r="AL9" s="8734"/>
      <c r="AM9" s="8833"/>
      <c r="AN9" s="8838"/>
      <c r="AO9" s="8949"/>
      <c r="AP9" s="8951"/>
      <c r="AQ9" s="234"/>
      <c r="AR9" s="345"/>
      <c r="AS9" s="345" t="s">
        <v>966</v>
      </c>
      <c r="AT9" s="1314"/>
      <c r="AU9" s="1411"/>
      <c r="AV9" s="1314"/>
      <c r="AW9" s="1411"/>
      <c r="AX9" s="1314"/>
      <c r="AY9" s="1314"/>
      <c r="AZ9" s="1314"/>
      <c r="BA9" s="1314"/>
      <c r="BB9" s="1318"/>
      <c r="BC9" s="8879"/>
      <c r="BE9" s="424"/>
      <c r="BF9" s="424"/>
      <c r="BG9" s="424"/>
      <c r="BH9" s="424"/>
    </row>
    <row r="10" spans="1:60" ht="11.25" hidden="1" customHeight="1">
      <c r="A10" s="1284"/>
      <c r="B10" s="1284"/>
      <c r="C10" s="1284"/>
      <c r="D10" s="1284"/>
      <c r="E10" s="8884"/>
      <c r="F10" s="8884"/>
      <c r="G10" s="8884"/>
      <c r="H10" s="8884"/>
      <c r="I10" s="8904"/>
      <c r="J10" s="8904"/>
      <c r="K10" s="8881"/>
      <c r="L10" s="1285"/>
      <c r="P10" s="8882"/>
      <c r="Q10" s="8882"/>
      <c r="R10" s="8939"/>
      <c r="S10" s="8934"/>
      <c r="T10" s="8953"/>
      <c r="U10" s="214"/>
      <c r="V10" s="1314"/>
      <c r="W10" s="1411"/>
      <c r="X10" s="1314"/>
      <c r="Y10" s="1411"/>
      <c r="Z10" s="1314"/>
      <c r="AA10" s="1314"/>
      <c r="AB10" s="1314"/>
      <c r="AC10" s="1314"/>
      <c r="AD10" s="8809"/>
      <c r="AE10" s="8919"/>
      <c r="AF10" s="8838"/>
      <c r="AG10" s="8956"/>
      <c r="AH10" s="8734"/>
      <c r="AI10" s="8919"/>
      <c r="AJ10" s="8838"/>
      <c r="AK10" s="8955"/>
      <c r="AL10" s="8734"/>
      <c r="AM10" s="234"/>
      <c r="AN10" s="1415"/>
      <c r="AO10" s="1415" t="s">
        <v>967</v>
      </c>
      <c r="AP10" s="345"/>
      <c r="AQ10" s="345"/>
      <c r="AR10" s="345"/>
      <c r="AS10" s="1314"/>
      <c r="AT10" s="1314"/>
      <c r="AU10" s="1411"/>
      <c r="AV10" s="1314"/>
      <c r="AW10" s="1411"/>
      <c r="AX10" s="1314"/>
      <c r="AY10" s="1314"/>
      <c r="AZ10" s="1314"/>
      <c r="BA10" s="1314"/>
      <c r="BB10" s="1318"/>
      <c r="BC10" s="8879"/>
      <c r="BE10" s="424"/>
      <c r="BF10" s="424"/>
      <c r="BG10" s="424"/>
      <c r="BH10" s="424"/>
    </row>
    <row r="11" spans="1:60" ht="11.25" hidden="1" customHeight="1">
      <c r="A11" s="1284"/>
      <c r="B11" s="1284"/>
      <c r="C11" s="1284"/>
      <c r="D11" s="1284"/>
      <c r="E11" s="8884"/>
      <c r="F11" s="8884"/>
      <c r="G11" s="8884"/>
      <c r="H11" s="8884"/>
      <c r="I11" s="8904"/>
      <c r="J11" s="8904"/>
      <c r="K11" s="8881"/>
      <c r="L11" s="1285"/>
      <c r="P11" s="8882"/>
      <c r="Q11" s="8882"/>
      <c r="R11" s="8939"/>
      <c r="S11" s="8934"/>
      <c r="T11" s="8953"/>
      <c r="U11" s="214"/>
      <c r="V11" s="1314"/>
      <c r="W11" s="1411"/>
      <c r="X11" s="1314"/>
      <c r="Y11" s="1411"/>
      <c r="Z11" s="1314"/>
      <c r="AA11" s="1314"/>
      <c r="AB11" s="1314"/>
      <c r="AC11" s="1314"/>
      <c r="AD11" s="8809"/>
      <c r="AE11" s="8919"/>
      <c r="AF11" s="8838"/>
      <c r="AG11" s="8956"/>
      <c r="AH11" s="8734"/>
      <c r="AI11" s="208"/>
      <c r="AJ11" s="344"/>
      <c r="AK11" s="229" t="s">
        <v>968</v>
      </c>
      <c r="AL11" s="1314"/>
      <c r="AM11" s="1314"/>
      <c r="AN11" s="1314"/>
      <c r="AO11" s="1314"/>
      <c r="AP11" s="1314"/>
      <c r="AQ11" s="1314"/>
      <c r="AR11" s="1314"/>
      <c r="AS11" s="1314"/>
      <c r="AT11" s="1314"/>
      <c r="AU11" s="1411"/>
      <c r="AV11" s="1314"/>
      <c r="AW11" s="1411"/>
      <c r="AX11" s="1314"/>
      <c r="AY11" s="1314"/>
      <c r="AZ11" s="1314"/>
      <c r="BA11" s="1314"/>
      <c r="BB11" s="1318"/>
      <c r="BC11" s="8879"/>
      <c r="BE11" s="424"/>
      <c r="BF11" s="424"/>
      <c r="BG11" s="424"/>
      <c r="BH11" s="424"/>
    </row>
    <row r="12" spans="1:60" ht="11.25" hidden="1" customHeight="1">
      <c r="A12" s="1284"/>
      <c r="B12" s="1284"/>
      <c r="C12" s="1284"/>
      <c r="D12" s="1284"/>
      <c r="E12" s="8884"/>
      <c r="F12" s="8884"/>
      <c r="G12" s="8884"/>
      <c r="H12" s="8884"/>
      <c r="I12" s="8904"/>
      <c r="J12" s="8904"/>
      <c r="K12" s="8881"/>
      <c r="L12" s="1285"/>
      <c r="P12" s="8882"/>
      <c r="Q12" s="8882"/>
      <c r="R12" s="8939"/>
      <c r="S12" s="8935"/>
      <c r="T12" s="8954"/>
      <c r="U12" s="214"/>
      <c r="V12" s="1314"/>
      <c r="W12" s="1315" t="str">
        <f>Z8&amp;"-"&amp;AB8</f>
        <v>-</v>
      </c>
      <c r="X12" s="1314"/>
      <c r="Y12" s="1315" t="str">
        <f>AB8&amp;"-"&amp;AD8</f>
        <v>-да</v>
      </c>
      <c r="Z12" s="1314"/>
      <c r="AA12" s="1314"/>
      <c r="AB12" s="1314"/>
      <c r="AC12" s="1314"/>
      <c r="AD12" s="8739"/>
      <c r="AE12" s="228"/>
      <c r="AF12" s="230"/>
      <c r="AG12" s="345" t="s">
        <v>969</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8879"/>
      <c r="BE12" s="424"/>
      <c r="BF12" s="424" t="str">
        <f t="shared" ref="BF12:BF18" si="1">IF(T12="","",T12)</f>
        <v/>
      </c>
      <c r="BG12" s="424"/>
      <c r="BH12" s="424"/>
    </row>
    <row r="13" spans="1:60" ht="11.25" hidden="1" customHeight="1">
      <c r="A13" s="1284"/>
      <c r="B13" s="1284"/>
      <c r="C13" s="1284"/>
      <c r="D13" s="1284"/>
      <c r="E13" s="8884"/>
      <c r="F13" s="8884"/>
      <c r="G13" s="8884"/>
      <c r="H13" s="8884"/>
      <c r="I13" s="8904"/>
      <c r="J13" s="8881"/>
      <c r="K13" s="1284"/>
      <c r="L13" s="1285"/>
      <c r="P13" s="8882"/>
      <c r="Q13" s="8882"/>
      <c r="R13" s="277"/>
      <c r="S13" s="1203"/>
      <c r="T13" s="202" t="s">
        <v>929</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8880"/>
      <c r="BE13" s="424"/>
      <c r="BF13" s="424" t="str">
        <f t="shared" si="1"/>
        <v>Добавить строку</v>
      </c>
      <c r="BG13" s="424"/>
      <c r="BH13" s="424"/>
    </row>
    <row r="14" spans="1:60" s="1562" customFormat="1" ht="14.25" hidden="1" customHeight="1">
      <c r="A14" s="1265"/>
      <c r="B14" s="1265"/>
      <c r="C14" s="1265"/>
      <c r="D14" s="1265"/>
      <c r="E14" s="8884"/>
      <c r="F14" s="8884"/>
      <c r="G14" s="8884"/>
      <c r="H14" s="8884"/>
      <c r="I14" s="8881"/>
      <c r="J14" s="1265"/>
      <c r="K14" s="1265"/>
      <c r="L14" s="1268"/>
      <c r="M14" s="434"/>
      <c r="N14" s="434"/>
      <c r="O14" s="434"/>
      <c r="P14" s="8882"/>
      <c r="Q14" s="1396"/>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8884"/>
      <c r="F15" s="8884"/>
      <c r="G15" s="8884"/>
      <c r="H15" s="8883"/>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8884"/>
      <c r="F16" s="8884"/>
      <c r="G16" s="8883"/>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8884"/>
      <c r="F17" s="8883"/>
      <c r="G17" s="1237"/>
      <c r="H17" s="1237"/>
      <c r="I17" s="1237"/>
      <c r="J17" s="1237"/>
      <c r="K17" s="1237"/>
      <c r="L17" s="1409"/>
      <c r="M17" s="1244"/>
      <c r="N17" s="1244"/>
      <c r="P17" s="1239"/>
      <c r="Q17" s="1240"/>
      <c r="R17" s="1239"/>
      <c r="S17" s="1245"/>
      <c r="T17" s="1248" t="s">
        <v>314</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8883"/>
      <c r="F18" s="1265"/>
      <c r="G18" s="1265"/>
      <c r="H18" s="1265"/>
      <c r="I18" s="1265"/>
      <c r="J18" s="1265"/>
      <c r="K18" s="1265"/>
      <c r="L18" s="1268"/>
      <c r="M18" s="1244"/>
      <c r="N18" s="1244"/>
      <c r="O18" s="442"/>
      <c r="P18" s="308"/>
      <c r="Q18" s="1266"/>
      <c r="R18" s="308"/>
      <c r="S18" s="1245"/>
      <c r="T18" s="1248" t="s">
        <v>315</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53</v>
      </c>
      <c r="AE20" s="1416"/>
      <c r="AF20" s="471">
        <v>1</v>
      </c>
      <c r="AG20" s="1417"/>
      <c r="AH20" s="1247" t="s">
        <v>53</v>
      </c>
      <c r="AI20" s="1416"/>
      <c r="AJ20" s="471">
        <v>1</v>
      </c>
      <c r="AK20" s="1417"/>
      <c r="AL20" s="1247" t="s">
        <v>53</v>
      </c>
      <c r="AM20" s="1418"/>
      <c r="AN20" s="471">
        <v>1</v>
      </c>
      <c r="AO20" s="1419"/>
      <c r="AP20" s="1247" t="s">
        <v>53</v>
      </c>
      <c r="AQ20" s="1418"/>
      <c r="AR20" s="471">
        <v>1</v>
      </c>
      <c r="AS20" s="1419"/>
      <c r="AT20" s="246"/>
      <c r="AU20" s="313"/>
      <c r="AV20" s="246"/>
      <c r="AW20" s="313"/>
      <c r="AX20" s="1655"/>
      <c r="AY20" s="1400" t="s">
        <v>63</v>
      </c>
      <c r="AZ20" s="1655"/>
      <c r="BA20" s="1400" t="s">
        <v>63</v>
      </c>
    </row>
    <row r="21" spans="1:60" ht="14.25" hidden="1" customHeight="1">
      <c r="BD21" s="420"/>
      <c r="BE21" s="420"/>
      <c r="BF21" s="420"/>
      <c r="BG21" s="420"/>
      <c r="BH21" s="420"/>
    </row>
    <row r="22" spans="1:60" ht="14.25" hidden="1" customHeight="1">
      <c r="O22" s="1288" t="s">
        <v>880</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881</v>
      </c>
      <c r="P24" s="1423"/>
      <c r="Q24" s="1425"/>
      <c r="R24" s="1425"/>
      <c r="AA24" s="1422" t="s">
        <v>883</v>
      </c>
      <c r="AC24" s="1422" t="s">
        <v>884</v>
      </c>
      <c r="AD24" s="1422" t="s">
        <v>930</v>
      </c>
      <c r="AH24" s="1422" t="s">
        <v>930</v>
      </c>
      <c r="AK24" s="1422" t="s">
        <v>970</v>
      </c>
      <c r="AL24" s="1422" t="s">
        <v>930</v>
      </c>
      <c r="AP24" s="1422" t="s">
        <v>930</v>
      </c>
      <c r="AY24" s="1422" t="s">
        <v>883</v>
      </c>
      <c r="BA24" s="1422" t="s">
        <v>884</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88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8867"/>
      <c r="U28" s="8867"/>
      <c r="V28" s="8867"/>
      <c r="W28" s="8867"/>
      <c r="X28" s="8867"/>
      <c r="Y28" s="8867"/>
      <c r="Z28" s="8867"/>
      <c r="AA28" s="8867"/>
      <c r="AB28" s="8867"/>
      <c r="AC28" s="8867"/>
      <c r="AD28" s="8867"/>
      <c r="AE28" s="8867"/>
      <c r="AF28" s="8867"/>
      <c r="AG28" s="8867"/>
      <c r="AH28" s="8867"/>
      <c r="AI28" s="8867"/>
      <c r="AJ28" s="8867"/>
      <c r="AK28" s="8867"/>
      <c r="AL28" s="8867"/>
      <c r="AM28" s="8867"/>
      <c r="AN28" s="8867"/>
      <c r="AO28" s="8867"/>
      <c r="AP28" s="8867"/>
      <c r="AQ28" s="8867"/>
      <c r="AR28" s="8867"/>
      <c r="AS28" s="8867"/>
      <c r="AT28" s="8867"/>
      <c r="AU28" s="8867"/>
      <c r="AV28" s="8867"/>
      <c r="AW28" s="8867"/>
      <c r="AX28" s="8867"/>
      <c r="AY28" s="8867"/>
      <c r="AZ28" s="8867"/>
      <c r="BA28" s="1157"/>
    </row>
    <row r="29" spans="1:60" ht="14.25" customHeight="1">
      <c r="Q29" s="206"/>
      <c r="R29" s="300"/>
      <c r="S29" s="8814" t="str">
        <f>IF(org=0,"Не определено",org)</f>
        <v>ГУП СК "Ставрополькрайводоканал"</v>
      </c>
      <c r="T29" s="8814"/>
      <c r="U29" s="8814"/>
      <c r="V29" s="8814"/>
      <c r="W29" s="8814"/>
      <c r="X29" s="8814"/>
      <c r="Y29" s="8814"/>
      <c r="Z29" s="8814"/>
      <c r="AA29" s="8814"/>
      <c r="AB29" s="8814"/>
      <c r="AC29" s="8814"/>
      <c r="AD29" s="8814"/>
      <c r="AE29" s="8814"/>
      <c r="AF29" s="8814"/>
      <c r="AG29" s="8814"/>
      <c r="AH29" s="8814"/>
      <c r="AI29" s="8814"/>
      <c r="AJ29" s="8814"/>
      <c r="AK29" s="8814"/>
      <c r="AL29" s="8814"/>
      <c r="AM29" s="8814"/>
      <c r="AN29" s="8814"/>
      <c r="AO29" s="8814"/>
      <c r="AP29" s="8814"/>
      <c r="AQ29" s="8814"/>
      <c r="AR29" s="8814"/>
      <c r="AS29" s="8814"/>
      <c r="AT29" s="8814"/>
      <c r="AU29" s="8814"/>
      <c r="AV29" s="8814"/>
      <c r="AW29" s="8814"/>
      <c r="AX29" s="8814"/>
      <c r="AY29" s="8814"/>
      <c r="AZ29" s="8814"/>
      <c r="BA29" s="1157"/>
    </row>
    <row r="30" spans="1:60" ht="14.25" hidden="1"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hidden="1" customHeight="1">
      <c r="A31" s="1289"/>
      <c r="B31" s="1289"/>
      <c r="C31" s="1289"/>
      <c r="D31" s="1289"/>
      <c r="E31" s="1289"/>
      <c r="F31" s="1289"/>
      <c r="G31" s="1289"/>
      <c r="H31" s="1289"/>
      <c r="I31" s="1289"/>
      <c r="J31" s="1289"/>
      <c r="K31" s="1289"/>
      <c r="L31" s="1290"/>
      <c r="M31" s="1289"/>
      <c r="N31" s="1289"/>
      <c r="O31" s="1289"/>
      <c r="P31" s="1289"/>
      <c r="Q31" s="1289"/>
      <c r="S31" s="8875" t="s">
        <v>38</v>
      </c>
      <c r="T31" s="8875"/>
      <c r="U31" s="1293"/>
      <c r="V31" s="8876" t="str">
        <f>IF(TITLE_NAME_OR_PR_CHANGE="",IF(TITLE_NAME_OR_PR="","",TITLE_NAME_OR_PR),TITLE_NAME_OR_PR_CHANGE)</f>
        <v/>
      </c>
      <c r="W31" s="8876"/>
      <c r="X31" s="8876"/>
      <c r="Y31" s="8876"/>
      <c r="Z31" s="8876"/>
      <c r="AA31" s="8876"/>
      <c r="AB31" s="8876"/>
      <c r="AC31" s="248"/>
      <c r="AD31" s="8876" t="str">
        <f>IF(TITLE_NAME_OR_PR_CHANGE="",IF(TITLE_NAME_OR_PR="","",TITLE_NAME_OR_PR),TITLE_NAME_OR_PR_CHANGE)</f>
        <v/>
      </c>
      <c r="AE31" s="8876"/>
      <c r="AF31" s="8876"/>
      <c r="AG31" s="8876"/>
      <c r="AH31" s="8876"/>
      <c r="AI31" s="8876"/>
      <c r="AJ31" s="8876"/>
      <c r="AK31" s="8876"/>
      <c r="AL31" s="8876"/>
      <c r="AM31" s="8876"/>
      <c r="AN31" s="8876"/>
      <c r="AO31" s="8876"/>
      <c r="AP31" s="8876"/>
      <c r="AQ31" s="8876"/>
      <c r="AR31" s="8876"/>
      <c r="AS31" s="8876"/>
      <c r="AT31" s="8876"/>
      <c r="AU31" s="8876"/>
      <c r="AV31" s="8876"/>
      <c r="AW31" s="8876"/>
      <c r="AX31" s="8876"/>
      <c r="AY31" s="8876"/>
      <c r="AZ31" s="8876"/>
      <c r="BA31" s="248"/>
      <c r="BB31" s="248"/>
      <c r="BC31" s="196"/>
      <c r="BD31" s="292"/>
      <c r="BE31" s="292"/>
      <c r="BF31" s="292"/>
      <c r="BG31" s="292"/>
      <c r="BH31" s="292"/>
    </row>
    <row r="32" spans="1:60" s="1771" customFormat="1" ht="18.75" hidden="1" customHeight="1">
      <c r="A32" s="1289"/>
      <c r="B32" s="1289"/>
      <c r="C32" s="1289"/>
      <c r="D32" s="1289"/>
      <c r="E32" s="1289"/>
      <c r="F32" s="1289"/>
      <c r="G32" s="1289"/>
      <c r="H32" s="1289"/>
      <c r="I32" s="1289"/>
      <c r="J32" s="1289"/>
      <c r="K32" s="1289"/>
      <c r="L32" s="1290"/>
      <c r="M32" s="1289"/>
      <c r="N32" s="1289"/>
      <c r="O32" s="1289"/>
      <c r="P32" s="1289"/>
      <c r="Q32" s="1289"/>
      <c r="S32" s="8875" t="s">
        <v>886</v>
      </c>
      <c r="T32" s="8875"/>
      <c r="U32" s="1293"/>
      <c r="V32" s="8885">
        <f>IF(TITLE_DATE_PR_CHANGE="",IF(TITLE_DATE_PR="","",TITLE_DATE_PR),TITLE_DATE_PR_CHANGE)</f>
        <v>45281.411851851852</v>
      </c>
      <c r="W32" s="8885"/>
      <c r="X32" s="8885"/>
      <c r="Y32" s="8885"/>
      <c r="Z32" s="8885"/>
      <c r="AA32" s="8885"/>
      <c r="AB32" s="8885"/>
      <c r="AC32" s="248"/>
      <c r="AD32" s="8885">
        <f>IF(TITLE_DATE_PR_CHANGE="",IF(TITLE_DATE_PR="","",TITLE_DATE_PR),TITLE_DATE_PR_CHANGE)</f>
        <v>45281.411851851852</v>
      </c>
      <c r="AE32" s="8885"/>
      <c r="AF32" s="8885"/>
      <c r="AG32" s="8885"/>
      <c r="AH32" s="8885"/>
      <c r="AI32" s="8885"/>
      <c r="AJ32" s="8885"/>
      <c r="AK32" s="8885"/>
      <c r="AL32" s="8885"/>
      <c r="AM32" s="8885"/>
      <c r="AN32" s="8885"/>
      <c r="AO32" s="8885"/>
      <c r="AP32" s="8885"/>
      <c r="AQ32" s="8885"/>
      <c r="AR32" s="8885"/>
      <c r="AS32" s="8885"/>
      <c r="AT32" s="8885"/>
      <c r="AU32" s="8885"/>
      <c r="AV32" s="8885"/>
      <c r="AW32" s="8885"/>
      <c r="AX32" s="8885"/>
      <c r="AY32" s="8885"/>
      <c r="AZ32" s="8885"/>
      <c r="BA32" s="248"/>
      <c r="BB32" s="248"/>
      <c r="BC32" s="196"/>
      <c r="BD32" s="292"/>
      <c r="BE32" s="292"/>
      <c r="BF32" s="292"/>
      <c r="BG32" s="292"/>
      <c r="BH32" s="292"/>
    </row>
    <row r="33" spans="1:60" s="1771" customFormat="1" ht="18.75" hidden="1" customHeight="1">
      <c r="A33" s="1289"/>
      <c r="B33" s="1289"/>
      <c r="C33" s="1289"/>
      <c r="D33" s="1289"/>
      <c r="E33" s="1289"/>
      <c r="F33" s="1289"/>
      <c r="G33" s="1289"/>
      <c r="H33" s="1289"/>
      <c r="I33" s="1289"/>
      <c r="J33" s="1289"/>
      <c r="K33" s="1289"/>
      <c r="L33" s="1290"/>
      <c r="M33" s="1289"/>
      <c r="N33" s="1289"/>
      <c r="O33" s="1289"/>
      <c r="P33" s="1289"/>
      <c r="Q33" s="1289"/>
      <c r="S33" s="8875" t="s">
        <v>887</v>
      </c>
      <c r="T33" s="8875"/>
      <c r="U33" s="1293"/>
      <c r="V33" s="8876" t="str">
        <f>IF(TITLE_NUMBER_PR_CHANGE="",IF(TITLE_NUMBER_PR="","",TITLE_NUMBER_PR),TITLE_NUMBER_PR_CHANGE)</f>
        <v>06-11/11398</v>
      </c>
      <c r="W33" s="8876"/>
      <c r="X33" s="8876"/>
      <c r="Y33" s="8876"/>
      <c r="Z33" s="8876"/>
      <c r="AA33" s="8876"/>
      <c r="AB33" s="8876"/>
      <c r="AC33" s="248"/>
      <c r="AD33" s="8876" t="str">
        <f>IF(TITLE_NUMBER_PR_CHANGE="",IF(TITLE_NUMBER_PR="","",TITLE_NUMBER_PR),TITLE_NUMBER_PR_CHANGE)</f>
        <v>06-11/11398</v>
      </c>
      <c r="AE33" s="8876"/>
      <c r="AF33" s="8876"/>
      <c r="AG33" s="8876"/>
      <c r="AH33" s="8876"/>
      <c r="AI33" s="8876"/>
      <c r="AJ33" s="8876"/>
      <c r="AK33" s="8876"/>
      <c r="AL33" s="8876"/>
      <c r="AM33" s="8876"/>
      <c r="AN33" s="8876"/>
      <c r="AO33" s="8876"/>
      <c r="AP33" s="8876"/>
      <c r="AQ33" s="8876"/>
      <c r="AR33" s="8876"/>
      <c r="AS33" s="8876"/>
      <c r="AT33" s="8876"/>
      <c r="AU33" s="8876"/>
      <c r="AV33" s="8876"/>
      <c r="AW33" s="8876"/>
      <c r="AX33" s="8876"/>
      <c r="AY33" s="8876"/>
      <c r="AZ33" s="8876"/>
      <c r="BA33" s="248"/>
      <c r="BB33" s="248"/>
      <c r="BC33" s="196"/>
      <c r="BD33" s="292"/>
      <c r="BE33" s="292"/>
      <c r="BF33" s="292"/>
      <c r="BG33" s="292"/>
      <c r="BH33" s="292"/>
    </row>
    <row r="34" spans="1:60" s="1771" customFormat="1" ht="18.75" hidden="1" customHeight="1">
      <c r="A34" s="1289"/>
      <c r="B34" s="1289"/>
      <c r="C34" s="1289"/>
      <c r="D34" s="1289"/>
      <c r="E34" s="1289"/>
      <c r="F34" s="1289"/>
      <c r="G34" s="1289"/>
      <c r="H34" s="1289"/>
      <c r="I34" s="1289"/>
      <c r="J34" s="1289"/>
      <c r="K34" s="1289"/>
      <c r="L34" s="1290"/>
      <c r="M34" s="1289"/>
      <c r="N34" s="1289"/>
      <c r="O34" s="1289"/>
      <c r="P34" s="1289"/>
      <c r="Q34" s="1289"/>
      <c r="S34" s="8875" t="s">
        <v>39</v>
      </c>
      <c r="T34" s="8875"/>
      <c r="U34" s="1293"/>
      <c r="V34" s="8876" t="str">
        <f>IF(TITLE_IST_PUB_CHANGE="",IF(TITLE_IST_PUB="","",TITLE_IST_PUB),TITLE_IST_PUB_CHANGE)</f>
        <v/>
      </c>
      <c r="W34" s="8876"/>
      <c r="X34" s="8876"/>
      <c r="Y34" s="8876"/>
      <c r="Z34" s="8876"/>
      <c r="AA34" s="8876"/>
      <c r="AB34" s="8876"/>
      <c r="AC34" s="248"/>
      <c r="AD34" s="8876" t="str">
        <f>IF(TITLE_IST_PUB_CHANGE="",IF(TITLE_IST_PUB="","",TITLE_IST_PUB),TITLE_IST_PUB_CHANGE)</f>
        <v/>
      </c>
      <c r="AE34" s="8876"/>
      <c r="AF34" s="8876"/>
      <c r="AG34" s="8876"/>
      <c r="AH34" s="8876"/>
      <c r="AI34" s="8876"/>
      <c r="AJ34" s="8876"/>
      <c r="AK34" s="8876"/>
      <c r="AL34" s="8876"/>
      <c r="AM34" s="8876"/>
      <c r="AN34" s="8876"/>
      <c r="AO34" s="8876"/>
      <c r="AP34" s="8876"/>
      <c r="AQ34" s="8876"/>
      <c r="AR34" s="8876"/>
      <c r="AS34" s="8876"/>
      <c r="AT34" s="8876"/>
      <c r="AU34" s="8876"/>
      <c r="AV34" s="8876"/>
      <c r="AW34" s="8876"/>
      <c r="AX34" s="8876"/>
      <c r="AY34" s="8876"/>
      <c r="AZ34" s="8876"/>
      <c r="BA34" s="248"/>
      <c r="BB34" s="248"/>
      <c r="BC34" s="196"/>
      <c r="BD34" s="292"/>
      <c r="BE34" s="292"/>
      <c r="BF34" s="292"/>
      <c r="BG34" s="292"/>
      <c r="BH34" s="292"/>
    </row>
    <row r="35" spans="1:60" ht="14.25"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customHeight="1">
      <c r="A36" s="1289"/>
      <c r="B36" s="1289"/>
      <c r="C36" s="1289"/>
      <c r="D36" s="1289"/>
      <c r="E36" s="1289"/>
      <c r="F36" s="1289"/>
      <c r="G36" s="1289"/>
      <c r="H36" s="1289"/>
      <c r="I36" s="1289"/>
      <c r="J36" s="1289"/>
      <c r="K36" s="1289"/>
      <c r="L36" s="1290"/>
      <c r="M36" s="1289"/>
      <c r="N36" s="1289"/>
      <c r="O36" s="1289"/>
      <c r="P36" s="1289"/>
      <c r="Q36" s="1289"/>
      <c r="S36" s="8875" t="s">
        <v>886</v>
      </c>
      <c r="T36" s="8875"/>
      <c r="U36" s="1293"/>
      <c r="V36" s="8885">
        <f>IF(TITLE_DATE_PR_CHANGE="",IF(TITLE_DATE_PR="","",TITLE_DATE_PR),TITLE_DATE_PR_CHANGE)</f>
        <v>45281.411851851852</v>
      </c>
      <c r="W36" s="8885"/>
      <c r="X36" s="8885"/>
      <c r="Y36" s="8885"/>
      <c r="Z36" s="8885"/>
      <c r="AA36" s="8885"/>
      <c r="AB36" s="8885"/>
      <c r="AC36" s="248"/>
      <c r="AD36" s="8885">
        <f>IF(TITLE_DATE_PR_CHANGE="",IF(TITLE_DATE_PR="","",TITLE_DATE_PR),TITLE_DATE_PR_CHANGE)</f>
        <v>45281.411851851852</v>
      </c>
      <c r="AE36" s="8885"/>
      <c r="AF36" s="8885"/>
      <c r="AG36" s="8885"/>
      <c r="AH36" s="8885"/>
      <c r="AI36" s="8885"/>
      <c r="AJ36" s="8885"/>
      <c r="AK36" s="8885"/>
      <c r="AL36" s="8885"/>
      <c r="AM36" s="8885"/>
      <c r="AN36" s="8885"/>
      <c r="AO36" s="8885"/>
      <c r="AP36" s="8885"/>
      <c r="AQ36" s="8885"/>
      <c r="AR36" s="8885"/>
      <c r="AS36" s="8885"/>
      <c r="AT36" s="8885"/>
      <c r="AU36" s="8885"/>
      <c r="AV36" s="8885"/>
      <c r="AW36" s="8885"/>
      <c r="AX36" s="8885"/>
      <c r="AY36" s="8885"/>
      <c r="AZ36" s="8885"/>
      <c r="BA36" s="248"/>
      <c r="BB36" s="248"/>
      <c r="BC36" s="196"/>
      <c r="BD36" s="292"/>
      <c r="BE36" s="292"/>
      <c r="BF36" s="292"/>
      <c r="BG36" s="292"/>
      <c r="BH36" s="292"/>
    </row>
    <row r="37" spans="1:60" s="1771" customFormat="1" ht="18.75" customHeight="1">
      <c r="A37" s="1289"/>
      <c r="B37" s="1289"/>
      <c r="C37" s="1289"/>
      <c r="D37" s="1289"/>
      <c r="E37" s="1289"/>
      <c r="F37" s="1289"/>
      <c r="G37" s="1289"/>
      <c r="H37" s="1289"/>
      <c r="I37" s="1289"/>
      <c r="J37" s="1289"/>
      <c r="K37" s="1289"/>
      <c r="L37" s="1290"/>
      <c r="M37" s="1289"/>
      <c r="N37" s="1289"/>
      <c r="O37" s="1289"/>
      <c r="P37" s="1289"/>
      <c r="Q37" s="1289"/>
      <c r="S37" s="8875" t="s">
        <v>887</v>
      </c>
      <c r="T37" s="8875"/>
      <c r="U37" s="1293"/>
      <c r="V37" s="8876" t="str">
        <f>IF(TITLE_NUMBER_PR_CHANGE="",IF(TITLE_NUMBER_PR="","",TITLE_NUMBER_PR),TITLE_NUMBER_PR_CHANGE)</f>
        <v>06-11/11398</v>
      </c>
      <c r="W37" s="8876"/>
      <c r="X37" s="8876"/>
      <c r="Y37" s="8876"/>
      <c r="Z37" s="8876"/>
      <c r="AA37" s="8876"/>
      <c r="AB37" s="8876"/>
      <c r="AC37" s="248"/>
      <c r="AD37" s="8876" t="str">
        <f>IF(TITLE_NUMBER_PR_CHANGE="",IF(TITLE_NUMBER_PR="","",TITLE_NUMBER_PR),TITLE_NUMBER_PR_CHANGE)</f>
        <v>06-11/11398</v>
      </c>
      <c r="AE37" s="8876"/>
      <c r="AF37" s="8876"/>
      <c r="AG37" s="8876"/>
      <c r="AH37" s="8876"/>
      <c r="AI37" s="8876"/>
      <c r="AJ37" s="8876"/>
      <c r="AK37" s="8876"/>
      <c r="AL37" s="8876"/>
      <c r="AM37" s="8876"/>
      <c r="AN37" s="8876"/>
      <c r="AO37" s="8876"/>
      <c r="AP37" s="8876"/>
      <c r="AQ37" s="8876"/>
      <c r="AR37" s="8876"/>
      <c r="AS37" s="8876"/>
      <c r="AT37" s="8876"/>
      <c r="AU37" s="8876"/>
      <c r="AV37" s="8876"/>
      <c r="AW37" s="8876"/>
      <c r="AX37" s="8876"/>
      <c r="AY37" s="8876"/>
      <c r="AZ37" s="8876"/>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890</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890</v>
      </c>
      <c r="BD38" s="292"/>
      <c r="BE38" s="292"/>
      <c r="BF38" s="292"/>
      <c r="BG38" s="292"/>
      <c r="BH38" s="292"/>
    </row>
    <row r="39" spans="1:60" ht="14.25" customHeight="1">
      <c r="Q39" s="206"/>
      <c r="R39" s="300"/>
      <c r="S39" s="1200"/>
      <c r="T39" s="286"/>
      <c r="U39" s="1158"/>
      <c r="V39" s="8877"/>
      <c r="W39" s="8877"/>
      <c r="X39" s="8877"/>
      <c r="Y39" s="8877"/>
      <c r="Z39" s="8877"/>
      <c r="AA39" s="8877"/>
      <c r="AB39" s="8877"/>
      <c r="AC39" s="8877"/>
      <c r="AD39" s="8877"/>
      <c r="AE39" s="8877"/>
      <c r="AF39" s="8877"/>
      <c r="AG39" s="8877"/>
      <c r="AH39" s="8877"/>
      <c r="AI39" s="8877"/>
      <c r="AJ39" s="8877"/>
      <c r="AK39" s="8877"/>
      <c r="AL39" s="8877"/>
      <c r="AM39" s="8877"/>
      <c r="AN39" s="8877"/>
      <c r="AO39" s="8877"/>
      <c r="AP39" s="8877"/>
      <c r="AQ39" s="8877"/>
      <c r="AR39" s="8877"/>
      <c r="AS39" s="8877"/>
      <c r="AT39" s="8877"/>
      <c r="AU39" s="8877"/>
      <c r="AV39" s="8877"/>
      <c r="AW39" s="8877"/>
      <c r="AX39" s="8877"/>
      <c r="AY39" s="8877"/>
      <c r="AZ39" s="8877"/>
      <c r="BA39" s="8877"/>
    </row>
    <row r="40" spans="1:60" ht="14.25" customHeight="1">
      <c r="Q40" s="206"/>
      <c r="R40" s="300"/>
      <c r="S40" s="8753" t="s">
        <v>763</v>
      </c>
      <c r="T40" s="8753"/>
      <c r="U40" s="8753"/>
      <c r="V40" s="8753"/>
      <c r="W40" s="8753"/>
      <c r="X40" s="8753"/>
      <c r="Y40" s="8753"/>
      <c r="Z40" s="8753"/>
      <c r="AA40" s="8753"/>
      <c r="AB40" s="8753"/>
      <c r="AC40" s="8753"/>
      <c r="AD40" s="8753"/>
      <c r="AE40" s="8753"/>
      <c r="AF40" s="8753"/>
      <c r="AG40" s="8753"/>
      <c r="AH40" s="8753"/>
      <c r="AI40" s="8753"/>
      <c r="AJ40" s="8753"/>
      <c r="AK40" s="8753"/>
      <c r="AL40" s="8753"/>
      <c r="AM40" s="8753"/>
      <c r="AN40" s="8753"/>
      <c r="AO40" s="8753"/>
      <c r="AP40" s="8753"/>
      <c r="AQ40" s="8753"/>
      <c r="AR40" s="8753"/>
      <c r="AS40" s="8753"/>
      <c r="AT40" s="8753"/>
      <c r="AU40" s="8753"/>
      <c r="AV40" s="8753"/>
      <c r="AW40" s="8753"/>
      <c r="AX40" s="8753"/>
      <c r="AY40" s="8753"/>
      <c r="AZ40" s="8753"/>
      <c r="BA40" s="8753"/>
      <c r="BB40" s="8753"/>
      <c r="BC40" s="8753" t="s">
        <v>764</v>
      </c>
    </row>
    <row r="41" spans="1:60" ht="14.25" customHeight="1">
      <c r="Q41" s="206"/>
      <c r="R41" s="300"/>
      <c r="S41" s="8891" t="s">
        <v>84</v>
      </c>
      <c r="T41" s="8843" t="s">
        <v>971</v>
      </c>
      <c r="U41" s="215"/>
      <c r="V41" s="8892" t="s">
        <v>892</v>
      </c>
      <c r="W41" s="8893"/>
      <c r="X41" s="8893"/>
      <c r="Y41" s="8893"/>
      <c r="Z41" s="8893"/>
      <c r="AA41" s="8893"/>
      <c r="AB41" s="8894"/>
      <c r="AC41" s="8895" t="s">
        <v>893</v>
      </c>
      <c r="AD41" s="8921" t="s">
        <v>972</v>
      </c>
      <c r="AE41" s="8907"/>
      <c r="AF41" s="8907"/>
      <c r="AG41" s="8922"/>
      <c r="AH41" s="8921" t="s">
        <v>973</v>
      </c>
      <c r="AI41" s="8907"/>
      <c r="AJ41" s="8907"/>
      <c r="AK41" s="8922"/>
      <c r="AL41" s="8921" t="s">
        <v>974</v>
      </c>
      <c r="AM41" s="8907"/>
      <c r="AN41" s="8907"/>
      <c r="AO41" s="8922"/>
      <c r="AP41" s="8921" t="s">
        <v>975</v>
      </c>
      <c r="AQ41" s="8907"/>
      <c r="AR41" s="8907"/>
      <c r="AS41" s="8922"/>
      <c r="AT41" s="8892" t="s">
        <v>892</v>
      </c>
      <c r="AU41" s="8893"/>
      <c r="AV41" s="8893"/>
      <c r="AW41" s="8893"/>
      <c r="AX41" s="8893"/>
      <c r="AY41" s="8893"/>
      <c r="AZ41" s="8894"/>
      <c r="BA41" s="8895" t="s">
        <v>893</v>
      </c>
      <c r="BB41" s="8898" t="s">
        <v>895</v>
      </c>
      <c r="BC41" s="8753"/>
    </row>
    <row r="42" spans="1:60" ht="33.75" customHeight="1">
      <c r="Q42" s="206"/>
      <c r="R42" s="300"/>
      <c r="S42" s="8891"/>
      <c r="T42" s="8843"/>
      <c r="U42" s="942"/>
      <c r="V42" s="8828" t="s">
        <v>976</v>
      </c>
      <c r="W42" s="8829"/>
      <c r="X42" s="8828" t="s">
        <v>977</v>
      </c>
      <c r="Y42" s="8829"/>
      <c r="Z42" s="8828" t="s">
        <v>978</v>
      </c>
      <c r="AA42" s="8916"/>
      <c r="AB42" s="8829"/>
      <c r="AC42" s="8896"/>
      <c r="AD42" s="8923"/>
      <c r="AE42" s="8924"/>
      <c r="AF42" s="8924"/>
      <c r="AG42" s="8925"/>
      <c r="AH42" s="8923"/>
      <c r="AI42" s="8924"/>
      <c r="AJ42" s="8924"/>
      <c r="AK42" s="8925"/>
      <c r="AL42" s="8923"/>
      <c r="AM42" s="8924"/>
      <c r="AN42" s="8924"/>
      <c r="AO42" s="8925"/>
      <c r="AP42" s="8923"/>
      <c r="AQ42" s="8924"/>
      <c r="AR42" s="8924"/>
      <c r="AS42" s="8925"/>
      <c r="AT42" s="8828" t="s">
        <v>976</v>
      </c>
      <c r="AU42" s="8829"/>
      <c r="AV42" s="8828" t="s">
        <v>977</v>
      </c>
      <c r="AW42" s="8829"/>
      <c r="AX42" s="8828" t="s">
        <v>978</v>
      </c>
      <c r="AY42" s="8916"/>
      <c r="AZ42" s="8829"/>
      <c r="BA42" s="8896"/>
      <c r="BB42" s="8899"/>
      <c r="BC42" s="8753"/>
    </row>
    <row r="43" spans="1:60" ht="14.25" customHeight="1">
      <c r="Q43" s="206"/>
      <c r="R43" s="300"/>
      <c r="S43" s="8891"/>
      <c r="T43" s="8843"/>
      <c r="U43" s="942"/>
      <c r="V43" s="8833"/>
      <c r="W43" s="8834"/>
      <c r="X43" s="8833"/>
      <c r="Y43" s="8834"/>
      <c r="Z43" s="8833"/>
      <c r="AA43" s="8917"/>
      <c r="AB43" s="8834"/>
      <c r="AC43" s="8896"/>
      <c r="AD43" s="8923"/>
      <c r="AE43" s="8924"/>
      <c r="AF43" s="8924"/>
      <c r="AG43" s="8925"/>
      <c r="AH43" s="8923"/>
      <c r="AI43" s="8924"/>
      <c r="AJ43" s="8924"/>
      <c r="AK43" s="8925"/>
      <c r="AL43" s="8923"/>
      <c r="AM43" s="8924"/>
      <c r="AN43" s="8924"/>
      <c r="AO43" s="8925"/>
      <c r="AP43" s="8923"/>
      <c r="AQ43" s="8924"/>
      <c r="AR43" s="8924"/>
      <c r="AS43" s="8925"/>
      <c r="AT43" s="8833"/>
      <c r="AU43" s="8834"/>
      <c r="AV43" s="8833"/>
      <c r="AW43" s="8834"/>
      <c r="AX43" s="8833"/>
      <c r="AY43" s="8917"/>
      <c r="AZ43" s="8834"/>
      <c r="BA43" s="8896"/>
      <c r="BB43" s="8899"/>
      <c r="BC43" s="8753"/>
    </row>
    <row r="44" spans="1:60" ht="14.25" customHeight="1">
      <c r="A44" s="1291"/>
      <c r="B44" s="1291" t="s">
        <v>223</v>
      </c>
      <c r="C44" s="1291" t="s">
        <v>224</v>
      </c>
      <c r="D44" s="1291" t="s">
        <v>225</v>
      </c>
      <c r="E44" s="1285" t="s">
        <v>900</v>
      </c>
      <c r="F44" s="1285" t="s">
        <v>901</v>
      </c>
      <c r="G44" s="1285" t="s">
        <v>902</v>
      </c>
      <c r="H44" s="1285" t="s">
        <v>903</v>
      </c>
      <c r="I44" s="1285" t="s">
        <v>904</v>
      </c>
      <c r="J44" s="1285" t="s">
        <v>905</v>
      </c>
      <c r="K44" s="1285" t="s">
        <v>906</v>
      </c>
      <c r="L44" s="1285" t="s">
        <v>881</v>
      </c>
      <c r="Q44" s="206"/>
      <c r="R44" s="300"/>
      <c r="S44" s="8891"/>
      <c r="T44" s="8843"/>
      <c r="U44" s="216"/>
      <c r="V44" s="1394" t="s">
        <v>940</v>
      </c>
      <c r="W44" s="1394" t="s">
        <v>941</v>
      </c>
      <c r="X44" s="1394" t="s">
        <v>940</v>
      </c>
      <c r="Y44" s="1394" t="s">
        <v>941</v>
      </c>
      <c r="Z44" s="1404" t="s">
        <v>909</v>
      </c>
      <c r="AA44" s="8851" t="s">
        <v>910</v>
      </c>
      <c r="AB44" s="8853"/>
      <c r="AC44" s="8897"/>
      <c r="AD44" s="8926"/>
      <c r="AE44" s="8927"/>
      <c r="AF44" s="8927"/>
      <c r="AG44" s="8928"/>
      <c r="AH44" s="8926"/>
      <c r="AI44" s="8927"/>
      <c r="AJ44" s="8927"/>
      <c r="AK44" s="8928"/>
      <c r="AL44" s="8926"/>
      <c r="AM44" s="8927"/>
      <c r="AN44" s="8927"/>
      <c r="AO44" s="8928"/>
      <c r="AP44" s="8926"/>
      <c r="AQ44" s="8927"/>
      <c r="AR44" s="8927"/>
      <c r="AS44" s="8928"/>
      <c r="AT44" s="1394" t="s">
        <v>940</v>
      </c>
      <c r="AU44" s="1394" t="s">
        <v>941</v>
      </c>
      <c r="AV44" s="1394" t="s">
        <v>940</v>
      </c>
      <c r="AW44" s="1394" t="s">
        <v>941</v>
      </c>
      <c r="AX44" s="1404" t="s">
        <v>909</v>
      </c>
      <c r="AY44" s="8851" t="s">
        <v>910</v>
      </c>
      <c r="AZ44" s="8853"/>
      <c r="BA44" s="8897"/>
      <c r="BB44" s="8900"/>
      <c r="BC44" s="8753"/>
    </row>
    <row r="45" spans="1:60" s="1561" customFormat="1" ht="0" hidden="1" customHeight="1">
      <c r="A45" s="1291"/>
      <c r="B45" s="1291"/>
      <c r="C45" s="1291"/>
      <c r="D45" s="1291"/>
      <c r="E45" s="1291"/>
      <c r="F45" s="1291"/>
      <c r="G45" s="1291"/>
      <c r="H45" s="1291"/>
      <c r="I45" s="1291"/>
      <c r="J45" s="1291"/>
      <c r="K45" s="1291"/>
      <c r="L45" s="1285"/>
      <c r="M45" s="1283"/>
      <c r="N45" s="1283"/>
      <c r="O45" s="1283"/>
      <c r="P45" s="434"/>
      <c r="Q45" s="1176"/>
      <c r="R45" s="1176">
        <v>1</v>
      </c>
      <c r="S45" s="1202" t="s">
        <v>95</v>
      </c>
      <c r="T45" s="1177" t="s">
        <v>99</v>
      </c>
      <c r="U45" s="1159" t="str">
        <f ca="1">OFFSET(U45,0,-1)</f>
        <v>2</v>
      </c>
      <c r="V45" s="1397">
        <f t="shared" ref="V45:AA45" ca="1" si="2">OFFSET(V45,0,-1)+1</f>
        <v>3</v>
      </c>
      <c r="W45" s="1397">
        <f t="shared" ca="1" si="2"/>
        <v>4</v>
      </c>
      <c r="X45" s="1397">
        <f t="shared" ca="1" si="2"/>
        <v>5</v>
      </c>
      <c r="Y45" s="1397">
        <f t="shared" ca="1" si="2"/>
        <v>6</v>
      </c>
      <c r="Z45" s="1397">
        <f t="shared" ca="1" si="2"/>
        <v>7</v>
      </c>
      <c r="AA45" s="8890">
        <f t="shared" ca="1" si="2"/>
        <v>8</v>
      </c>
      <c r="AB45" s="8890"/>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8890">
        <f ca="1">OFFSET(AY45,0,-1)+1</f>
        <v>3</v>
      </c>
      <c r="AZ45" s="8890"/>
      <c r="BA45" s="1397">
        <f ca="1">OFFSET(BA45,0,-2)+1</f>
        <v>4</v>
      </c>
      <c r="BB45" s="1159">
        <f ca="1">OFFSET(BB45,0,-1)</f>
        <v>4</v>
      </c>
      <c r="BC45" s="1397">
        <f ca="1">OFFSET(BC45,0,-1)+1</f>
        <v>5</v>
      </c>
      <c r="BD45" s="435"/>
      <c r="BE45" s="435"/>
      <c r="BF45" s="435"/>
      <c r="BG45" s="435"/>
      <c r="BH45" s="435"/>
    </row>
    <row r="46" spans="1:60" ht="21" customHeight="1">
      <c r="A46" s="1284" t="s">
        <v>724</v>
      </c>
      <c r="B46" s="1284"/>
      <c r="C46" s="1284"/>
      <c r="D46" s="1284"/>
      <c r="E46" s="8883">
        <v>1</v>
      </c>
      <c r="F46" s="1284"/>
      <c r="G46" s="1284"/>
      <c r="H46" s="1284"/>
      <c r="I46" s="1284"/>
      <c r="J46" s="1284"/>
      <c r="K46" s="1284"/>
      <c r="L46" s="1285"/>
      <c r="M46" s="1286"/>
      <c r="N46" s="1286"/>
      <c r="O46" s="1286"/>
      <c r="P46" s="1330"/>
      <c r="Q46" s="787"/>
      <c r="R46" s="276"/>
      <c r="S46" s="1408">
        <f>INDEX(PT_DIFFERENTIATION_NUM_NTAR,MATCH(A46,PT_DIFFERENTIATION_NTAR_ID,0))</f>
        <v>0</v>
      </c>
      <c r="T46" s="212" t="s">
        <v>211</v>
      </c>
      <c r="U46" s="214"/>
      <c r="V46" s="8870"/>
      <c r="W46" s="8870"/>
      <c r="X46" s="8870"/>
      <c r="Y46" s="8870"/>
      <c r="Z46" s="8870"/>
      <c r="AA46" s="8870"/>
      <c r="AB46" s="8870"/>
      <c r="AC46" s="8871"/>
      <c r="AD46" s="8869" t="str">
        <f>INDEX(PT_DIFFERENTIATION_NTAR,MATCH(A46,PT_DIFFERENTIATION_NTAR_ID,0))</f>
        <v/>
      </c>
      <c r="AE46" s="8870"/>
      <c r="AF46" s="8870"/>
      <c r="AG46" s="8870"/>
      <c r="AH46" s="8870"/>
      <c r="AI46" s="8870"/>
      <c r="AJ46" s="8870"/>
      <c r="AK46" s="8870"/>
      <c r="AL46" s="8870"/>
      <c r="AM46" s="8870"/>
      <c r="AN46" s="8870"/>
      <c r="AO46" s="8870"/>
      <c r="AP46" s="8870"/>
      <c r="AQ46" s="8870"/>
      <c r="AR46" s="8870"/>
      <c r="AS46" s="8870"/>
      <c r="AT46" s="8870"/>
      <c r="AU46" s="8870"/>
      <c r="AV46" s="8870"/>
      <c r="AW46" s="8870"/>
      <c r="AX46" s="8870"/>
      <c r="AY46" s="8870"/>
      <c r="AZ46" s="8870"/>
      <c r="BA46" s="8870"/>
      <c r="BB46" s="887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724</v>
      </c>
      <c r="B47" s="1284" t="s">
        <v>725</v>
      </c>
      <c r="C47" s="1284"/>
      <c r="D47" s="1284"/>
      <c r="E47" s="8884"/>
      <c r="F47" s="8883">
        <v>1</v>
      </c>
      <c r="G47" s="1284"/>
      <c r="H47" s="1284"/>
      <c r="I47" s="1284"/>
      <c r="J47" s="1284"/>
      <c r="K47" s="1284"/>
      <c r="L47" s="1285"/>
      <c r="M47" s="1286"/>
      <c r="N47" s="1286"/>
      <c r="O47" s="1286"/>
      <c r="P47" s="1331"/>
      <c r="Q47" s="1332"/>
      <c r="R47" s="274"/>
      <c r="S47" s="1408" t="str">
        <f>INDEX(PT_DIFFERENTIATION_NUM_TER,MATCH(B47,PT_DIFFERENTIATION_TER_ID,0))</f>
        <v>.</v>
      </c>
      <c r="T47" s="224" t="s">
        <v>862</v>
      </c>
      <c r="U47" s="214"/>
      <c r="V47" s="8870"/>
      <c r="W47" s="8870"/>
      <c r="X47" s="8870"/>
      <c r="Y47" s="8870"/>
      <c r="Z47" s="8870"/>
      <c r="AA47" s="8870"/>
      <c r="AB47" s="8870"/>
      <c r="AC47" s="8871"/>
      <c r="AD47" s="8869" t="str">
        <f>INDEX(PT_DIFFERENTIATION_TER,MATCH(B47,PT_DIFFERENTIATION_TER_ID,0))</f>
        <v/>
      </c>
      <c r="AE47" s="8870"/>
      <c r="AF47" s="8870"/>
      <c r="AG47" s="8870"/>
      <c r="AH47" s="8870"/>
      <c r="AI47" s="8870"/>
      <c r="AJ47" s="8870"/>
      <c r="AK47" s="8870"/>
      <c r="AL47" s="8870"/>
      <c r="AM47" s="8870"/>
      <c r="AN47" s="8870"/>
      <c r="AO47" s="8870"/>
      <c r="AP47" s="8870"/>
      <c r="AQ47" s="8870"/>
      <c r="AR47" s="8870"/>
      <c r="AS47" s="8870"/>
      <c r="AT47" s="8870"/>
      <c r="AU47" s="8870"/>
      <c r="AV47" s="8870"/>
      <c r="AW47" s="8870"/>
      <c r="AX47" s="8870"/>
      <c r="AY47" s="8870"/>
      <c r="AZ47" s="8870"/>
      <c r="BA47" s="8870"/>
      <c r="BB47" s="8871"/>
      <c r="BC47" s="1182" t="s">
        <v>863</v>
      </c>
      <c r="BE47" s="424"/>
      <c r="BF47" s="424" t="str">
        <f t="shared" si="3"/>
        <v>Территория действия тарифа</v>
      </c>
      <c r="BG47" s="424"/>
      <c r="BH47" s="424"/>
    </row>
    <row r="48" spans="1:60" ht="33.75" customHeight="1">
      <c r="A48" s="1284" t="s">
        <v>724</v>
      </c>
      <c r="B48" s="1284" t="s">
        <v>725</v>
      </c>
      <c r="C48" s="1284" t="s">
        <v>726</v>
      </c>
      <c r="D48" s="1284"/>
      <c r="E48" s="8884"/>
      <c r="F48" s="8884"/>
      <c r="G48" s="8883">
        <v>1</v>
      </c>
      <c r="H48" s="1284"/>
      <c r="I48" s="1284"/>
      <c r="J48" s="1284"/>
      <c r="K48" s="1284"/>
      <c r="L48" s="1285"/>
      <c r="M48" s="1286"/>
      <c r="N48" s="1286"/>
      <c r="O48" s="1286"/>
      <c r="P48" s="1333"/>
      <c r="Q48" s="1332"/>
      <c r="R48" s="274"/>
      <c r="S48" s="1408" t="str">
        <f>INDEX(PT_DIFFERENTIATION_NUM_CS,MATCH(C48,PT_DIFFERENTIATION_CS_ID,0))</f>
        <v>..</v>
      </c>
      <c r="T48" s="225" t="s">
        <v>994</v>
      </c>
      <c r="U48" s="214"/>
      <c r="V48" s="8870"/>
      <c r="W48" s="8870"/>
      <c r="X48" s="8870"/>
      <c r="Y48" s="8870"/>
      <c r="Z48" s="8870"/>
      <c r="AA48" s="8870"/>
      <c r="AB48" s="8870"/>
      <c r="AC48" s="8871"/>
      <c r="AD48" s="8869" t="str">
        <f>INDEX(PT_DIFFERENTIATION_CS,MATCH(C48,PT_DIFFERENTIATION_CS_ID,0))</f>
        <v/>
      </c>
      <c r="AE48" s="8870"/>
      <c r="AF48" s="8870"/>
      <c r="AG48" s="8870"/>
      <c r="AH48" s="8870"/>
      <c r="AI48" s="8870"/>
      <c r="AJ48" s="8870"/>
      <c r="AK48" s="8870"/>
      <c r="AL48" s="8870"/>
      <c r="AM48" s="8870"/>
      <c r="AN48" s="8870"/>
      <c r="AO48" s="8870"/>
      <c r="AP48" s="8870"/>
      <c r="AQ48" s="8870"/>
      <c r="AR48" s="8870"/>
      <c r="AS48" s="8870"/>
      <c r="AT48" s="8870"/>
      <c r="AU48" s="8870"/>
      <c r="AV48" s="8870"/>
      <c r="AW48" s="8870"/>
      <c r="AX48" s="8870"/>
      <c r="AY48" s="8870"/>
      <c r="AZ48" s="8870"/>
      <c r="BA48" s="8870"/>
      <c r="BB48" s="8871"/>
      <c r="BC48" s="1182" t="s">
        <v>995</v>
      </c>
      <c r="BE48" s="424"/>
      <c r="BF48" s="424" t="str">
        <f t="shared" si="3"/>
        <v>Наименование централизованной системы горячего водоснабжения</v>
      </c>
      <c r="BG48" s="424"/>
      <c r="BH48" s="424"/>
    </row>
    <row r="49" spans="1:60" s="1562" customFormat="1" ht="0" hidden="1" customHeight="1">
      <c r="A49" s="1265" t="s">
        <v>724</v>
      </c>
      <c r="B49" s="1265" t="s">
        <v>725</v>
      </c>
      <c r="C49" s="1265" t="s">
        <v>726</v>
      </c>
      <c r="D49" s="1265" t="s">
        <v>1002</v>
      </c>
      <c r="E49" s="8884"/>
      <c r="F49" s="8884"/>
      <c r="G49" s="8884"/>
      <c r="H49" s="8883">
        <v>1</v>
      </c>
      <c r="I49" s="1265"/>
      <c r="J49" s="1265"/>
      <c r="K49" s="1265"/>
      <c r="L49" s="1268"/>
      <c r="M49" s="1238"/>
      <c r="N49" s="1238"/>
      <c r="O49" s="1238"/>
      <c r="P49" s="1412"/>
      <c r="Q49" s="1413"/>
      <c r="R49" s="278"/>
      <c r="S49" s="953"/>
      <c r="T49" s="1414"/>
      <c r="U49" s="1305"/>
      <c r="V49" s="8911"/>
      <c r="W49" s="8911"/>
      <c r="X49" s="8911"/>
      <c r="Y49" s="8911"/>
      <c r="Z49" s="8911"/>
      <c r="AA49" s="8911"/>
      <c r="AB49" s="8911"/>
      <c r="AC49" s="8912"/>
      <c r="AD49" s="8910"/>
      <c r="AE49" s="8911"/>
      <c r="AF49" s="8911"/>
      <c r="AG49" s="8911"/>
      <c r="AH49" s="8911"/>
      <c r="AI49" s="8911"/>
      <c r="AJ49" s="8911"/>
      <c r="AK49" s="8911"/>
      <c r="AL49" s="8911"/>
      <c r="AM49" s="8911"/>
      <c r="AN49" s="8911"/>
      <c r="AO49" s="8911"/>
      <c r="AP49" s="8911"/>
      <c r="AQ49" s="8911"/>
      <c r="AR49" s="8911"/>
      <c r="AS49" s="8911"/>
      <c r="AT49" s="8911"/>
      <c r="AU49" s="8911"/>
      <c r="AV49" s="8911"/>
      <c r="AW49" s="8911"/>
      <c r="AX49" s="8911"/>
      <c r="AY49" s="8911"/>
      <c r="AZ49" s="8911"/>
      <c r="BA49" s="8911"/>
      <c r="BB49" s="8912"/>
      <c r="BC49" s="1306" t="s">
        <v>867</v>
      </c>
      <c r="BE49" s="424"/>
      <c r="BF49" s="424" t="str">
        <f t="shared" si="3"/>
        <v/>
      </c>
      <c r="BG49" s="424"/>
      <c r="BH49" s="424"/>
    </row>
    <row r="50" spans="1:60" s="1562" customFormat="1" ht="0" hidden="1" customHeight="1">
      <c r="A50" s="1265" t="s">
        <v>724</v>
      </c>
      <c r="B50" s="1265" t="s">
        <v>725</v>
      </c>
      <c r="C50" s="1265" t="s">
        <v>726</v>
      </c>
      <c r="D50" s="1265" t="s">
        <v>1002</v>
      </c>
      <c r="E50" s="8884"/>
      <c r="F50" s="8884"/>
      <c r="G50" s="8884"/>
      <c r="H50" s="8884"/>
      <c r="I50" s="8881" t="str">
        <f>S49&amp;".1"</f>
        <v>.1</v>
      </c>
      <c r="J50" s="1265"/>
      <c r="K50" s="1265"/>
      <c r="L50" s="1268" t="s">
        <v>868</v>
      </c>
      <c r="M50" s="434"/>
      <c r="N50" s="434"/>
      <c r="O50" s="434"/>
      <c r="P50" s="8882">
        <v>1</v>
      </c>
      <c r="Q50" s="1396"/>
      <c r="R50" s="277"/>
      <c r="S50" s="953"/>
      <c r="T50" s="1304"/>
      <c r="U50" s="1305"/>
      <c r="V50" s="8911"/>
      <c r="W50" s="8911"/>
      <c r="X50" s="8911"/>
      <c r="Y50" s="8911"/>
      <c r="Z50" s="8911"/>
      <c r="AA50" s="8911"/>
      <c r="AB50" s="8911"/>
      <c r="AC50" s="8912"/>
      <c r="AD50" s="8910"/>
      <c r="AE50" s="8911"/>
      <c r="AF50" s="8911"/>
      <c r="AG50" s="8911"/>
      <c r="AH50" s="8911"/>
      <c r="AI50" s="8911"/>
      <c r="AJ50" s="8911"/>
      <c r="AK50" s="8911"/>
      <c r="AL50" s="8911"/>
      <c r="AM50" s="8911"/>
      <c r="AN50" s="8911"/>
      <c r="AO50" s="8911"/>
      <c r="AP50" s="8911"/>
      <c r="AQ50" s="8911"/>
      <c r="AR50" s="8911"/>
      <c r="AS50" s="8911"/>
      <c r="AT50" s="8911"/>
      <c r="AU50" s="8911"/>
      <c r="AV50" s="8911"/>
      <c r="AW50" s="8911"/>
      <c r="AX50" s="8911"/>
      <c r="AY50" s="8911"/>
      <c r="AZ50" s="8911"/>
      <c r="BA50" s="8911"/>
      <c r="BB50" s="8912"/>
      <c r="BC50" s="1306"/>
      <c r="BE50" s="424"/>
      <c r="BF50" s="424" t="str">
        <f t="shared" si="3"/>
        <v/>
      </c>
      <c r="BG50" s="424"/>
      <c r="BH50" s="424"/>
    </row>
    <row r="51" spans="1:60" s="1562" customFormat="1" ht="0" hidden="1" customHeight="1">
      <c r="A51" s="1265" t="s">
        <v>724</v>
      </c>
      <c r="B51" s="1265" t="s">
        <v>725</v>
      </c>
      <c r="C51" s="1265" t="s">
        <v>726</v>
      </c>
      <c r="D51" s="1265" t="s">
        <v>1002</v>
      </c>
      <c r="E51" s="8884"/>
      <c r="F51" s="8884"/>
      <c r="G51" s="8884"/>
      <c r="H51" s="8884"/>
      <c r="I51" s="8904"/>
      <c r="J51" s="8881" t="str">
        <f>S49&amp;".1"</f>
        <v>.1</v>
      </c>
      <c r="K51" s="1265"/>
      <c r="L51" s="1268"/>
      <c r="M51" s="434"/>
      <c r="N51" s="434"/>
      <c r="O51" s="434"/>
      <c r="P51" s="8882"/>
      <c r="Q51" s="8882">
        <v>1</v>
      </c>
      <c r="R51" s="278"/>
      <c r="S51" s="953"/>
      <c r="T51" s="1320"/>
      <c r="U51" s="1305"/>
      <c r="V51" s="8911"/>
      <c r="W51" s="8911"/>
      <c r="X51" s="8911"/>
      <c r="Y51" s="8911"/>
      <c r="Z51" s="8911"/>
      <c r="AA51" s="8911"/>
      <c r="AB51" s="8911"/>
      <c r="AC51" s="8912"/>
      <c r="AD51" s="8910"/>
      <c r="AE51" s="8911"/>
      <c r="AF51" s="8911"/>
      <c r="AG51" s="8911"/>
      <c r="AH51" s="8911"/>
      <c r="AI51" s="8911"/>
      <c r="AJ51" s="8911"/>
      <c r="AK51" s="8911"/>
      <c r="AL51" s="8911"/>
      <c r="AM51" s="8911"/>
      <c r="AN51" s="8957"/>
      <c r="AO51" s="8957"/>
      <c r="AP51" s="8911"/>
      <c r="AQ51" s="8911"/>
      <c r="AR51" s="8911"/>
      <c r="AS51" s="8911"/>
      <c r="AT51" s="8911"/>
      <c r="AU51" s="8911"/>
      <c r="AV51" s="8911"/>
      <c r="AW51" s="8911"/>
      <c r="AX51" s="8911"/>
      <c r="AY51" s="8911"/>
      <c r="AZ51" s="8911"/>
      <c r="BA51" s="8911"/>
      <c r="BB51" s="8912"/>
      <c r="BC51" s="1306"/>
      <c r="BE51" s="424"/>
      <c r="BF51" s="424" t="str">
        <f t="shared" si="3"/>
        <v/>
      </c>
      <c r="BG51" s="424"/>
      <c r="BH51" s="424"/>
    </row>
    <row r="52" spans="1:60" ht="11.25" customHeight="1">
      <c r="A52" s="1284" t="s">
        <v>724</v>
      </c>
      <c r="B52" s="1284" t="s">
        <v>725</v>
      </c>
      <c r="C52" s="1284" t="s">
        <v>726</v>
      </c>
      <c r="D52" s="1284" t="s">
        <v>1002</v>
      </c>
      <c r="E52" s="8884"/>
      <c r="F52" s="8884"/>
      <c r="G52" s="8884"/>
      <c r="H52" s="8884"/>
      <c r="I52" s="8904"/>
      <c r="J52" s="8904"/>
      <c r="K52" s="8881" t="str">
        <f>S48&amp;".1"</f>
        <v>...1</v>
      </c>
      <c r="L52" s="1285"/>
      <c r="P52" s="8882"/>
      <c r="Q52" s="8882"/>
      <c r="R52" s="278">
        <v>1</v>
      </c>
      <c r="S52" s="8933" t="str">
        <f>$K52</f>
        <v>...1</v>
      </c>
      <c r="T52" s="8952"/>
      <c r="U52" s="214"/>
      <c r="V52" s="666"/>
      <c r="W52" s="1181"/>
      <c r="X52" s="666"/>
      <c r="Y52" s="1181"/>
      <c r="Z52" s="1653"/>
      <c r="AA52" s="1385" t="s">
        <v>63</v>
      </c>
      <c r="AB52" s="1653"/>
      <c r="AC52" s="1385" t="s">
        <v>63</v>
      </c>
      <c r="AD52" s="8808" t="s">
        <v>63</v>
      </c>
      <c r="AE52" s="8919"/>
      <c r="AF52" s="8838">
        <v>1</v>
      </c>
      <c r="AG52" s="8956"/>
      <c r="AH52" s="8734" t="s">
        <v>63</v>
      </c>
      <c r="AI52" s="8919"/>
      <c r="AJ52" s="8838">
        <v>1</v>
      </c>
      <c r="AK52" s="8955" t="s">
        <v>24</v>
      </c>
      <c r="AL52" s="8734" t="s">
        <v>63</v>
      </c>
      <c r="AM52" s="8828"/>
      <c r="AN52" s="8838">
        <v>1</v>
      </c>
      <c r="AO52" s="8949"/>
      <c r="AP52" s="8950" t="s">
        <v>63</v>
      </c>
      <c r="AQ52" s="227"/>
      <c r="AR52" s="1401">
        <v>1</v>
      </c>
      <c r="AS52" s="1407" t="s">
        <v>24</v>
      </c>
      <c r="AT52" s="666"/>
      <c r="AU52" s="1181"/>
      <c r="AV52" s="666"/>
      <c r="AW52" s="1181"/>
      <c r="AX52" s="1653"/>
      <c r="AY52" s="1385" t="s">
        <v>63</v>
      </c>
      <c r="AZ52" s="1653"/>
      <c r="BA52" s="1385" t="s">
        <v>63</v>
      </c>
      <c r="BB52" s="1270"/>
      <c r="BC52" s="8878" t="s">
        <v>965</v>
      </c>
      <c r="BE52" s="424"/>
      <c r="BF52" s="424" t="str">
        <f t="shared" si="3"/>
        <v/>
      </c>
      <c r="BG52" s="424"/>
      <c r="BH52" s="424"/>
    </row>
    <row r="53" spans="1:60" ht="11.25" customHeight="1">
      <c r="A53" s="1284"/>
      <c r="B53" s="1284"/>
      <c r="C53" s="1284"/>
      <c r="D53" s="1284"/>
      <c r="E53" s="8884"/>
      <c r="F53" s="8884"/>
      <c r="G53" s="8884"/>
      <c r="H53" s="8884"/>
      <c r="I53" s="8904"/>
      <c r="J53" s="8904"/>
      <c r="K53" s="8881"/>
      <c r="L53" s="1285"/>
      <c r="P53" s="8882"/>
      <c r="Q53" s="8882"/>
      <c r="R53" s="278"/>
      <c r="S53" s="8934"/>
      <c r="T53" s="8953"/>
      <c r="U53" s="214"/>
      <c r="V53" s="1314"/>
      <c r="W53" s="1411"/>
      <c r="X53" s="1314"/>
      <c r="Y53" s="1411"/>
      <c r="Z53" s="1314"/>
      <c r="AA53" s="1314"/>
      <c r="AB53" s="1314"/>
      <c r="AC53" s="1314"/>
      <c r="AD53" s="8809"/>
      <c r="AE53" s="8919"/>
      <c r="AF53" s="8838"/>
      <c r="AG53" s="8956"/>
      <c r="AH53" s="8734"/>
      <c r="AI53" s="8919"/>
      <c r="AJ53" s="8838"/>
      <c r="AK53" s="8955"/>
      <c r="AL53" s="8734"/>
      <c r="AM53" s="8833"/>
      <c r="AN53" s="8838"/>
      <c r="AO53" s="8949"/>
      <c r="AP53" s="8951"/>
      <c r="AQ53" s="234"/>
      <c r="AR53" s="345"/>
      <c r="AS53" s="345" t="s">
        <v>966</v>
      </c>
      <c r="AT53" s="1314"/>
      <c r="AU53" s="1411"/>
      <c r="AV53" s="1314"/>
      <c r="AW53" s="1411"/>
      <c r="AX53" s="1314"/>
      <c r="AY53" s="1314"/>
      <c r="AZ53" s="1314"/>
      <c r="BA53" s="1314"/>
      <c r="BB53" s="1318"/>
      <c r="BC53" s="8879"/>
      <c r="BE53" s="424"/>
      <c r="BF53" s="424"/>
      <c r="BG53" s="424"/>
      <c r="BH53" s="424"/>
    </row>
    <row r="54" spans="1:60" ht="11.25" customHeight="1">
      <c r="A54" s="1284" t="s">
        <v>724</v>
      </c>
      <c r="B54" s="1284"/>
      <c r="C54" s="1284"/>
      <c r="D54" s="1284"/>
      <c r="E54" s="8884"/>
      <c r="F54" s="8884"/>
      <c r="G54" s="8884"/>
      <c r="H54" s="8884"/>
      <c r="I54" s="8904"/>
      <c r="J54" s="8904"/>
      <c r="K54" s="8881"/>
      <c r="L54" s="1285"/>
      <c r="P54" s="8882"/>
      <c r="Q54" s="8882"/>
      <c r="R54" s="278"/>
      <c r="S54" s="8934"/>
      <c r="T54" s="8953"/>
      <c r="U54" s="214"/>
      <c r="V54" s="1314"/>
      <c r="W54" s="1411"/>
      <c r="X54" s="1314"/>
      <c r="Y54" s="1411"/>
      <c r="Z54" s="1314"/>
      <c r="AA54" s="1314"/>
      <c r="AB54" s="1314"/>
      <c r="AC54" s="1314"/>
      <c r="AD54" s="8809"/>
      <c r="AE54" s="8919"/>
      <c r="AF54" s="8838"/>
      <c r="AG54" s="8956"/>
      <c r="AH54" s="8734"/>
      <c r="AI54" s="8919"/>
      <c r="AJ54" s="8838"/>
      <c r="AK54" s="8955"/>
      <c r="AL54" s="8734"/>
      <c r="AM54" s="234"/>
      <c r="AN54" s="1415"/>
      <c r="AO54" s="1415" t="s">
        <v>967</v>
      </c>
      <c r="AP54" s="345"/>
      <c r="AQ54" s="345"/>
      <c r="AR54" s="345"/>
      <c r="AS54" s="1314"/>
      <c r="AT54" s="1314"/>
      <c r="AU54" s="1411"/>
      <c r="AV54" s="1314"/>
      <c r="AW54" s="1411"/>
      <c r="AX54" s="1314"/>
      <c r="AY54" s="1314"/>
      <c r="AZ54" s="1314"/>
      <c r="BA54" s="1314"/>
      <c r="BB54" s="1318"/>
      <c r="BC54" s="8879"/>
      <c r="BE54" s="424"/>
      <c r="BF54" s="424"/>
      <c r="BG54" s="424"/>
      <c r="BH54" s="424"/>
    </row>
    <row r="55" spans="1:60" ht="11.25" customHeight="1">
      <c r="A55" s="1284" t="s">
        <v>724</v>
      </c>
      <c r="B55" s="1284"/>
      <c r="C55" s="1284"/>
      <c r="D55" s="1284"/>
      <c r="E55" s="8884"/>
      <c r="F55" s="8884"/>
      <c r="G55" s="8884"/>
      <c r="H55" s="8884"/>
      <c r="I55" s="8904"/>
      <c r="J55" s="8904"/>
      <c r="K55" s="8881"/>
      <c r="L55" s="1285"/>
      <c r="P55" s="8882"/>
      <c r="Q55" s="8882"/>
      <c r="R55" s="278"/>
      <c r="S55" s="8934"/>
      <c r="T55" s="8953"/>
      <c r="U55" s="214"/>
      <c r="V55" s="1314"/>
      <c r="W55" s="1411"/>
      <c r="X55" s="1314"/>
      <c r="Y55" s="1411"/>
      <c r="Z55" s="1314"/>
      <c r="AA55" s="1314"/>
      <c r="AB55" s="1314"/>
      <c r="AC55" s="1314"/>
      <c r="AD55" s="8809"/>
      <c r="AE55" s="8919"/>
      <c r="AF55" s="8838"/>
      <c r="AG55" s="8956"/>
      <c r="AH55" s="8734"/>
      <c r="AI55" s="208"/>
      <c r="AJ55" s="344"/>
      <c r="AK55" s="229" t="s">
        <v>968</v>
      </c>
      <c r="AL55" s="1314"/>
      <c r="AM55" s="1314"/>
      <c r="AN55" s="1314"/>
      <c r="AO55" s="1314"/>
      <c r="AP55" s="1314"/>
      <c r="AQ55" s="1314"/>
      <c r="AR55" s="1314"/>
      <c r="AS55" s="1314"/>
      <c r="AT55" s="1314"/>
      <c r="AU55" s="1411"/>
      <c r="AV55" s="1314"/>
      <c r="AW55" s="1411"/>
      <c r="AX55" s="1314"/>
      <c r="AY55" s="1314"/>
      <c r="AZ55" s="1314"/>
      <c r="BA55" s="1314"/>
      <c r="BB55" s="1318"/>
      <c r="BC55" s="8879"/>
      <c r="BE55" s="424"/>
      <c r="BF55" s="424"/>
      <c r="BG55" s="424"/>
      <c r="BH55" s="424"/>
    </row>
    <row r="56" spans="1:60" ht="11.25" customHeight="1">
      <c r="A56" s="1284" t="s">
        <v>724</v>
      </c>
      <c r="B56" s="1284" t="s">
        <v>725</v>
      </c>
      <c r="C56" s="1284" t="s">
        <v>726</v>
      </c>
      <c r="D56" s="1284" t="s">
        <v>1002</v>
      </c>
      <c r="E56" s="8884"/>
      <c r="F56" s="8884"/>
      <c r="G56" s="8884"/>
      <c r="H56" s="8884"/>
      <c r="I56" s="8904"/>
      <c r="J56" s="8904"/>
      <c r="K56" s="8881"/>
      <c r="L56" s="1285"/>
      <c r="P56" s="8882"/>
      <c r="Q56" s="8882"/>
      <c r="R56" s="278"/>
      <c r="S56" s="8935"/>
      <c r="T56" s="8954"/>
      <c r="U56" s="214"/>
      <c r="V56" s="1314"/>
      <c r="W56" s="1315" t="str">
        <f>Z52&amp;"-"&amp;AB52</f>
        <v>-</v>
      </c>
      <c r="X56" s="1314"/>
      <c r="Y56" s="1315" t="str">
        <f>AB52&amp;"-"&amp;AD52</f>
        <v>-да</v>
      </c>
      <c r="Z56" s="1314"/>
      <c r="AA56" s="1314"/>
      <c r="AB56" s="1314"/>
      <c r="AC56" s="1314"/>
      <c r="AD56" s="8739"/>
      <c r="AE56" s="228"/>
      <c r="AF56" s="230"/>
      <c r="AG56" s="345" t="s">
        <v>969</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8879"/>
      <c r="BE56" s="424"/>
      <c r="BF56" s="424" t="str">
        <f t="shared" ref="BF56:BF63" si="4">IF(T56="","",T56)</f>
        <v/>
      </c>
      <c r="BG56" s="424"/>
      <c r="BH56" s="424"/>
    </row>
    <row r="57" spans="1:60" ht="11.25" customHeight="1">
      <c r="A57" s="1284" t="s">
        <v>724</v>
      </c>
      <c r="B57" s="1284" t="s">
        <v>725</v>
      </c>
      <c r="C57" s="1284" t="s">
        <v>726</v>
      </c>
      <c r="D57" s="1284" t="s">
        <v>1002</v>
      </c>
      <c r="E57" s="8884"/>
      <c r="F57" s="8884"/>
      <c r="G57" s="8884"/>
      <c r="H57" s="8884"/>
      <c r="I57" s="8904"/>
      <c r="J57" s="8881"/>
      <c r="K57" s="1284"/>
      <c r="L57" s="1285"/>
      <c r="P57" s="8882"/>
      <c r="Q57" s="8882"/>
      <c r="R57" s="277"/>
      <c r="S57" s="1203"/>
      <c r="T57" s="202" t="s">
        <v>929</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8880"/>
      <c r="BE57" s="424"/>
      <c r="BF57" s="424" t="str">
        <f t="shared" si="4"/>
        <v>Добавить строку</v>
      </c>
      <c r="BG57" s="424"/>
      <c r="BH57" s="424"/>
    </row>
    <row r="58" spans="1:60" s="1562" customFormat="1" ht="0" hidden="1" customHeight="1">
      <c r="A58" s="1265" t="s">
        <v>724</v>
      </c>
      <c r="B58" s="1265" t="s">
        <v>725</v>
      </c>
      <c r="C58" s="1265" t="s">
        <v>726</v>
      </c>
      <c r="D58" s="1265" t="s">
        <v>1002</v>
      </c>
      <c r="E58" s="8884"/>
      <c r="F58" s="8884"/>
      <c r="G58" s="8884"/>
      <c r="H58" s="8884"/>
      <c r="I58" s="8881"/>
      <c r="J58" s="1265"/>
      <c r="K58" s="1265"/>
      <c r="L58" s="1268"/>
      <c r="M58" s="434"/>
      <c r="N58" s="434"/>
      <c r="O58" s="434"/>
      <c r="P58" s="8882"/>
      <c r="Q58" s="1396"/>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724</v>
      </c>
      <c r="B59" s="1265" t="s">
        <v>725</v>
      </c>
      <c r="C59" s="1265" t="s">
        <v>726</v>
      </c>
      <c r="D59" s="1265" t="s">
        <v>1002</v>
      </c>
      <c r="E59" s="8884"/>
      <c r="F59" s="8884"/>
      <c r="G59" s="8884"/>
      <c r="H59" s="8883"/>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724</v>
      </c>
      <c r="B60" s="1265" t="s">
        <v>725</v>
      </c>
      <c r="C60" s="1265" t="s">
        <v>726</v>
      </c>
      <c r="D60" s="1237"/>
      <c r="E60" s="8884"/>
      <c r="F60" s="8884"/>
      <c r="G60" s="8883"/>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724</v>
      </c>
      <c r="B61" s="1265" t="s">
        <v>725</v>
      </c>
      <c r="C61" s="1237"/>
      <c r="D61" s="1237"/>
      <c r="E61" s="8884"/>
      <c r="F61" s="8883"/>
      <c r="G61" s="1237"/>
      <c r="H61" s="1237"/>
      <c r="I61" s="1237"/>
      <c r="J61" s="1237"/>
      <c r="K61" s="1237"/>
      <c r="L61" s="1409"/>
      <c r="M61" s="1244"/>
      <c r="N61" s="1244"/>
      <c r="P61" s="1239"/>
      <c r="Q61" s="1240"/>
      <c r="R61" s="1239"/>
      <c r="S61" s="1245"/>
      <c r="T61" s="1248" t="s">
        <v>314</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724</v>
      </c>
      <c r="B62" s="1265"/>
      <c r="C62" s="1265"/>
      <c r="D62" s="1265"/>
      <c r="E62" s="8883"/>
      <c r="F62" s="1265"/>
      <c r="G62" s="1265"/>
      <c r="H62" s="1265"/>
      <c r="I62" s="1265"/>
      <c r="J62" s="1265"/>
      <c r="K62" s="1265"/>
      <c r="L62" s="1268"/>
      <c r="M62" s="1244"/>
      <c r="N62" s="1244"/>
      <c r="O62" s="442"/>
      <c r="P62" s="308"/>
      <c r="Q62" s="1266"/>
      <c r="R62" s="308"/>
      <c r="S62" s="1245"/>
      <c r="T62" s="1248" t="s">
        <v>315</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706</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8.75" customHeight="1">
      <c r="O65" s="460"/>
      <c r="S65" s="1169"/>
      <c r="T65" s="8903"/>
      <c r="U65" s="8903"/>
      <c r="V65" s="8903"/>
      <c r="W65" s="8903"/>
      <c r="X65" s="8903"/>
      <c r="Y65" s="8903"/>
      <c r="Z65" s="8903"/>
      <c r="AA65" s="8903"/>
      <c r="AB65" s="8903"/>
      <c r="AC65" s="8903"/>
      <c r="AD65" s="8903"/>
      <c r="AE65" s="8903"/>
      <c r="AF65" s="8903"/>
      <c r="AG65" s="8903"/>
      <c r="AH65" s="8903"/>
      <c r="AI65" s="8903"/>
      <c r="AJ65" s="8903"/>
      <c r="AK65" s="8903"/>
      <c r="AL65" s="8903"/>
      <c r="AM65" s="8903"/>
      <c r="AN65" s="8903"/>
      <c r="AO65" s="8903"/>
      <c r="AP65" s="8903"/>
      <c r="AQ65" s="8903"/>
      <c r="AR65" s="8903"/>
      <c r="AS65" s="8903"/>
      <c r="AT65" s="8903"/>
      <c r="AU65" s="8903"/>
      <c r="AV65" s="8903"/>
      <c r="AW65" s="8903"/>
      <c r="AX65" s="8903"/>
      <c r="AY65" s="8903"/>
      <c r="AZ65" s="8903"/>
      <c r="BA65" s="8903"/>
      <c r="BB65" s="8903"/>
      <c r="BC65" s="8903"/>
    </row>
    <row r="66" spans="15:55" ht="14.25" customHeight="1">
      <c r="O66" s="46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8.75" customHeight="1">
      <c r="O67" s="460"/>
      <c r="S67" s="1169"/>
      <c r="T67" s="8903"/>
      <c r="U67" s="8903"/>
      <c r="V67" s="8903"/>
      <c r="W67" s="8903"/>
      <c r="X67" s="8903"/>
      <c r="Y67" s="8903"/>
      <c r="Z67" s="8903"/>
      <c r="AA67" s="8903"/>
      <c r="AB67" s="8903"/>
      <c r="AC67" s="8903"/>
      <c r="AD67" s="8903"/>
      <c r="AE67" s="8903"/>
      <c r="AF67" s="8903"/>
      <c r="AG67" s="8903"/>
      <c r="AH67" s="8903"/>
      <c r="AI67" s="8903"/>
      <c r="AJ67" s="8903"/>
      <c r="AK67" s="8903"/>
      <c r="AL67" s="8903"/>
      <c r="AM67" s="8903"/>
      <c r="AN67" s="8903"/>
      <c r="AO67" s="8903"/>
      <c r="AP67" s="8903"/>
      <c r="AQ67" s="8903"/>
      <c r="AR67" s="8903"/>
      <c r="AS67" s="8903"/>
      <c r="AT67" s="8903"/>
      <c r="AU67" s="8903"/>
      <c r="AV67" s="8903"/>
      <c r="AW67" s="8903"/>
      <c r="AX67" s="8903"/>
      <c r="AY67" s="8903"/>
      <c r="AZ67" s="8903"/>
      <c r="BA67" s="8903"/>
      <c r="BB67" s="8903"/>
      <c r="BC67" s="8903"/>
    </row>
    <row r="68" spans="15:55" ht="14.25" customHeight="1">
      <c r="O68" s="460"/>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88"/>
  <sheetViews>
    <sheetView showGridLines="0" topLeftCell="C38" zoomScale="90" workbookViewId="0">
      <selection activeCell="G72" sqref="G72"/>
    </sheetView>
  </sheetViews>
  <sheetFormatPr defaultColWidth="9.140625" defaultRowHeight="14.25" customHeight="1"/>
  <cols>
    <col min="1" max="1" width="8" style="1555" hidden="1" customWidth="1"/>
    <col min="2" max="2" width="6" style="1287" hidden="1" customWidth="1"/>
    <col min="3" max="3" width="3.7109375" style="1555" customWidth="1"/>
    <col min="4" max="4" width="3.7109375" style="1760" customWidth="1"/>
    <col min="5" max="5" width="6.28515625" style="1555" customWidth="1"/>
    <col min="6" max="6" width="2.7109375" style="1555" hidden="1" customWidth="1"/>
    <col min="7" max="7" width="46.7109375" style="1555" customWidth="1"/>
    <col min="8" max="8" width="43.140625" style="1555" customWidth="1"/>
    <col min="9" max="9" width="14.85546875" style="1555" customWidth="1"/>
    <col min="10" max="10" width="3.7109375" style="1544" customWidth="1"/>
    <col min="11" max="13" width="9.140625" style="1544" hidden="1"/>
    <col min="14" max="14" width="25.7109375" style="1544" hidden="1" customWidth="1"/>
    <col min="15" max="15" width="14.42578125" style="1544" hidden="1" customWidth="1"/>
    <col min="16" max="19" width="9.140625" style="142" hidden="1"/>
    <col min="20" max="27" width="9.140625" style="1555" hidden="1"/>
    <col min="28" max="28" width="9.140625" style="1555"/>
  </cols>
  <sheetData>
    <row r="1" spans="1:28" s="1562" customFormat="1" ht="5.25" hidden="1" customHeight="1">
      <c r="A1" s="420"/>
      <c r="B1" s="435"/>
      <c r="C1" s="435"/>
      <c r="D1" s="138"/>
      <c r="F1" s="435"/>
      <c r="G1" s="162" t="s">
        <v>79</v>
      </c>
      <c r="H1" s="418" t="s">
        <v>80</v>
      </c>
      <c r="I1" s="144" t="s">
        <v>81</v>
      </c>
      <c r="J1" s="162" t="s">
        <v>79</v>
      </c>
      <c r="K1" s="162"/>
      <c r="L1" s="162"/>
      <c r="M1" s="162"/>
      <c r="N1" s="163"/>
      <c r="O1" s="162"/>
      <c r="P1" s="162"/>
      <c r="Q1" s="162"/>
      <c r="R1" s="162"/>
      <c r="S1" s="162"/>
      <c r="T1" s="144"/>
      <c r="U1" s="144"/>
      <c r="V1" s="144"/>
      <c r="W1" s="144"/>
      <c r="X1" s="144"/>
      <c r="Y1" s="144"/>
      <c r="Z1" s="144"/>
      <c r="AA1" s="144"/>
      <c r="AB1" s="144"/>
    </row>
    <row r="2" spans="1:28" s="1333" customFormat="1" ht="11.25" customHeight="1">
      <c r="A2" s="745"/>
      <c r="B2" s="145"/>
      <c r="C2" s="145"/>
      <c r="D2" s="146"/>
      <c r="E2" s="145"/>
      <c r="F2" s="145"/>
      <c r="G2" s="145"/>
      <c r="H2" s="145"/>
      <c r="I2" s="145"/>
      <c r="J2" s="162"/>
      <c r="K2" s="162"/>
      <c r="L2" s="162"/>
      <c r="M2" s="162"/>
      <c r="N2" s="163"/>
      <c r="O2" s="162"/>
      <c r="P2" s="147"/>
      <c r="Q2" s="147"/>
      <c r="R2" s="147"/>
      <c r="S2" s="147"/>
      <c r="T2" s="146"/>
      <c r="U2" s="146"/>
      <c r="V2" s="146"/>
      <c r="W2" s="146"/>
      <c r="X2" s="146"/>
      <c r="Y2" s="146"/>
      <c r="Z2" s="146"/>
      <c r="AA2" s="146"/>
      <c r="AB2" s="146"/>
    </row>
    <row r="3" spans="1:28" s="1739" customFormat="1" ht="3" customHeight="1">
      <c r="A3" s="673"/>
      <c r="B3" s="346"/>
      <c r="C3" s="673"/>
      <c r="D3" s="82"/>
      <c r="E3" s="31"/>
      <c r="F3" s="433"/>
      <c r="G3" s="31"/>
      <c r="H3" s="31"/>
      <c r="I3" s="84"/>
      <c r="J3" s="162"/>
      <c r="K3" s="73"/>
      <c r="L3" s="73"/>
      <c r="M3" s="73"/>
      <c r="N3" s="143"/>
      <c r="O3" s="73"/>
      <c r="P3" s="142"/>
      <c r="Q3" s="142"/>
      <c r="R3" s="142"/>
      <c r="S3" s="142"/>
    </row>
    <row r="4" spans="1:28" s="1739" customFormat="1" ht="25.5" customHeight="1">
      <c r="A4" s="673"/>
      <c r="B4" s="346"/>
      <c r="C4" s="673"/>
      <c r="D4" s="82"/>
      <c r="E4" s="8728" t="str">
        <f>NameTemplatesInListMO</f>
        <v>Перечень муниципальных районов и муниципальных образований (территорий действия тарифа)</v>
      </c>
      <c r="F4" s="8728"/>
      <c r="G4" s="8728"/>
      <c r="H4" s="8728"/>
      <c r="I4" s="8728"/>
      <c r="J4" s="162"/>
      <c r="K4" s="73"/>
      <c r="L4" s="73"/>
      <c r="M4" s="73"/>
      <c r="N4" s="143"/>
      <c r="O4" s="73"/>
      <c r="P4" s="142"/>
      <c r="Q4" s="142"/>
      <c r="R4" s="142"/>
      <c r="S4" s="142"/>
    </row>
    <row r="5" spans="1:28" s="1739" customFormat="1" ht="3" customHeight="1">
      <c r="A5" s="673"/>
      <c r="B5" s="346"/>
      <c r="C5" s="673"/>
      <c r="D5" s="82"/>
      <c r="E5" s="31"/>
      <c r="F5" s="433"/>
      <c r="G5" s="85"/>
      <c r="H5" s="85"/>
      <c r="I5" s="86"/>
      <c r="J5" s="73"/>
      <c r="K5" s="73"/>
      <c r="L5" s="73"/>
      <c r="M5" s="73"/>
      <c r="N5" s="143"/>
      <c r="O5" s="73"/>
      <c r="P5" s="142"/>
      <c r="Q5" s="142"/>
      <c r="R5" s="142"/>
      <c r="S5" s="142"/>
    </row>
    <row r="6" spans="1:28" s="1739" customFormat="1" ht="20.25" hidden="1" customHeight="1">
      <c r="A6" s="751"/>
      <c r="B6" s="747"/>
      <c r="C6" s="87"/>
      <c r="D6" s="82"/>
      <c r="E6" s="693"/>
      <c r="F6" s="693"/>
      <c r="G6" s="85"/>
      <c r="H6" s="88"/>
      <c r="I6" s="88"/>
      <c r="J6" s="73"/>
      <c r="K6" s="73"/>
      <c r="L6" s="73"/>
      <c r="M6" s="73"/>
      <c r="N6" s="143"/>
      <c r="O6" s="73"/>
      <c r="P6" s="142"/>
      <c r="Q6" s="142"/>
      <c r="R6" s="142"/>
      <c r="S6" s="142"/>
    </row>
    <row r="7" spans="1:28" ht="25.5" hidden="1" customHeight="1"/>
    <row r="8" spans="1:28" s="1739" customFormat="1" ht="14.25" customHeight="1">
      <c r="A8" s="673"/>
      <c r="B8" s="346"/>
      <c r="C8" s="673"/>
      <c r="D8" s="82"/>
      <c r="E8" s="8724" t="s">
        <v>82</v>
      </c>
      <c r="F8" s="8729"/>
      <c r="G8" s="8723"/>
      <c r="H8" s="8730" t="s">
        <v>83</v>
      </c>
      <c r="I8" s="8730"/>
      <c r="J8" s="73"/>
      <c r="K8" s="73"/>
      <c r="L8" s="73"/>
      <c r="M8" s="73"/>
      <c r="N8" s="143"/>
      <c r="O8" s="73"/>
      <c r="P8" s="142"/>
      <c r="Q8" s="142"/>
      <c r="R8" s="142"/>
      <c r="S8" s="142"/>
    </row>
    <row r="9" spans="1:28" s="1739" customFormat="1" ht="20.25" customHeight="1">
      <c r="A9" s="673"/>
      <c r="B9" s="346"/>
      <c r="C9" s="673"/>
      <c r="D9" s="82"/>
      <c r="E9" s="691" t="s">
        <v>84</v>
      </c>
      <c r="F9" s="691"/>
      <c r="G9" s="90" t="s">
        <v>85</v>
      </c>
      <c r="H9" s="90" t="s">
        <v>85</v>
      </c>
      <c r="I9" s="90" t="s">
        <v>81</v>
      </c>
      <c r="J9" s="73"/>
      <c r="K9" s="73"/>
      <c r="L9" s="73"/>
      <c r="M9" s="73"/>
      <c r="N9" s="143"/>
      <c r="O9" s="73"/>
      <c r="P9" s="142"/>
      <c r="Q9" s="142"/>
      <c r="R9" s="142"/>
      <c r="S9" s="142"/>
    </row>
    <row r="10" spans="1:28" ht="11.25" customHeight="1">
      <c r="D10" s="94"/>
      <c r="E10" s="692" t="s">
        <v>86</v>
      </c>
      <c r="F10" s="692"/>
      <c r="G10" s="140" t="s">
        <v>87</v>
      </c>
      <c r="H10" s="140" t="s">
        <v>88</v>
      </c>
      <c r="I10" s="140" t="s">
        <v>89</v>
      </c>
      <c r="J10" s="104"/>
      <c r="K10" s="104"/>
      <c r="L10" s="104"/>
      <c r="M10" s="104"/>
      <c r="N10" s="89"/>
      <c r="O10" s="104"/>
      <c r="P10" s="141"/>
      <c r="Q10" s="141"/>
      <c r="R10" s="141"/>
      <c r="S10" s="141"/>
    </row>
    <row r="11" spans="1:28" s="1739" customFormat="1" ht="0.75" customHeight="1">
      <c r="A11" s="673"/>
      <c r="B11" s="346"/>
      <c r="C11" s="673"/>
      <c r="D11" s="82"/>
      <c r="E11" s="704"/>
      <c r="F11" s="704"/>
      <c r="G11" s="91"/>
      <c r="H11" s="91"/>
      <c r="I11" s="93"/>
      <c r="J11" s="164" t="s">
        <v>90</v>
      </c>
      <c r="K11" s="73"/>
      <c r="L11" s="73"/>
      <c r="M11" s="73" t="s">
        <v>91</v>
      </c>
      <c r="N11" s="143" t="s">
        <v>92</v>
      </c>
      <c r="O11" s="73" t="s">
        <v>93</v>
      </c>
      <c r="P11" s="142"/>
      <c r="Q11" s="142"/>
      <c r="R11" s="142"/>
      <c r="S11" s="142"/>
    </row>
    <row r="12" spans="1:28" s="1739" customFormat="1" ht="14.25" customHeight="1">
      <c r="A12" s="8727">
        <v>1</v>
      </c>
      <c r="B12" s="346"/>
      <c r="C12" s="673"/>
      <c r="D12" s="696"/>
      <c r="E12" s="136">
        <f>A12</f>
        <v>1</v>
      </c>
      <c r="F12" s="716" t="s">
        <v>94</v>
      </c>
      <c r="G12" s="463" t="str">
        <f>"Территория "&amp;E12</f>
        <v>Территория 1</v>
      </c>
      <c r="H12" s="706"/>
      <c r="I12" s="706"/>
      <c r="J12" s="703"/>
      <c r="K12" s="424"/>
      <c r="L12" s="424"/>
      <c r="M12" s="424"/>
      <c r="N12" s="143"/>
      <c r="O12" s="424"/>
      <c r="P12" s="142"/>
      <c r="Q12" s="142"/>
      <c r="R12" s="142"/>
      <c r="S12" s="142"/>
    </row>
    <row r="13" spans="1:28" s="1818" customFormat="1" ht="15" customHeight="1">
      <c r="A13" s="8727"/>
      <c r="B13" s="346">
        <v>1</v>
      </c>
      <c r="C13" s="346"/>
      <c r="D13" s="714"/>
      <c r="E13" s="694" t="str">
        <f>A12&amp;"."&amp;B13</f>
        <v>1.1</v>
      </c>
      <c r="F13" s="709" t="s">
        <v>95</v>
      </c>
      <c r="G13" s="707" t="s">
        <v>96</v>
      </c>
      <c r="H13" s="707" t="s">
        <v>96</v>
      </c>
      <c r="I13" s="705" t="s">
        <v>97</v>
      </c>
      <c r="J13" s="424" t="e">
        <f ca="1">MERGEVALUE(G13)</f>
        <v>#NAME?</v>
      </c>
      <c r="K13" s="435"/>
      <c r="L13" s="435"/>
      <c r="M13" s="424" t="str">
        <f t="array" ref="M13">IF(ISERROR(MATCH(MID(N13,1,250),MID(note_ter,1,250),0)),"n","y")</f>
        <v>n</v>
      </c>
      <c r="N13" s="435"/>
      <c r="O13" s="424" t="str">
        <f>H13&amp;"("&amp;I13&amp;")"</f>
        <v>Александровский муниципальный округ(07502000)</v>
      </c>
      <c r="P13" s="346"/>
      <c r="Q13" s="346"/>
      <c r="R13" s="348"/>
      <c r="S13" s="346"/>
      <c r="T13" s="346"/>
      <c r="U13" s="346"/>
      <c r="V13" s="350"/>
      <c r="W13" s="350"/>
      <c r="X13" s="347"/>
      <c r="Y13" s="347"/>
      <c r="Z13" s="347"/>
      <c r="AA13" s="347"/>
      <c r="AB13" s="347"/>
    </row>
    <row r="14" spans="1:28" s="1818" customFormat="1" ht="15" customHeight="1">
      <c r="A14" s="8727"/>
      <c r="B14" s="346"/>
      <c r="C14" s="341"/>
      <c r="D14" s="715"/>
      <c r="E14" s="349"/>
      <c r="F14" s="95"/>
      <c r="G14" s="344" t="s">
        <v>98</v>
      </c>
      <c r="H14" s="105"/>
      <c r="I14" s="351"/>
      <c r="J14" s="435"/>
      <c r="K14" s="435"/>
      <c r="L14" s="435"/>
      <c r="M14" s="435"/>
      <c r="N14" s="424"/>
      <c r="O14" s="435"/>
      <c r="P14" s="346"/>
      <c r="Q14" s="346"/>
      <c r="R14" s="348"/>
      <c r="S14" s="346"/>
      <c r="T14" s="346"/>
      <c r="U14" s="346"/>
      <c r="V14" s="350"/>
      <c r="W14" s="350"/>
      <c r="X14" s="347"/>
      <c r="Y14" s="347"/>
      <c r="Z14" s="347"/>
      <c r="AA14" s="347"/>
      <c r="AB14" s="347"/>
    </row>
    <row r="15" spans="1:28" ht="15" customHeight="1">
      <c r="A15" s="8731" t="s">
        <v>99</v>
      </c>
      <c r="B15" s="1065"/>
      <c r="C15" s="715" t="s">
        <v>100</v>
      </c>
      <c r="D15" s="1738"/>
      <c r="E15" s="1725" t="str">
        <f>A15</f>
        <v>2</v>
      </c>
      <c r="F15" s="718" t="s">
        <v>101</v>
      </c>
      <c r="G15" s="463" t="str">
        <f>"Территория "&amp;E15</f>
        <v>Территория 2</v>
      </c>
      <c r="H15" s="706"/>
      <c r="I15" s="706"/>
      <c r="J15" s="703"/>
      <c r="N15" s="143"/>
      <c r="T15" s="1739"/>
      <c r="U15" s="1739"/>
      <c r="V15" s="1739"/>
      <c r="W15" s="1739"/>
      <c r="X15" s="1739"/>
      <c r="Y15" s="1739"/>
      <c r="Z15" s="1739"/>
      <c r="AA15" s="1739"/>
      <c r="AB15" s="1739"/>
    </row>
    <row r="16" spans="1:28" ht="15" customHeight="1">
      <c r="A16" s="8731"/>
      <c r="B16" s="1065">
        <v>1</v>
      </c>
      <c r="C16" s="1065"/>
      <c r="D16" s="714"/>
      <c r="E16" s="1733" t="str">
        <f>A15&amp;"."&amp;B16</f>
        <v>2.1</v>
      </c>
      <c r="F16" s="717" t="s">
        <v>102</v>
      </c>
      <c r="G16" s="707" t="s">
        <v>103</v>
      </c>
      <c r="H16" s="707" t="s">
        <v>103</v>
      </c>
      <c r="I16" s="705" t="s">
        <v>104</v>
      </c>
      <c r="K16" s="1556"/>
      <c r="L16" s="1556"/>
      <c r="M16" s="1544" t="str">
        <f t="array" ref="M16">IF(ISERROR(MATCH(MID(N16,1,250),MID(note_ter,1,250),0)),"n","y")</f>
        <v>n</v>
      </c>
      <c r="N16" s="1556"/>
      <c r="O16" s="1544" t="str">
        <f>H16&amp;"("&amp;I16&amp;")"</f>
        <v>Андроповский муниципальный округ(07503000)</v>
      </c>
      <c r="P16" s="1065"/>
      <c r="Q16" s="1065"/>
      <c r="R16" s="348"/>
      <c r="S16" s="1065"/>
      <c r="T16" s="1065"/>
      <c r="U16" s="1065"/>
      <c r="V16" s="350"/>
      <c r="W16" s="350"/>
      <c r="X16" s="347"/>
      <c r="Y16" s="347"/>
      <c r="Z16" s="347"/>
      <c r="AA16" s="347"/>
      <c r="AB16" s="347"/>
    </row>
    <row r="17" spans="1:28" ht="15" customHeight="1">
      <c r="A17" s="8731"/>
      <c r="B17" s="1065"/>
      <c r="C17" s="341"/>
      <c r="D17" s="715"/>
      <c r="E17" s="349"/>
      <c r="F17" s="95"/>
      <c r="G17" s="344" t="s">
        <v>98</v>
      </c>
      <c r="H17" s="105"/>
      <c r="I17" s="351"/>
      <c r="J17" s="1556"/>
      <c r="K17" s="1556"/>
      <c r="L17" s="1556"/>
      <c r="M17" s="1556"/>
      <c r="O17" s="1556"/>
      <c r="P17" s="1065"/>
      <c r="Q17" s="1065"/>
      <c r="R17" s="348"/>
      <c r="S17" s="1065"/>
      <c r="T17" s="1065"/>
      <c r="U17" s="1065"/>
      <c r="V17" s="350"/>
      <c r="W17" s="350"/>
      <c r="X17" s="347"/>
      <c r="Y17" s="347"/>
      <c r="Z17" s="347"/>
      <c r="AA17" s="347"/>
      <c r="AB17" s="347"/>
    </row>
    <row r="18" spans="1:28" ht="15" customHeight="1">
      <c r="A18" s="8731" t="s">
        <v>86</v>
      </c>
      <c r="B18" s="1065"/>
      <c r="C18" s="715" t="s">
        <v>100</v>
      </c>
      <c r="D18" s="1738"/>
      <c r="E18" s="1725" t="str">
        <f>A18</f>
        <v>3</v>
      </c>
      <c r="F18" s="718" t="s">
        <v>105</v>
      </c>
      <c r="G18" s="463" t="str">
        <f>"Территория "&amp;E18</f>
        <v>Территория 3</v>
      </c>
      <c r="H18" s="706"/>
      <c r="I18" s="706"/>
      <c r="J18" s="703"/>
      <c r="N18" s="143"/>
      <c r="T18" s="1739"/>
      <c r="U18" s="1739"/>
      <c r="V18" s="1739"/>
      <c r="W18" s="1739"/>
      <c r="X18" s="1739"/>
      <c r="Y18" s="1739"/>
      <c r="Z18" s="1739"/>
      <c r="AA18" s="1739"/>
      <c r="AB18" s="1739"/>
    </row>
    <row r="19" spans="1:28" ht="15" customHeight="1">
      <c r="A19" s="8731"/>
      <c r="B19" s="1065">
        <v>1</v>
      </c>
      <c r="C19" s="1065"/>
      <c r="D19" s="714"/>
      <c r="E19" s="1733" t="str">
        <f>A18&amp;"."&amp;B19</f>
        <v>3.1</v>
      </c>
      <c r="F19" s="717" t="s">
        <v>106</v>
      </c>
      <c r="G19" s="707" t="s">
        <v>107</v>
      </c>
      <c r="H19" s="707" t="s">
        <v>107</v>
      </c>
      <c r="I19" s="705" t="s">
        <v>108</v>
      </c>
      <c r="K19" s="1556"/>
      <c r="L19" s="1556"/>
      <c r="M19" s="1544" t="str">
        <f t="array" ref="M19">IF(ISERROR(MATCH(MID(N19,1,250),MID(note_ter,1,250),0)),"n","y")</f>
        <v>n</v>
      </c>
      <c r="N19" s="1556"/>
      <c r="O19" s="1544" t="str">
        <f>H19&amp;"("&amp;I19&amp;")"</f>
        <v>Апанасенковский муниципальный округ(07505000)</v>
      </c>
      <c r="P19" s="1065"/>
      <c r="Q19" s="1065"/>
      <c r="R19" s="348"/>
      <c r="S19" s="1065"/>
      <c r="T19" s="1065"/>
      <c r="U19" s="1065"/>
      <c r="V19" s="350"/>
      <c r="W19" s="350"/>
      <c r="X19" s="347"/>
      <c r="Y19" s="347"/>
      <c r="Z19" s="347"/>
      <c r="AA19" s="347"/>
      <c r="AB19" s="347"/>
    </row>
    <row r="20" spans="1:28" ht="15" customHeight="1">
      <c r="A20" s="8731"/>
      <c r="B20" s="1065"/>
      <c r="C20" s="341"/>
      <c r="D20" s="715"/>
      <c r="E20" s="349"/>
      <c r="F20" s="95"/>
      <c r="G20" s="344" t="s">
        <v>98</v>
      </c>
      <c r="H20" s="105"/>
      <c r="I20" s="351"/>
      <c r="J20" s="1556"/>
      <c r="K20" s="1556"/>
      <c r="L20" s="1556"/>
      <c r="M20" s="1556"/>
      <c r="O20" s="1556"/>
      <c r="P20" s="1065"/>
      <c r="Q20" s="1065"/>
      <c r="R20" s="348"/>
      <c r="S20" s="1065"/>
      <c r="T20" s="1065"/>
      <c r="U20" s="1065"/>
      <c r="V20" s="350"/>
      <c r="W20" s="350"/>
      <c r="X20" s="347"/>
      <c r="Y20" s="347"/>
      <c r="Z20" s="347"/>
      <c r="AA20" s="347"/>
      <c r="AB20" s="347"/>
    </row>
    <row r="21" spans="1:28" ht="15" customHeight="1">
      <c r="A21" s="8731" t="s">
        <v>87</v>
      </c>
      <c r="B21" s="1065"/>
      <c r="C21" s="715" t="s">
        <v>100</v>
      </c>
      <c r="D21" s="1738"/>
      <c r="E21" s="1725" t="str">
        <f>A21</f>
        <v>4</v>
      </c>
      <c r="F21" s="718" t="s">
        <v>109</v>
      </c>
      <c r="G21" s="463" t="str">
        <f>"Территория "&amp;E21</f>
        <v>Территория 4</v>
      </c>
      <c r="H21" s="706"/>
      <c r="I21" s="706"/>
      <c r="J21" s="703"/>
      <c r="N21" s="143"/>
      <c r="T21" s="1739"/>
      <c r="U21" s="1739"/>
      <c r="V21" s="1739"/>
      <c r="W21" s="1739"/>
      <c r="X21" s="1739"/>
      <c r="Y21" s="1739"/>
      <c r="Z21" s="1739"/>
      <c r="AA21" s="1739"/>
      <c r="AB21" s="1739"/>
    </row>
    <row r="22" spans="1:28" ht="15" customHeight="1">
      <c r="A22" s="8731"/>
      <c r="B22" s="1065">
        <v>1</v>
      </c>
      <c r="C22" s="1065"/>
      <c r="D22" s="714"/>
      <c r="E22" s="1733" t="str">
        <f>A21&amp;"."&amp;B22</f>
        <v>4.1</v>
      </c>
      <c r="F22" s="717" t="s">
        <v>110</v>
      </c>
      <c r="G22" s="707" t="s">
        <v>111</v>
      </c>
      <c r="H22" s="707" t="s">
        <v>111</v>
      </c>
      <c r="I22" s="705" t="s">
        <v>112</v>
      </c>
      <c r="K22" s="1556"/>
      <c r="L22" s="1556"/>
      <c r="M22" s="1544" t="str">
        <f t="array" ref="M22">IF(ISERROR(MATCH(MID(N22,1,250),MID(note_ter,1,250),0)),"n","y")</f>
        <v>n</v>
      </c>
      <c r="N22" s="1556"/>
      <c r="O22" s="1544" t="str">
        <f>H22&amp;"("&amp;I22&amp;")"</f>
        <v>Арзгирский муниципальный округ(07507000)</v>
      </c>
      <c r="P22" s="1065"/>
      <c r="Q22" s="1065"/>
      <c r="R22" s="348"/>
      <c r="S22" s="1065"/>
      <c r="T22" s="1065"/>
      <c r="U22" s="1065"/>
      <c r="V22" s="350"/>
      <c r="W22" s="350"/>
      <c r="X22" s="347"/>
      <c r="Y22" s="347"/>
      <c r="Z22" s="347"/>
      <c r="AA22" s="347"/>
      <c r="AB22" s="347"/>
    </row>
    <row r="23" spans="1:28" ht="15" customHeight="1">
      <c r="A23" s="8731"/>
      <c r="B23" s="1065"/>
      <c r="C23" s="341"/>
      <c r="D23" s="715"/>
      <c r="E23" s="349"/>
      <c r="F23" s="95"/>
      <c r="G23" s="344" t="s">
        <v>98</v>
      </c>
      <c r="H23" s="105"/>
      <c r="I23" s="351"/>
      <c r="J23" s="1556"/>
      <c r="K23" s="1556"/>
      <c r="L23" s="1556"/>
      <c r="M23" s="1556"/>
      <c r="O23" s="1556"/>
      <c r="P23" s="1065"/>
      <c r="Q23" s="1065"/>
      <c r="R23" s="348"/>
      <c r="S23" s="1065"/>
      <c r="T23" s="1065"/>
      <c r="U23" s="1065"/>
      <c r="V23" s="350"/>
      <c r="W23" s="350"/>
      <c r="X23" s="347"/>
      <c r="Y23" s="347"/>
      <c r="Z23" s="347"/>
      <c r="AA23" s="347"/>
      <c r="AB23" s="347"/>
    </row>
    <row r="24" spans="1:28" ht="15" customHeight="1">
      <c r="A24" s="8731" t="s">
        <v>113</v>
      </c>
      <c r="B24" s="1065"/>
      <c r="C24" s="715" t="s">
        <v>100</v>
      </c>
      <c r="D24" s="1738"/>
      <c r="E24" s="1725" t="str">
        <f>A24</f>
        <v>5</v>
      </c>
      <c r="F24" s="718" t="s">
        <v>114</v>
      </c>
      <c r="G24" s="463" t="str">
        <f>"Территория "&amp;E24</f>
        <v>Территория 5</v>
      </c>
      <c r="H24" s="706"/>
      <c r="I24" s="706"/>
      <c r="J24" s="703"/>
      <c r="N24" s="143"/>
      <c r="T24" s="1739"/>
      <c r="U24" s="1739"/>
      <c r="V24" s="1739"/>
      <c r="W24" s="1739"/>
      <c r="X24" s="1739"/>
      <c r="Y24" s="1739"/>
      <c r="Z24" s="1739"/>
      <c r="AA24" s="1739"/>
      <c r="AB24" s="1739"/>
    </row>
    <row r="25" spans="1:28" ht="15" customHeight="1">
      <c r="A25" s="8731"/>
      <c r="B25" s="1065">
        <v>1</v>
      </c>
      <c r="C25" s="1065"/>
      <c r="D25" s="714"/>
      <c r="E25" s="1733" t="str">
        <f>A24&amp;"."&amp;B25</f>
        <v>5.1</v>
      </c>
      <c r="F25" s="717" t="s">
        <v>115</v>
      </c>
      <c r="G25" s="707" t="s">
        <v>116</v>
      </c>
      <c r="H25" s="707" t="s">
        <v>116</v>
      </c>
      <c r="I25" s="705" t="s">
        <v>117</v>
      </c>
      <c r="K25" s="1556"/>
      <c r="L25" s="1556"/>
      <c r="M25" s="1544" t="str">
        <f t="array" ref="M25">IF(ISERROR(MATCH(MID(N25,1,250),MID(note_ter,1,250),0)),"n","y")</f>
        <v>n</v>
      </c>
      <c r="N25" s="1556"/>
      <c r="O25" s="1544" t="str">
        <f>H25&amp;"("&amp;I25&amp;")"</f>
        <v>Будённовский муниципальный округ(07512000)</v>
      </c>
      <c r="P25" s="1065"/>
      <c r="Q25" s="1065"/>
      <c r="R25" s="348"/>
      <c r="S25" s="1065"/>
      <c r="T25" s="1065"/>
      <c r="U25" s="1065"/>
      <c r="V25" s="350"/>
      <c r="W25" s="350"/>
      <c r="X25" s="347"/>
      <c r="Y25" s="347"/>
      <c r="Z25" s="347"/>
      <c r="AA25" s="347"/>
      <c r="AB25" s="347"/>
    </row>
    <row r="26" spans="1:28" ht="15" customHeight="1">
      <c r="A26" s="8731"/>
      <c r="B26" s="1065"/>
      <c r="C26" s="341"/>
      <c r="D26" s="715"/>
      <c r="E26" s="349"/>
      <c r="F26" s="95"/>
      <c r="G26" s="344" t="s">
        <v>98</v>
      </c>
      <c r="H26" s="105"/>
      <c r="I26" s="351"/>
      <c r="J26" s="1556"/>
      <c r="K26" s="1556"/>
      <c r="L26" s="1556"/>
      <c r="M26" s="1556"/>
      <c r="O26" s="1556"/>
      <c r="P26" s="1065"/>
      <c r="Q26" s="1065"/>
      <c r="R26" s="348"/>
      <c r="S26" s="1065"/>
      <c r="T26" s="1065"/>
      <c r="U26" s="1065"/>
      <c r="V26" s="350"/>
      <c r="W26" s="350"/>
      <c r="X26" s="347"/>
      <c r="Y26" s="347"/>
      <c r="Z26" s="347"/>
      <c r="AA26" s="347"/>
      <c r="AB26" s="347"/>
    </row>
    <row r="27" spans="1:28" ht="15" customHeight="1">
      <c r="A27" s="8731" t="s">
        <v>88</v>
      </c>
      <c r="B27" s="1065"/>
      <c r="C27" s="715" t="s">
        <v>100</v>
      </c>
      <c r="D27" s="1738"/>
      <c r="E27" s="1725" t="str">
        <f>A27</f>
        <v>6</v>
      </c>
      <c r="F27" s="718" t="s">
        <v>118</v>
      </c>
      <c r="G27" s="463" t="str">
        <f>"Территория "&amp;E27</f>
        <v>Территория 6</v>
      </c>
      <c r="H27" s="706"/>
      <c r="I27" s="706"/>
      <c r="J27" s="703"/>
      <c r="N27" s="143"/>
      <c r="T27" s="1739"/>
      <c r="U27" s="1739"/>
      <c r="V27" s="1739"/>
      <c r="W27" s="1739"/>
      <c r="X27" s="1739"/>
      <c r="Y27" s="1739"/>
      <c r="Z27" s="1739"/>
      <c r="AA27" s="1739"/>
      <c r="AB27" s="1739"/>
    </row>
    <row r="28" spans="1:28" ht="15" customHeight="1">
      <c r="A28" s="8731"/>
      <c r="B28" s="1065">
        <v>1</v>
      </c>
      <c r="C28" s="1065"/>
      <c r="D28" s="714"/>
      <c r="E28" s="1733" t="str">
        <f>A27&amp;"."&amp;B28</f>
        <v>6.1</v>
      </c>
      <c r="F28" s="717" t="s">
        <v>119</v>
      </c>
      <c r="G28" s="707" t="s">
        <v>120</v>
      </c>
      <c r="H28" s="707" t="s">
        <v>120</v>
      </c>
      <c r="I28" s="705" t="s">
        <v>121</v>
      </c>
      <c r="K28" s="1556"/>
      <c r="L28" s="1556"/>
      <c r="M28" s="1544" t="str">
        <f t="array" ref="M28">IF(ISERROR(MATCH(MID(N28,1,250),MID(note_ter,1,250),0)),"n","y")</f>
        <v>n</v>
      </c>
      <c r="N28" s="1556"/>
      <c r="O28" s="1544" t="str">
        <f>H28&amp;"("&amp;I28&amp;")"</f>
        <v>Красногвардейский муниципальный округ(07530000)</v>
      </c>
      <c r="P28" s="1065"/>
      <c r="Q28" s="1065"/>
      <c r="R28" s="348"/>
      <c r="S28" s="1065"/>
      <c r="T28" s="1065"/>
      <c r="U28" s="1065"/>
      <c r="V28" s="350"/>
      <c r="W28" s="350"/>
      <c r="X28" s="347"/>
      <c r="Y28" s="347"/>
      <c r="Z28" s="347"/>
      <c r="AA28" s="347"/>
      <c r="AB28" s="347"/>
    </row>
    <row r="29" spans="1:28" ht="15" customHeight="1">
      <c r="A29" s="8731"/>
      <c r="B29" s="1065"/>
      <c r="C29" s="341"/>
      <c r="D29" s="715"/>
      <c r="E29" s="349"/>
      <c r="F29" s="95"/>
      <c r="G29" s="344" t="s">
        <v>98</v>
      </c>
      <c r="H29" s="105"/>
      <c r="I29" s="351"/>
      <c r="J29" s="1556"/>
      <c r="K29" s="1556"/>
      <c r="L29" s="1556"/>
      <c r="M29" s="1556"/>
      <c r="O29" s="1556"/>
      <c r="P29" s="1065"/>
      <c r="Q29" s="1065"/>
      <c r="R29" s="348"/>
      <c r="S29" s="1065"/>
      <c r="T29" s="1065"/>
      <c r="U29" s="1065"/>
      <c r="V29" s="350"/>
      <c r="W29" s="350"/>
      <c r="X29" s="347"/>
      <c r="Y29" s="347"/>
      <c r="Z29" s="347"/>
      <c r="AA29" s="347"/>
      <c r="AB29" s="347"/>
    </row>
    <row r="30" spans="1:28" ht="15" customHeight="1">
      <c r="A30" s="8731" t="s">
        <v>89</v>
      </c>
      <c r="B30" s="1065"/>
      <c r="C30" s="715" t="s">
        <v>100</v>
      </c>
      <c r="D30" s="1738"/>
      <c r="E30" s="1725" t="str">
        <f>A30</f>
        <v>7</v>
      </c>
      <c r="F30" s="718" t="s">
        <v>122</v>
      </c>
      <c r="G30" s="463" t="str">
        <f>"Территория "&amp;E30</f>
        <v>Территория 7</v>
      </c>
      <c r="H30" s="706"/>
      <c r="I30" s="706"/>
      <c r="J30" s="703"/>
      <c r="N30" s="143"/>
      <c r="T30" s="1739"/>
      <c r="U30" s="1739"/>
      <c r="V30" s="1739"/>
      <c r="W30" s="1739"/>
      <c r="X30" s="1739"/>
      <c r="Y30" s="1739"/>
      <c r="Z30" s="1739"/>
      <c r="AA30" s="1739"/>
      <c r="AB30" s="1739"/>
    </row>
    <row r="31" spans="1:28" ht="15" customHeight="1">
      <c r="A31" s="8731"/>
      <c r="B31" s="1065">
        <v>1</v>
      </c>
      <c r="C31" s="1065"/>
      <c r="D31" s="714"/>
      <c r="E31" s="1733" t="str">
        <f>A30&amp;"."&amp;B31</f>
        <v>7.1</v>
      </c>
      <c r="F31" s="717" t="s">
        <v>123</v>
      </c>
      <c r="G31" s="707" t="s">
        <v>124</v>
      </c>
      <c r="H31" s="707" t="s">
        <v>124</v>
      </c>
      <c r="I31" s="705" t="s">
        <v>125</v>
      </c>
      <c r="K31" s="1556"/>
      <c r="L31" s="1556"/>
      <c r="M31" s="1544" t="str">
        <f t="array" ref="M31">IF(ISERROR(MATCH(MID(N31,1,250),MID(note_ter,1,250),0)),"n","y")</f>
        <v>n</v>
      </c>
      <c r="N31" s="1556"/>
      <c r="O31" s="1544" t="str">
        <f>H31&amp;"("&amp;I31&amp;")"</f>
        <v>Курский муниципальный округ(07533000)</v>
      </c>
      <c r="P31" s="1065"/>
      <c r="Q31" s="1065"/>
      <c r="R31" s="348"/>
      <c r="S31" s="1065"/>
      <c r="T31" s="1065"/>
      <c r="U31" s="1065"/>
      <c r="V31" s="350"/>
      <c r="W31" s="350"/>
      <c r="X31" s="347"/>
      <c r="Y31" s="347"/>
      <c r="Z31" s="347"/>
      <c r="AA31" s="347"/>
      <c r="AB31" s="347"/>
    </row>
    <row r="32" spans="1:28" ht="15" customHeight="1">
      <c r="A32" s="8731"/>
      <c r="B32" s="1065"/>
      <c r="C32" s="341"/>
      <c r="D32" s="715"/>
      <c r="E32" s="349"/>
      <c r="F32" s="95"/>
      <c r="G32" s="344" t="s">
        <v>98</v>
      </c>
      <c r="H32" s="105"/>
      <c r="I32" s="351"/>
      <c r="J32" s="1556"/>
      <c r="K32" s="1556"/>
      <c r="L32" s="1556"/>
      <c r="M32" s="1556"/>
      <c r="O32" s="1556"/>
      <c r="P32" s="1065"/>
      <c r="Q32" s="1065"/>
      <c r="R32" s="348"/>
      <c r="S32" s="1065"/>
      <c r="T32" s="1065"/>
      <c r="U32" s="1065"/>
      <c r="V32" s="350"/>
      <c r="W32" s="350"/>
      <c r="X32" s="347"/>
      <c r="Y32" s="347"/>
      <c r="Z32" s="347"/>
      <c r="AA32" s="347"/>
      <c r="AB32" s="347"/>
    </row>
    <row r="33" spans="1:28" ht="15" customHeight="1">
      <c r="A33" s="8731" t="s">
        <v>126</v>
      </c>
      <c r="B33" s="1065"/>
      <c r="C33" s="715" t="s">
        <v>100</v>
      </c>
      <c r="D33" s="1738"/>
      <c r="E33" s="1725" t="str">
        <f>A33</f>
        <v>8</v>
      </c>
      <c r="F33" s="718" t="s">
        <v>127</v>
      </c>
      <c r="G33" s="463" t="str">
        <f>"Территория "&amp;E33</f>
        <v>Территория 8</v>
      </c>
      <c r="H33" s="706"/>
      <c r="I33" s="706"/>
      <c r="J33" s="703"/>
      <c r="N33" s="143"/>
      <c r="T33" s="1739"/>
      <c r="U33" s="1739"/>
      <c r="V33" s="1739"/>
      <c r="W33" s="1739"/>
      <c r="X33" s="1739"/>
      <c r="Y33" s="1739"/>
      <c r="Z33" s="1739"/>
      <c r="AA33" s="1739"/>
      <c r="AB33" s="1739"/>
    </row>
    <row r="34" spans="1:28" ht="15" customHeight="1">
      <c r="A34" s="8731"/>
      <c r="B34" s="1065">
        <v>1</v>
      </c>
      <c r="C34" s="1065"/>
      <c r="D34" s="714"/>
      <c r="E34" s="1733" t="str">
        <f>A33&amp;"."&amp;B34</f>
        <v>8.1</v>
      </c>
      <c r="F34" s="717" t="s">
        <v>128</v>
      </c>
      <c r="G34" s="707" t="s">
        <v>129</v>
      </c>
      <c r="H34" s="707" t="s">
        <v>129</v>
      </c>
      <c r="I34" s="705" t="s">
        <v>130</v>
      </c>
      <c r="K34" s="1556"/>
      <c r="L34" s="1556"/>
      <c r="M34" s="1544" t="str">
        <f t="array" ref="M34">IF(ISERROR(MATCH(MID(N34,1,250),MID(note_ter,1,250),0)),"n","y")</f>
        <v>n</v>
      </c>
      <c r="N34" s="1556"/>
      <c r="O34" s="1544" t="str">
        <f>H34&amp;"("&amp;I34&amp;")"</f>
        <v>Новоселицкий муниципальный округ(07544000)</v>
      </c>
      <c r="P34" s="1065"/>
      <c r="Q34" s="1065"/>
      <c r="R34" s="348"/>
      <c r="S34" s="1065"/>
      <c r="T34" s="1065"/>
      <c r="U34" s="1065"/>
      <c r="V34" s="350"/>
      <c r="W34" s="350"/>
      <c r="X34" s="347"/>
      <c r="Y34" s="347"/>
      <c r="Z34" s="347"/>
      <c r="AA34" s="347"/>
      <c r="AB34" s="347"/>
    </row>
    <row r="35" spans="1:28" ht="15" customHeight="1">
      <c r="A35" s="8731"/>
      <c r="B35" s="1065"/>
      <c r="C35" s="341"/>
      <c r="D35" s="715"/>
      <c r="E35" s="349"/>
      <c r="F35" s="95"/>
      <c r="G35" s="344" t="s">
        <v>98</v>
      </c>
      <c r="H35" s="105"/>
      <c r="I35" s="351"/>
      <c r="J35" s="1556"/>
      <c r="K35" s="1556"/>
      <c r="L35" s="1556"/>
      <c r="M35" s="1556"/>
      <c r="O35" s="1556"/>
      <c r="P35" s="1065"/>
      <c r="Q35" s="1065"/>
      <c r="R35" s="348"/>
      <c r="S35" s="1065"/>
      <c r="T35" s="1065"/>
      <c r="U35" s="1065"/>
      <c r="V35" s="350"/>
      <c r="W35" s="350"/>
      <c r="X35" s="347"/>
      <c r="Y35" s="347"/>
      <c r="Z35" s="347"/>
      <c r="AA35" s="347"/>
      <c r="AB35" s="347"/>
    </row>
    <row r="36" spans="1:28" ht="15" customHeight="1">
      <c r="A36" s="8731" t="s">
        <v>131</v>
      </c>
      <c r="B36" s="1065"/>
      <c r="C36" s="715" t="s">
        <v>100</v>
      </c>
      <c r="D36" s="1738"/>
      <c r="E36" s="1725" t="str">
        <f>A36</f>
        <v>9</v>
      </c>
      <c r="F36" s="718" t="s">
        <v>132</v>
      </c>
      <c r="G36" s="463" t="str">
        <f>"Территория "&amp;E36</f>
        <v>Территория 9</v>
      </c>
      <c r="H36" s="706"/>
      <c r="I36" s="706"/>
      <c r="J36" s="703"/>
      <c r="N36" s="143"/>
      <c r="T36" s="1739"/>
      <c r="U36" s="1739"/>
      <c r="V36" s="1739"/>
      <c r="W36" s="1739"/>
      <c r="X36" s="1739"/>
      <c r="Y36" s="1739"/>
      <c r="Z36" s="1739"/>
      <c r="AA36" s="1739"/>
      <c r="AB36" s="1739"/>
    </row>
    <row r="37" spans="1:28" ht="15" customHeight="1">
      <c r="A37" s="8731"/>
      <c r="B37" s="1065">
        <v>1</v>
      </c>
      <c r="C37" s="1065"/>
      <c r="D37" s="714"/>
      <c r="E37" s="1733" t="str">
        <f>A36&amp;"."&amp;B37</f>
        <v>9.1</v>
      </c>
      <c r="F37" s="717" t="s">
        <v>133</v>
      </c>
      <c r="G37" s="707" t="s">
        <v>134</v>
      </c>
      <c r="H37" s="707" t="s">
        <v>134</v>
      </c>
      <c r="I37" s="705" t="s">
        <v>135</v>
      </c>
      <c r="K37" s="1556"/>
      <c r="L37" s="1556"/>
      <c r="M37" s="1544" t="str">
        <f t="array" ref="M37">IF(ISERROR(MATCH(MID(N37,1,250),MID(note_ter,1,250),0)),"n","y")</f>
        <v>n</v>
      </c>
      <c r="N37" s="1556"/>
      <c r="O37" s="1544" t="str">
        <f>H37&amp;"("&amp;I37&amp;")"</f>
        <v>Предгорный муниципальный округ(07548000)</v>
      </c>
      <c r="P37" s="1065"/>
      <c r="Q37" s="1065"/>
      <c r="R37" s="348"/>
      <c r="S37" s="1065"/>
      <c r="T37" s="1065"/>
      <c r="U37" s="1065"/>
      <c r="V37" s="350"/>
      <c r="W37" s="350"/>
      <c r="X37" s="347"/>
      <c r="Y37" s="347"/>
      <c r="Z37" s="347"/>
      <c r="AA37" s="347"/>
      <c r="AB37" s="347"/>
    </row>
    <row r="38" spans="1:28" ht="15" customHeight="1">
      <c r="A38" s="8731"/>
      <c r="B38" s="1065"/>
      <c r="C38" s="341"/>
      <c r="D38" s="715"/>
      <c r="E38" s="349"/>
      <c r="F38" s="95"/>
      <c r="G38" s="344" t="s">
        <v>98</v>
      </c>
      <c r="H38" s="105"/>
      <c r="I38" s="351"/>
      <c r="J38" s="1556"/>
      <c r="K38" s="1556"/>
      <c r="L38" s="1556"/>
      <c r="M38" s="1556"/>
      <c r="O38" s="1556"/>
      <c r="P38" s="1065"/>
      <c r="Q38" s="1065"/>
      <c r="R38" s="348"/>
      <c r="S38" s="1065"/>
      <c r="T38" s="1065"/>
      <c r="U38" s="1065"/>
      <c r="V38" s="350"/>
      <c r="W38" s="350"/>
      <c r="X38" s="347"/>
      <c r="Y38" s="347"/>
      <c r="Z38" s="347"/>
      <c r="AA38" s="347"/>
      <c r="AB38" s="347"/>
    </row>
    <row r="39" spans="1:28" ht="15" customHeight="1">
      <c r="A39" s="8731" t="s">
        <v>136</v>
      </c>
      <c r="B39" s="1065"/>
      <c r="C39" s="715" t="s">
        <v>100</v>
      </c>
      <c r="D39" s="1738"/>
      <c r="E39" s="1725" t="str">
        <f>A39</f>
        <v>10</v>
      </c>
      <c r="F39" s="718" t="s">
        <v>137</v>
      </c>
      <c r="G39" s="463" t="str">
        <f>"Территория "&amp;E39</f>
        <v>Территория 10</v>
      </c>
      <c r="H39" s="706"/>
      <c r="I39" s="706"/>
      <c r="J39" s="703"/>
      <c r="N39" s="143"/>
      <c r="T39" s="1739"/>
      <c r="U39" s="1739"/>
      <c r="V39" s="1739"/>
      <c r="W39" s="1739"/>
      <c r="X39" s="1739"/>
      <c r="Y39" s="1739"/>
      <c r="Z39" s="1739"/>
      <c r="AA39" s="1739"/>
      <c r="AB39" s="1739"/>
    </row>
    <row r="40" spans="1:28" ht="15" customHeight="1">
      <c r="A40" s="8731"/>
      <c r="B40" s="1065">
        <v>1</v>
      </c>
      <c r="C40" s="1065"/>
      <c r="D40" s="714"/>
      <c r="E40" s="1733" t="str">
        <f>A39&amp;"."&amp;B40</f>
        <v>10.1</v>
      </c>
      <c r="F40" s="717" t="s">
        <v>138</v>
      </c>
      <c r="G40" s="707" t="s">
        <v>139</v>
      </c>
      <c r="H40" s="707" t="s">
        <v>139</v>
      </c>
      <c r="I40" s="705" t="s">
        <v>140</v>
      </c>
      <c r="K40" s="1556"/>
      <c r="L40" s="1556"/>
      <c r="M40" s="1544" t="str">
        <f t="array" ref="M40">IF(ISERROR(MATCH(MID(N40,1,250),MID(note_ter,1,250),0)),"n","y")</f>
        <v>n</v>
      </c>
      <c r="N40" s="1556"/>
      <c r="O40" s="1544" t="str">
        <f>H40&amp;"("&amp;I40&amp;")"</f>
        <v>Степновский муниципальный округ(07552000)</v>
      </c>
      <c r="P40" s="1065"/>
      <c r="Q40" s="1065"/>
      <c r="R40" s="348"/>
      <c r="S40" s="1065"/>
      <c r="T40" s="1065"/>
      <c r="U40" s="1065"/>
      <c r="V40" s="350"/>
      <c r="W40" s="350"/>
      <c r="X40" s="347"/>
      <c r="Y40" s="347"/>
      <c r="Z40" s="347"/>
      <c r="AA40" s="347"/>
      <c r="AB40" s="347"/>
    </row>
    <row r="41" spans="1:28" ht="15" customHeight="1">
      <c r="A41" s="8731"/>
      <c r="B41" s="1065"/>
      <c r="C41" s="341"/>
      <c r="D41" s="715"/>
      <c r="E41" s="349"/>
      <c r="F41" s="95"/>
      <c r="G41" s="344" t="s">
        <v>98</v>
      </c>
      <c r="H41" s="105"/>
      <c r="I41" s="351"/>
      <c r="J41" s="1556"/>
      <c r="K41" s="1556"/>
      <c r="L41" s="1556"/>
      <c r="M41" s="1556"/>
      <c r="O41" s="1556"/>
      <c r="P41" s="1065"/>
      <c r="Q41" s="1065"/>
      <c r="R41" s="348"/>
      <c r="S41" s="1065"/>
      <c r="T41" s="1065"/>
      <c r="U41" s="1065"/>
      <c r="V41" s="350"/>
      <c r="W41" s="350"/>
      <c r="X41" s="347"/>
      <c r="Y41" s="347"/>
      <c r="Z41" s="347"/>
      <c r="AA41" s="347"/>
      <c r="AB41" s="347"/>
    </row>
    <row r="42" spans="1:28" ht="15" customHeight="1">
      <c r="A42" s="8731" t="s">
        <v>102</v>
      </c>
      <c r="B42" s="1065"/>
      <c r="C42" s="715" t="s">
        <v>100</v>
      </c>
      <c r="D42" s="1738"/>
      <c r="E42" s="1725" t="str">
        <f>A42</f>
        <v>11</v>
      </c>
      <c r="F42" s="718" t="s">
        <v>141</v>
      </c>
      <c r="G42" s="463" t="str">
        <f>"Территория "&amp;E42</f>
        <v>Территория 11</v>
      </c>
      <c r="H42" s="706"/>
      <c r="I42" s="706"/>
      <c r="J42" s="703"/>
      <c r="N42" s="143"/>
      <c r="T42" s="1739"/>
      <c r="U42" s="1739"/>
      <c r="V42" s="1739"/>
      <c r="W42" s="1739"/>
      <c r="X42" s="1739"/>
      <c r="Y42" s="1739"/>
      <c r="Z42" s="1739"/>
      <c r="AA42" s="1739"/>
      <c r="AB42" s="1739"/>
    </row>
    <row r="43" spans="1:28" ht="15" customHeight="1">
      <c r="A43" s="8731"/>
      <c r="B43" s="1065">
        <v>1</v>
      </c>
      <c r="C43" s="1065"/>
      <c r="D43" s="714"/>
      <c r="E43" s="1733" t="str">
        <f>A42&amp;"."&amp;B43</f>
        <v>11.1</v>
      </c>
      <c r="F43" s="717" t="s">
        <v>142</v>
      </c>
      <c r="G43" s="707" t="s">
        <v>143</v>
      </c>
      <c r="H43" s="707" t="s">
        <v>143</v>
      </c>
      <c r="I43" s="705" t="s">
        <v>144</v>
      </c>
      <c r="K43" s="1556"/>
      <c r="L43" s="1556"/>
      <c r="M43" s="1544" t="str">
        <f t="array" ref="M43">IF(ISERROR(MATCH(MID(N43,1,250),MID(note_ter,1,250),0)),"n","y")</f>
        <v>n</v>
      </c>
      <c r="N43" s="1556"/>
      <c r="O43" s="1544" t="str">
        <f>H43&amp;"("&amp;I43&amp;")"</f>
        <v>Труновский муниципальный округ(07554000)</v>
      </c>
      <c r="P43" s="1065"/>
      <c r="Q43" s="1065"/>
      <c r="R43" s="348"/>
      <c r="S43" s="1065"/>
      <c r="T43" s="1065"/>
      <c r="U43" s="1065"/>
      <c r="V43" s="350"/>
      <c r="W43" s="350"/>
      <c r="X43" s="347"/>
      <c r="Y43" s="347"/>
      <c r="Z43" s="347"/>
      <c r="AA43" s="347"/>
      <c r="AB43" s="347"/>
    </row>
    <row r="44" spans="1:28" ht="15" customHeight="1">
      <c r="A44" s="8731"/>
      <c r="B44" s="1065"/>
      <c r="C44" s="341"/>
      <c r="D44" s="715"/>
      <c r="E44" s="349"/>
      <c r="F44" s="95"/>
      <c r="G44" s="344" t="s">
        <v>98</v>
      </c>
      <c r="H44" s="105"/>
      <c r="I44" s="351"/>
      <c r="J44" s="1556"/>
      <c r="K44" s="1556"/>
      <c r="L44" s="1556"/>
      <c r="M44" s="1556"/>
      <c r="O44" s="1556"/>
      <c r="P44" s="1065"/>
      <c r="Q44" s="1065"/>
      <c r="R44" s="348"/>
      <c r="S44" s="1065"/>
      <c r="T44" s="1065"/>
      <c r="U44" s="1065"/>
      <c r="V44" s="350"/>
      <c r="W44" s="350"/>
      <c r="X44" s="347"/>
      <c r="Y44" s="347"/>
      <c r="Z44" s="347"/>
      <c r="AA44" s="347"/>
      <c r="AB44" s="347"/>
    </row>
    <row r="45" spans="1:28" ht="15" customHeight="1">
      <c r="A45" s="8731" t="s">
        <v>145</v>
      </c>
      <c r="B45" s="1065"/>
      <c r="C45" s="715" t="s">
        <v>100</v>
      </c>
      <c r="D45" s="1738"/>
      <c r="E45" s="1725" t="str">
        <f>A45</f>
        <v>12</v>
      </c>
      <c r="F45" s="718" t="s">
        <v>146</v>
      </c>
      <c r="G45" s="463" t="str">
        <f>"Территория "&amp;E45</f>
        <v>Территория 12</v>
      </c>
      <c r="H45" s="706"/>
      <c r="I45" s="706"/>
      <c r="J45" s="703"/>
      <c r="N45" s="143"/>
      <c r="T45" s="1739"/>
      <c r="U45" s="1739"/>
      <c r="V45" s="1739"/>
      <c r="W45" s="1739"/>
      <c r="X45" s="1739"/>
      <c r="Y45" s="1739"/>
      <c r="Z45" s="1739"/>
      <c r="AA45" s="1739"/>
      <c r="AB45" s="1739"/>
    </row>
    <row r="46" spans="1:28" ht="15" customHeight="1">
      <c r="A46" s="8731"/>
      <c r="B46" s="1065">
        <v>1</v>
      </c>
      <c r="C46" s="1065"/>
      <c r="D46" s="714"/>
      <c r="E46" s="1733" t="str">
        <f>A45&amp;"."&amp;B46</f>
        <v>12.1</v>
      </c>
      <c r="F46" s="717" t="s">
        <v>147</v>
      </c>
      <c r="G46" s="707" t="s">
        <v>148</v>
      </c>
      <c r="H46" s="707" t="s">
        <v>148</v>
      </c>
      <c r="I46" s="705" t="s">
        <v>149</v>
      </c>
      <c r="K46" s="1556"/>
      <c r="L46" s="1556"/>
      <c r="M46" s="1544" t="str">
        <f t="array" ref="M46">IF(ISERROR(MATCH(MID(N46,1,250),MID(note_ter,1,250),0)),"n","y")</f>
        <v>n</v>
      </c>
      <c r="N46" s="1556"/>
      <c r="O46" s="1544" t="str">
        <f>H46&amp;"("&amp;I46&amp;")"</f>
        <v>Шпаковский муниципальный округ(07558000)</v>
      </c>
      <c r="P46" s="1065"/>
      <c r="Q46" s="1065"/>
      <c r="R46" s="348"/>
      <c r="S46" s="1065"/>
      <c r="T46" s="1065"/>
      <c r="U46" s="1065"/>
      <c r="V46" s="350"/>
      <c r="W46" s="350"/>
      <c r="X46" s="347"/>
      <c r="Y46" s="347"/>
      <c r="Z46" s="347"/>
      <c r="AA46" s="347"/>
      <c r="AB46" s="347"/>
    </row>
    <row r="47" spans="1:28" ht="15" customHeight="1">
      <c r="A47" s="8731"/>
      <c r="B47" s="1065"/>
      <c r="C47" s="341"/>
      <c r="D47" s="715"/>
      <c r="E47" s="349"/>
      <c r="F47" s="95"/>
      <c r="G47" s="344" t="s">
        <v>98</v>
      </c>
      <c r="H47" s="105"/>
      <c r="I47" s="351"/>
      <c r="J47" s="1556"/>
      <c r="K47" s="1556"/>
      <c r="L47" s="1556"/>
      <c r="M47" s="1556"/>
      <c r="O47" s="1556"/>
      <c r="P47" s="1065"/>
      <c r="Q47" s="1065"/>
      <c r="R47" s="348"/>
      <c r="S47" s="1065"/>
      <c r="T47" s="1065"/>
      <c r="U47" s="1065"/>
      <c r="V47" s="350"/>
      <c r="W47" s="350"/>
      <c r="X47" s="347"/>
      <c r="Y47" s="347"/>
      <c r="Z47" s="347"/>
      <c r="AA47" s="347"/>
      <c r="AB47" s="347"/>
    </row>
    <row r="48" spans="1:28" ht="15" customHeight="1">
      <c r="A48" s="8731" t="s">
        <v>150</v>
      </c>
      <c r="B48" s="1065"/>
      <c r="C48" s="715" t="s">
        <v>100</v>
      </c>
      <c r="D48" s="1738"/>
      <c r="E48" s="1725" t="str">
        <f>A48</f>
        <v>13</v>
      </c>
      <c r="F48" s="718" t="s">
        <v>151</v>
      </c>
      <c r="G48" s="463" t="str">
        <f>"Территория "&amp;E48</f>
        <v>Территория 13</v>
      </c>
      <c r="H48" s="706"/>
      <c r="I48" s="706"/>
      <c r="J48" s="703"/>
      <c r="N48" s="143"/>
      <c r="T48" s="1739"/>
      <c r="U48" s="1739"/>
      <c r="V48" s="1739"/>
      <c r="W48" s="1739"/>
      <c r="X48" s="1739"/>
      <c r="Y48" s="1739"/>
      <c r="Z48" s="1739"/>
      <c r="AA48" s="1739"/>
      <c r="AB48" s="1739"/>
    </row>
    <row r="49" spans="1:28" ht="15" customHeight="1">
      <c r="A49" s="8731"/>
      <c r="B49" s="1065">
        <v>1</v>
      </c>
      <c r="C49" s="1065"/>
      <c r="D49" s="714"/>
      <c r="E49" s="1733" t="str">
        <f>A48&amp;"."&amp;B49</f>
        <v>13.1</v>
      </c>
      <c r="F49" s="717" t="s">
        <v>152</v>
      </c>
      <c r="G49" s="707" t="s">
        <v>153</v>
      </c>
      <c r="H49" s="707" t="s">
        <v>153</v>
      </c>
      <c r="I49" s="705" t="s">
        <v>154</v>
      </c>
      <c r="K49" s="1556"/>
      <c r="L49" s="1556"/>
      <c r="M49" s="1544" t="str">
        <f t="array" ref="M49">IF(ISERROR(MATCH(MID(N49,1,250),MID(note_ter,1,250),0)),"n","y")</f>
        <v>n</v>
      </c>
      <c r="N49" s="1556"/>
      <c r="O49" s="1544" t="str">
        <f>H49&amp;"("&amp;I49&amp;")"</f>
        <v>Георгиевский(07707000)</v>
      </c>
      <c r="P49" s="1065"/>
      <c r="Q49" s="1065"/>
      <c r="R49" s="348"/>
      <c r="S49" s="1065"/>
      <c r="T49" s="1065"/>
      <c r="U49" s="1065"/>
      <c r="V49" s="350"/>
      <c r="W49" s="350"/>
      <c r="X49" s="347"/>
      <c r="Y49" s="347"/>
      <c r="Z49" s="347"/>
      <c r="AA49" s="347"/>
      <c r="AB49" s="347"/>
    </row>
    <row r="50" spans="1:28" ht="15" customHeight="1">
      <c r="A50" s="8731"/>
      <c r="B50" s="1065"/>
      <c r="C50" s="341"/>
      <c r="D50" s="715"/>
      <c r="E50" s="349"/>
      <c r="F50" s="95"/>
      <c r="G50" s="344" t="s">
        <v>98</v>
      </c>
      <c r="H50" s="105"/>
      <c r="I50" s="351"/>
      <c r="J50" s="1556"/>
      <c r="K50" s="1556"/>
      <c r="L50" s="1556"/>
      <c r="M50" s="1556"/>
      <c r="O50" s="1556"/>
      <c r="P50" s="1065"/>
      <c r="Q50" s="1065"/>
      <c r="R50" s="348"/>
      <c r="S50" s="1065"/>
      <c r="T50" s="1065"/>
      <c r="U50" s="1065"/>
      <c r="V50" s="350"/>
      <c r="W50" s="350"/>
      <c r="X50" s="347"/>
      <c r="Y50" s="347"/>
      <c r="Z50" s="347"/>
      <c r="AA50" s="347"/>
      <c r="AB50" s="347"/>
    </row>
    <row r="51" spans="1:28" ht="15" customHeight="1">
      <c r="A51" s="8731" t="s">
        <v>155</v>
      </c>
      <c r="B51" s="1065"/>
      <c r="C51" s="715" t="s">
        <v>100</v>
      </c>
      <c r="D51" s="1738"/>
      <c r="E51" s="1725" t="str">
        <f>A51</f>
        <v>14</v>
      </c>
      <c r="F51" s="718" t="s">
        <v>156</v>
      </c>
      <c r="G51" s="463" t="str">
        <f>"Территория "&amp;E51</f>
        <v>Территория 14</v>
      </c>
      <c r="H51" s="706"/>
      <c r="I51" s="706"/>
      <c r="J51" s="703"/>
      <c r="N51" s="143"/>
      <c r="T51" s="1739"/>
      <c r="U51" s="1739"/>
      <c r="V51" s="1739"/>
      <c r="W51" s="1739"/>
      <c r="X51" s="1739"/>
      <c r="Y51" s="1739"/>
      <c r="Z51" s="1739"/>
      <c r="AA51" s="1739"/>
      <c r="AB51" s="1739"/>
    </row>
    <row r="52" spans="1:28" ht="15" customHeight="1">
      <c r="A52" s="8731"/>
      <c r="B52" s="1065">
        <v>1</v>
      </c>
      <c r="C52" s="1065"/>
      <c r="D52" s="714"/>
      <c r="E52" s="1733" t="str">
        <f>A51&amp;"."&amp;B52</f>
        <v>14.1</v>
      </c>
      <c r="F52" s="717" t="s">
        <v>157</v>
      </c>
      <c r="G52" s="707" t="s">
        <v>158</v>
      </c>
      <c r="H52" s="707" t="s">
        <v>158</v>
      </c>
      <c r="I52" s="705" t="s">
        <v>159</v>
      </c>
      <c r="K52" s="1556"/>
      <c r="L52" s="1556"/>
      <c r="M52" s="1544" t="str">
        <f t="array" ref="M52">IF(ISERROR(MATCH(MID(N52,1,250),MID(note_ter,1,250),0)),"n","y")</f>
        <v>n</v>
      </c>
      <c r="N52" s="1556"/>
      <c r="O52" s="1544" t="str">
        <f>H52&amp;"("&amp;I52&amp;")"</f>
        <v>Изобильненский(07713000)</v>
      </c>
      <c r="P52" s="1065"/>
      <c r="Q52" s="1065"/>
      <c r="R52" s="348"/>
      <c r="S52" s="1065"/>
      <c r="T52" s="1065"/>
      <c r="U52" s="1065"/>
      <c r="V52" s="350"/>
      <c r="W52" s="350"/>
      <c r="X52" s="347"/>
      <c r="Y52" s="347"/>
      <c r="Z52" s="347"/>
      <c r="AA52" s="347"/>
      <c r="AB52" s="347"/>
    </row>
    <row r="53" spans="1:28" ht="15" customHeight="1">
      <c r="A53" s="8731"/>
      <c r="B53" s="1065"/>
      <c r="C53" s="341"/>
      <c r="D53" s="715"/>
      <c r="E53" s="349"/>
      <c r="F53" s="95"/>
      <c r="G53" s="344" t="s">
        <v>98</v>
      </c>
      <c r="H53" s="105"/>
      <c r="I53" s="351"/>
      <c r="J53" s="1556"/>
      <c r="K53" s="1556"/>
      <c r="L53" s="1556"/>
      <c r="M53" s="1556"/>
      <c r="O53" s="1556"/>
      <c r="P53" s="1065"/>
      <c r="Q53" s="1065"/>
      <c r="R53" s="348"/>
      <c r="S53" s="1065"/>
      <c r="T53" s="1065"/>
      <c r="U53" s="1065"/>
      <c r="V53" s="350"/>
      <c r="W53" s="350"/>
      <c r="X53" s="347"/>
      <c r="Y53" s="347"/>
      <c r="Z53" s="347"/>
      <c r="AA53" s="347"/>
      <c r="AB53" s="347"/>
    </row>
    <row r="54" spans="1:28" ht="15" customHeight="1">
      <c r="A54" s="8731" t="s">
        <v>160</v>
      </c>
      <c r="B54" s="1065"/>
      <c r="C54" s="715" t="s">
        <v>100</v>
      </c>
      <c r="D54" s="1738"/>
      <c r="E54" s="1725" t="str">
        <f>A54</f>
        <v>15</v>
      </c>
      <c r="F54" s="718" t="s">
        <v>161</v>
      </c>
      <c r="G54" s="463" t="str">
        <f>"Территория "&amp;E54</f>
        <v>Территория 15</v>
      </c>
      <c r="H54" s="706"/>
      <c r="I54" s="706"/>
      <c r="J54" s="703"/>
      <c r="N54" s="143"/>
      <c r="T54" s="1739"/>
      <c r="U54" s="1739"/>
      <c r="V54" s="1739"/>
      <c r="W54" s="1739"/>
      <c r="X54" s="1739"/>
      <c r="Y54" s="1739"/>
      <c r="Z54" s="1739"/>
      <c r="AA54" s="1739"/>
      <c r="AB54" s="1739"/>
    </row>
    <row r="55" spans="1:28" ht="15" customHeight="1">
      <c r="A55" s="8731"/>
      <c r="B55" s="1065">
        <v>1</v>
      </c>
      <c r="C55" s="1065"/>
      <c r="D55" s="714"/>
      <c r="E55" s="1733" t="str">
        <f>A54&amp;"."&amp;B55</f>
        <v>15.1</v>
      </c>
      <c r="F55" s="717" t="s">
        <v>162</v>
      </c>
      <c r="G55" s="707" t="s">
        <v>163</v>
      </c>
      <c r="H55" s="707" t="s">
        <v>163</v>
      </c>
      <c r="I55" s="705" t="s">
        <v>164</v>
      </c>
      <c r="K55" s="1556"/>
      <c r="L55" s="1556"/>
      <c r="M55" s="1544" t="str">
        <f t="array" ref="M55">IF(ISERROR(MATCH(MID(N55,1,250),MID(note_ter,1,250),0)),"n","y")</f>
        <v>n</v>
      </c>
      <c r="N55" s="1556"/>
      <c r="O55" s="1544" t="str">
        <f>H55&amp;"("&amp;I55&amp;")"</f>
        <v>Ипатовский(07714000)</v>
      </c>
      <c r="P55" s="1065"/>
      <c r="Q55" s="1065"/>
      <c r="R55" s="348"/>
      <c r="S55" s="1065"/>
      <c r="T55" s="1065"/>
      <c r="U55" s="1065"/>
      <c r="V55" s="350"/>
      <c r="W55" s="350"/>
      <c r="X55" s="347"/>
      <c r="Y55" s="347"/>
      <c r="Z55" s="347"/>
      <c r="AA55" s="347"/>
      <c r="AB55" s="347"/>
    </row>
    <row r="56" spans="1:28" ht="15" customHeight="1">
      <c r="A56" s="8731"/>
      <c r="B56" s="1065"/>
      <c r="C56" s="341"/>
      <c r="D56" s="715"/>
      <c r="E56" s="349"/>
      <c r="F56" s="95"/>
      <c r="G56" s="344" t="s">
        <v>98</v>
      </c>
      <c r="H56" s="105"/>
      <c r="I56" s="351"/>
      <c r="J56" s="1556"/>
      <c r="K56" s="1556"/>
      <c r="L56" s="1556"/>
      <c r="M56" s="1556"/>
      <c r="O56" s="1556"/>
      <c r="P56" s="1065"/>
      <c r="Q56" s="1065"/>
      <c r="R56" s="348"/>
      <c r="S56" s="1065"/>
      <c r="T56" s="1065"/>
      <c r="U56" s="1065"/>
      <c r="V56" s="350"/>
      <c r="W56" s="350"/>
      <c r="X56" s="347"/>
      <c r="Y56" s="347"/>
      <c r="Z56" s="347"/>
      <c r="AA56" s="347"/>
      <c r="AB56" s="347"/>
    </row>
    <row r="57" spans="1:28" ht="15" customHeight="1">
      <c r="A57" s="8731" t="s">
        <v>165</v>
      </c>
      <c r="B57" s="1065"/>
      <c r="C57" s="715" t="s">
        <v>100</v>
      </c>
      <c r="D57" s="1738"/>
      <c r="E57" s="1725" t="str">
        <f>A57</f>
        <v>16</v>
      </c>
      <c r="F57" s="718" t="s">
        <v>166</v>
      </c>
      <c r="G57" s="463" t="str">
        <f>"Территория "&amp;E57</f>
        <v>Территория 16</v>
      </c>
      <c r="H57" s="706"/>
      <c r="I57" s="706"/>
      <c r="J57" s="703"/>
      <c r="N57" s="143"/>
      <c r="T57" s="1739"/>
      <c r="U57" s="1739"/>
      <c r="V57" s="1739"/>
      <c r="W57" s="1739"/>
      <c r="X57" s="1739"/>
      <c r="Y57" s="1739"/>
      <c r="Z57" s="1739"/>
      <c r="AA57" s="1739"/>
      <c r="AB57" s="1739"/>
    </row>
    <row r="58" spans="1:28" ht="15" customHeight="1">
      <c r="A58" s="8731"/>
      <c r="B58" s="1065">
        <v>1</v>
      </c>
      <c r="C58" s="1065"/>
      <c r="D58" s="714"/>
      <c r="E58" s="1733" t="str">
        <f>A57&amp;"."&amp;B58</f>
        <v>16.1</v>
      </c>
      <c r="F58" s="717" t="s">
        <v>167</v>
      </c>
      <c r="G58" s="707" t="s">
        <v>168</v>
      </c>
      <c r="H58" s="707" t="s">
        <v>168</v>
      </c>
      <c r="I58" s="705" t="s">
        <v>169</v>
      </c>
      <c r="K58" s="1556"/>
      <c r="L58" s="1556"/>
      <c r="M58" s="1544" t="str">
        <f t="array" ref="M58">IF(ISERROR(MATCH(MID(N58,1,250),MID(note_ter,1,250),0)),"n","y")</f>
        <v>n</v>
      </c>
      <c r="N58" s="1556"/>
      <c r="O58" s="1544" t="str">
        <f>H58&amp;"("&amp;I58&amp;")"</f>
        <v>Кировский(07716000)</v>
      </c>
      <c r="P58" s="1065"/>
      <c r="Q58" s="1065"/>
      <c r="R58" s="348"/>
      <c r="S58" s="1065"/>
      <c r="T58" s="1065"/>
      <c r="U58" s="1065"/>
      <c r="V58" s="350"/>
      <c r="W58" s="350"/>
      <c r="X58" s="347"/>
      <c r="Y58" s="347"/>
      <c r="Z58" s="347"/>
      <c r="AA58" s="347"/>
      <c r="AB58" s="347"/>
    </row>
    <row r="59" spans="1:28" ht="15" customHeight="1">
      <c r="A59" s="8731"/>
      <c r="B59" s="1065"/>
      <c r="C59" s="341"/>
      <c r="D59" s="715"/>
      <c r="E59" s="349"/>
      <c r="F59" s="95"/>
      <c r="G59" s="344" t="s">
        <v>98</v>
      </c>
      <c r="H59" s="105"/>
      <c r="I59" s="351"/>
      <c r="J59" s="1556"/>
      <c r="K59" s="1556"/>
      <c r="L59" s="1556"/>
      <c r="M59" s="1556"/>
      <c r="O59" s="1556"/>
      <c r="P59" s="1065"/>
      <c r="Q59" s="1065"/>
      <c r="R59" s="348"/>
      <c r="S59" s="1065"/>
      <c r="T59" s="1065"/>
      <c r="U59" s="1065"/>
      <c r="V59" s="350"/>
      <c r="W59" s="350"/>
      <c r="X59" s="347"/>
      <c r="Y59" s="347"/>
      <c r="Z59" s="347"/>
      <c r="AA59" s="347"/>
      <c r="AB59" s="347"/>
    </row>
    <row r="60" spans="1:28" ht="15" customHeight="1">
      <c r="A60" s="8731" t="s">
        <v>170</v>
      </c>
      <c r="B60" s="1065"/>
      <c r="C60" s="715" t="s">
        <v>100</v>
      </c>
      <c r="D60" s="1738"/>
      <c r="E60" s="1725" t="str">
        <f>A60</f>
        <v>17</v>
      </c>
      <c r="F60" s="718" t="s">
        <v>171</v>
      </c>
      <c r="G60" s="463" t="str">
        <f>"Территория "&amp;E60</f>
        <v>Территория 17</v>
      </c>
      <c r="H60" s="706"/>
      <c r="I60" s="706"/>
      <c r="J60" s="703"/>
      <c r="N60" s="143"/>
      <c r="T60" s="1739"/>
      <c r="U60" s="1739"/>
      <c r="V60" s="1739"/>
      <c r="W60" s="1739"/>
      <c r="X60" s="1739"/>
      <c r="Y60" s="1739"/>
      <c r="Z60" s="1739"/>
      <c r="AA60" s="1739"/>
      <c r="AB60" s="1739"/>
    </row>
    <row r="61" spans="1:28" ht="15" customHeight="1">
      <c r="A61" s="8731"/>
      <c r="B61" s="1065">
        <v>1</v>
      </c>
      <c r="C61" s="1065"/>
      <c r="D61" s="714"/>
      <c r="E61" s="1733" t="str">
        <f>A60&amp;"."&amp;B61</f>
        <v>17.1</v>
      </c>
      <c r="F61" s="717" t="s">
        <v>172</v>
      </c>
      <c r="G61" s="707" t="s">
        <v>173</v>
      </c>
      <c r="H61" s="707" t="s">
        <v>173</v>
      </c>
      <c r="I61" s="705" t="s">
        <v>174</v>
      </c>
      <c r="K61" s="1556"/>
      <c r="L61" s="1556"/>
      <c r="M61" s="1544" t="str">
        <f t="array" ref="M61">IF(ISERROR(MATCH(MID(N61,1,250),MID(note_ter,1,250),0)),"n","y")</f>
        <v>n</v>
      </c>
      <c r="N61" s="1556"/>
      <c r="O61" s="1544" t="str">
        <f>H61&amp;"("&amp;I61&amp;")"</f>
        <v>Город-курорт Кисловодск(07715000)</v>
      </c>
      <c r="P61" s="1065"/>
      <c r="Q61" s="1065"/>
      <c r="R61" s="348"/>
      <c r="S61" s="1065"/>
      <c r="T61" s="1065"/>
      <c r="U61" s="1065"/>
      <c r="V61" s="350"/>
      <c r="W61" s="350"/>
      <c r="X61" s="347"/>
      <c r="Y61" s="347"/>
      <c r="Z61" s="347"/>
      <c r="AA61" s="347"/>
      <c r="AB61" s="347"/>
    </row>
    <row r="62" spans="1:28" ht="15" customHeight="1">
      <c r="A62" s="8731"/>
      <c r="B62" s="1065"/>
      <c r="C62" s="341"/>
      <c r="D62" s="715"/>
      <c r="E62" s="349"/>
      <c r="F62" s="95"/>
      <c r="G62" s="344" t="s">
        <v>98</v>
      </c>
      <c r="H62" s="105"/>
      <c r="I62" s="351"/>
      <c r="J62" s="1556"/>
      <c r="K62" s="1556"/>
      <c r="L62" s="1556"/>
      <c r="M62" s="1556"/>
      <c r="O62" s="1556"/>
      <c r="P62" s="1065"/>
      <c r="Q62" s="1065"/>
      <c r="R62" s="348"/>
      <c r="S62" s="1065"/>
      <c r="T62" s="1065"/>
      <c r="U62" s="1065"/>
      <c r="V62" s="350"/>
      <c r="W62" s="350"/>
      <c r="X62" s="347"/>
      <c r="Y62" s="347"/>
      <c r="Z62" s="347"/>
      <c r="AA62" s="347"/>
      <c r="AB62" s="347"/>
    </row>
    <row r="63" spans="1:28" ht="15" customHeight="1">
      <c r="A63" s="8731" t="s">
        <v>175</v>
      </c>
      <c r="B63" s="1065"/>
      <c r="C63" s="715" t="s">
        <v>100</v>
      </c>
      <c r="D63" s="1738"/>
      <c r="E63" s="1725" t="str">
        <f>A63</f>
        <v>18</v>
      </c>
      <c r="F63" s="718" t="s">
        <v>176</v>
      </c>
      <c r="G63" s="463" t="str">
        <f>"Территория "&amp;E63</f>
        <v>Территория 18</v>
      </c>
      <c r="H63" s="706"/>
      <c r="I63" s="706"/>
      <c r="J63" s="703"/>
      <c r="N63" s="143"/>
      <c r="T63" s="1739"/>
      <c r="U63" s="1739"/>
      <c r="V63" s="1739"/>
      <c r="W63" s="1739"/>
      <c r="X63" s="1739"/>
      <c r="Y63" s="1739"/>
      <c r="Z63" s="1739"/>
      <c r="AA63" s="1739"/>
      <c r="AB63" s="1739"/>
    </row>
    <row r="64" spans="1:28" ht="15" customHeight="1">
      <c r="A64" s="8731"/>
      <c r="B64" s="1065">
        <v>1</v>
      </c>
      <c r="C64" s="1065"/>
      <c r="D64" s="714"/>
      <c r="E64" s="1733" t="str">
        <f>A63&amp;"."&amp;B64</f>
        <v>18.1</v>
      </c>
      <c r="F64" s="717" t="s">
        <v>177</v>
      </c>
      <c r="G64" s="707" t="s">
        <v>178</v>
      </c>
      <c r="H64" s="707" t="s">
        <v>178</v>
      </c>
      <c r="I64" s="705" t="s">
        <v>179</v>
      </c>
      <c r="K64" s="1556"/>
      <c r="L64" s="1556"/>
      <c r="M64" s="1544" t="str">
        <f t="array" ref="M64">IF(ISERROR(MATCH(MID(N64,1,250),MID(note_ter,1,250),0)),"n","y")</f>
        <v>n</v>
      </c>
      <c r="N64" s="1556"/>
      <c r="O64" s="1544" t="str">
        <f>H64&amp;"("&amp;I64&amp;")"</f>
        <v>Нефтекумский(07725000)</v>
      </c>
      <c r="P64" s="1065"/>
      <c r="Q64" s="1065"/>
      <c r="R64" s="348"/>
      <c r="S64" s="1065"/>
      <c r="T64" s="1065"/>
      <c r="U64" s="1065"/>
      <c r="V64" s="350"/>
      <c r="W64" s="350"/>
      <c r="X64" s="347"/>
      <c r="Y64" s="347"/>
      <c r="Z64" s="347"/>
      <c r="AA64" s="347"/>
      <c r="AB64" s="347"/>
    </row>
    <row r="65" spans="1:28" ht="15" customHeight="1">
      <c r="A65" s="8731"/>
      <c r="B65" s="1065"/>
      <c r="C65" s="341"/>
      <c r="D65" s="715"/>
      <c r="E65" s="349"/>
      <c r="F65" s="95"/>
      <c r="G65" s="344" t="s">
        <v>98</v>
      </c>
      <c r="H65" s="105"/>
      <c r="I65" s="351"/>
      <c r="J65" s="1556"/>
      <c r="K65" s="1556"/>
      <c r="L65" s="1556"/>
      <c r="M65" s="1556"/>
      <c r="O65" s="1556"/>
      <c r="P65" s="1065"/>
      <c r="Q65" s="1065"/>
      <c r="R65" s="348"/>
      <c r="S65" s="1065"/>
      <c r="T65" s="1065"/>
      <c r="U65" s="1065"/>
      <c r="V65" s="350"/>
      <c r="W65" s="350"/>
      <c r="X65" s="347"/>
      <c r="Y65" s="347"/>
      <c r="Z65" s="347"/>
      <c r="AA65" s="347"/>
      <c r="AB65" s="347"/>
    </row>
    <row r="66" spans="1:28" ht="15" customHeight="1">
      <c r="A66" s="8731" t="s">
        <v>180</v>
      </c>
      <c r="B66" s="1065"/>
      <c r="C66" s="715" t="s">
        <v>100</v>
      </c>
      <c r="D66" s="1738"/>
      <c r="E66" s="1725" t="str">
        <f>A66</f>
        <v>19</v>
      </c>
      <c r="F66" s="718" t="s">
        <v>181</v>
      </c>
      <c r="G66" s="463" t="str">
        <f>"Территория "&amp;E66</f>
        <v>Территория 19</v>
      </c>
      <c r="H66" s="706"/>
      <c r="I66" s="706"/>
      <c r="J66" s="703"/>
      <c r="N66" s="143"/>
      <c r="T66" s="1739"/>
      <c r="U66" s="1739"/>
      <c r="V66" s="1739"/>
      <c r="W66" s="1739"/>
      <c r="X66" s="1739"/>
      <c r="Y66" s="1739"/>
      <c r="Z66" s="1739"/>
      <c r="AA66" s="1739"/>
      <c r="AB66" s="1739"/>
    </row>
    <row r="67" spans="1:28" ht="15" customHeight="1">
      <c r="A67" s="8731"/>
      <c r="B67" s="1065">
        <v>1</v>
      </c>
      <c r="C67" s="1065"/>
      <c r="D67" s="714"/>
      <c r="E67" s="1733" t="str">
        <f>A66&amp;"."&amp;B67</f>
        <v>19.1</v>
      </c>
      <c r="F67" s="717" t="s">
        <v>182</v>
      </c>
      <c r="G67" s="707" t="s">
        <v>183</v>
      </c>
      <c r="H67" s="707" t="s">
        <v>183</v>
      </c>
      <c r="I67" s="705" t="s">
        <v>184</v>
      </c>
      <c r="K67" s="1556"/>
      <c r="L67" s="1556"/>
      <c r="M67" s="1544" t="str">
        <f t="array" ref="M67">IF(ISERROR(MATCH(MID(N67,1,250),MID(note_ter,1,250),0)),"n","y")</f>
        <v>n</v>
      </c>
      <c r="N67" s="1556"/>
      <c r="O67" s="1544" t="str">
        <f>H67&amp;"("&amp;I67&amp;")"</f>
        <v>Новоалександровский(07726000)</v>
      </c>
      <c r="P67" s="1065"/>
      <c r="Q67" s="1065"/>
      <c r="R67" s="348"/>
      <c r="S67" s="1065"/>
      <c r="T67" s="1065"/>
      <c r="U67" s="1065"/>
      <c r="V67" s="350"/>
      <c r="W67" s="350"/>
      <c r="X67" s="347"/>
      <c r="Y67" s="347"/>
      <c r="Z67" s="347"/>
      <c r="AA67" s="347"/>
      <c r="AB67" s="347"/>
    </row>
    <row r="68" spans="1:28" ht="15" customHeight="1">
      <c r="A68" s="8731"/>
      <c r="B68" s="1065"/>
      <c r="C68" s="341"/>
      <c r="D68" s="715"/>
      <c r="E68" s="349"/>
      <c r="F68" s="95"/>
      <c r="G68" s="344" t="s">
        <v>98</v>
      </c>
      <c r="H68" s="105"/>
      <c r="I68" s="351"/>
      <c r="J68" s="1556"/>
      <c r="K68" s="1556"/>
      <c r="L68" s="1556"/>
      <c r="M68" s="1556"/>
      <c r="O68" s="1556"/>
      <c r="P68" s="1065"/>
      <c r="Q68" s="1065"/>
      <c r="R68" s="348"/>
      <c r="S68" s="1065"/>
      <c r="T68" s="1065"/>
      <c r="U68" s="1065"/>
      <c r="V68" s="350"/>
      <c r="W68" s="350"/>
      <c r="X68" s="347"/>
      <c r="Y68" s="347"/>
      <c r="Z68" s="347"/>
      <c r="AA68" s="347"/>
      <c r="AB68" s="347"/>
    </row>
    <row r="69" spans="1:28" ht="15" customHeight="1">
      <c r="A69" s="8731" t="s">
        <v>185</v>
      </c>
      <c r="B69" s="1065"/>
      <c r="C69" s="715" t="s">
        <v>100</v>
      </c>
      <c r="D69" s="1738"/>
      <c r="E69" s="1725" t="str">
        <f>A69</f>
        <v>20</v>
      </c>
      <c r="F69" s="718" t="s">
        <v>186</v>
      </c>
      <c r="G69" s="463" t="str">
        <f>"Территория "&amp;E69</f>
        <v>Территория 20</v>
      </c>
      <c r="H69" s="706"/>
      <c r="I69" s="706"/>
      <c r="J69" s="703"/>
      <c r="N69" s="143"/>
      <c r="T69" s="1739"/>
      <c r="U69" s="1739"/>
      <c r="V69" s="1739"/>
      <c r="W69" s="1739"/>
      <c r="X69" s="1739"/>
      <c r="Y69" s="1739"/>
      <c r="Z69" s="1739"/>
      <c r="AA69" s="1739"/>
      <c r="AB69" s="1739"/>
    </row>
    <row r="70" spans="1:28" ht="15" customHeight="1">
      <c r="A70" s="8731"/>
      <c r="B70" s="1065">
        <v>1</v>
      </c>
      <c r="C70" s="1065"/>
      <c r="D70" s="714"/>
      <c r="E70" s="1733" t="str">
        <f>A69&amp;"."&amp;B70</f>
        <v>20.1</v>
      </c>
      <c r="F70" s="717" t="s">
        <v>187</v>
      </c>
      <c r="G70" s="707" t="s">
        <v>188</v>
      </c>
      <c r="H70" s="707" t="s">
        <v>188</v>
      </c>
      <c r="I70" s="705" t="s">
        <v>189</v>
      </c>
      <c r="K70" s="1556"/>
      <c r="L70" s="1556"/>
      <c r="M70" s="1544" t="str">
        <f t="array" ref="M70">IF(ISERROR(MATCH(MID(N70,1,250),MID(note_ter,1,250),0)),"n","y")</f>
        <v>n</v>
      </c>
      <c r="N70" s="1556"/>
      <c r="O70" s="1544" t="str">
        <f>H70&amp;"("&amp;I70&amp;")"</f>
        <v>Петровский(07731000)</v>
      </c>
      <c r="P70" s="1065"/>
      <c r="Q70" s="1065"/>
      <c r="R70" s="348"/>
      <c r="S70" s="1065"/>
      <c r="T70" s="1065"/>
      <c r="U70" s="1065"/>
      <c r="V70" s="350"/>
      <c r="W70" s="350"/>
      <c r="X70" s="347"/>
      <c r="Y70" s="347"/>
      <c r="Z70" s="347"/>
      <c r="AA70" s="347"/>
      <c r="AB70" s="347"/>
    </row>
    <row r="71" spans="1:28" ht="15" customHeight="1">
      <c r="A71" s="8731"/>
      <c r="B71" s="1065"/>
      <c r="C71" s="341"/>
      <c r="D71" s="715"/>
      <c r="E71" s="349"/>
      <c r="F71" s="95"/>
      <c r="G71" s="344" t="s">
        <v>98</v>
      </c>
      <c r="H71" s="105"/>
      <c r="I71" s="351"/>
      <c r="J71" s="1556"/>
      <c r="K71" s="1556"/>
      <c r="L71" s="1556"/>
      <c r="M71" s="1556"/>
      <c r="O71" s="1556"/>
      <c r="P71" s="1065"/>
      <c r="Q71" s="1065"/>
      <c r="R71" s="348"/>
      <c r="S71" s="1065"/>
      <c r="T71" s="1065"/>
      <c r="U71" s="1065"/>
      <c r="V71" s="350"/>
      <c r="W71" s="350"/>
      <c r="X71" s="347"/>
      <c r="Y71" s="347"/>
      <c r="Z71" s="347"/>
      <c r="AA71" s="347"/>
      <c r="AB71" s="347"/>
    </row>
    <row r="72" spans="1:28" ht="15" customHeight="1">
      <c r="A72" s="8731" t="s">
        <v>190</v>
      </c>
      <c r="B72" s="1065"/>
      <c r="C72" s="715" t="s">
        <v>100</v>
      </c>
      <c r="D72" s="1738"/>
      <c r="E72" s="1725" t="str">
        <f>A72</f>
        <v>21</v>
      </c>
      <c r="F72" s="718" t="s">
        <v>191</v>
      </c>
      <c r="G72" s="463" t="str">
        <f>"Территория "&amp;E72</f>
        <v>Территория 21</v>
      </c>
      <c r="H72" s="706"/>
      <c r="I72" s="706"/>
      <c r="J72" s="703"/>
      <c r="N72" s="143"/>
      <c r="T72" s="1739"/>
      <c r="U72" s="1739"/>
      <c r="V72" s="1739"/>
      <c r="W72" s="1739"/>
      <c r="X72" s="1739"/>
      <c r="Y72" s="1739"/>
      <c r="Z72" s="1739"/>
      <c r="AA72" s="1739"/>
      <c r="AB72" s="1739"/>
    </row>
    <row r="73" spans="1:28" ht="15" customHeight="1">
      <c r="A73" s="8731"/>
      <c r="B73" s="1065">
        <v>1</v>
      </c>
      <c r="C73" s="1065"/>
      <c r="D73" s="714"/>
      <c r="E73" s="1733" t="str">
        <f>A72&amp;"."&amp;B73</f>
        <v>21.1</v>
      </c>
      <c r="F73" s="717" t="s">
        <v>192</v>
      </c>
      <c r="G73" s="707" t="s">
        <v>193</v>
      </c>
      <c r="H73" s="707" t="s">
        <v>193</v>
      </c>
      <c r="I73" s="705" t="s">
        <v>194</v>
      </c>
      <c r="K73" s="1556"/>
      <c r="L73" s="1556"/>
      <c r="M73" s="1544" t="str">
        <f t="array" ref="M73">IF(ISERROR(MATCH(MID(N73,1,250),MID(note_ter,1,250),0)),"n","y")</f>
        <v>n</v>
      </c>
      <c r="N73" s="1556"/>
      <c r="O73" s="1544" t="str">
        <f>H73&amp;"("&amp;I73&amp;")"</f>
        <v>Левокумский муниципальный округ(07536000)</v>
      </c>
      <c r="P73" s="1065"/>
      <c r="Q73" s="1065"/>
      <c r="R73" s="348"/>
      <c r="S73" s="1065"/>
      <c r="T73" s="1065"/>
      <c r="U73" s="1065"/>
      <c r="V73" s="350"/>
      <c r="W73" s="350"/>
      <c r="X73" s="347"/>
      <c r="Y73" s="347"/>
      <c r="Z73" s="347"/>
      <c r="AA73" s="347"/>
      <c r="AB73" s="347"/>
    </row>
    <row r="74" spans="1:28" ht="15" customHeight="1">
      <c r="A74" s="8731"/>
      <c r="B74" s="1065"/>
      <c r="C74" s="341"/>
      <c r="D74" s="715"/>
      <c r="E74" s="349"/>
      <c r="F74" s="95"/>
      <c r="G74" s="344" t="s">
        <v>98</v>
      </c>
      <c r="H74" s="105"/>
      <c r="I74" s="351"/>
      <c r="J74" s="1556"/>
      <c r="K74" s="1556"/>
      <c r="L74" s="1556"/>
      <c r="M74" s="1556"/>
      <c r="O74" s="1556"/>
      <c r="P74" s="1065"/>
      <c r="Q74" s="1065"/>
      <c r="R74" s="348"/>
      <c r="S74" s="1065"/>
      <c r="T74" s="1065"/>
      <c r="U74" s="1065"/>
      <c r="V74" s="350"/>
      <c r="W74" s="350"/>
      <c r="X74" s="347"/>
      <c r="Y74" s="347"/>
      <c r="Z74" s="347"/>
      <c r="AA74" s="347"/>
      <c r="AB74" s="347"/>
    </row>
    <row r="75" spans="1:28" s="1739" customFormat="1" ht="14.25" customHeight="1">
      <c r="A75" s="673"/>
      <c r="B75" s="346"/>
      <c r="C75" s="673"/>
      <c r="D75" s="696"/>
      <c r="E75" s="708"/>
      <c r="F75" s="96"/>
      <c r="G75" s="345" t="s">
        <v>195</v>
      </c>
      <c r="H75" s="96"/>
      <c r="I75" s="97"/>
      <c r="J75" s="164"/>
      <c r="K75" s="73"/>
      <c r="L75" s="73"/>
      <c r="M75" s="73"/>
      <c r="N75" s="143" t="s">
        <v>196</v>
      </c>
      <c r="O75" s="73"/>
      <c r="P75" s="142"/>
      <c r="Q75" s="142"/>
      <c r="R75" s="142"/>
      <c r="S75" s="142"/>
    </row>
    <row r="76" spans="1:28" s="1739" customFormat="1" ht="21" customHeight="1">
      <c r="A76" s="673"/>
      <c r="B76" s="346"/>
      <c r="C76" s="673"/>
      <c r="D76" s="83"/>
      <c r="E76" s="98"/>
      <c r="F76" s="98"/>
      <c r="G76" s="98"/>
      <c r="H76" s="98"/>
      <c r="I76" s="98"/>
      <c r="J76" s="73"/>
      <c r="K76" s="73"/>
      <c r="L76" s="73"/>
      <c r="M76" s="73"/>
      <c r="N76" s="143"/>
      <c r="O76" s="73"/>
      <c r="P76" s="142"/>
      <c r="Q76" s="142"/>
      <c r="R76" s="142"/>
      <c r="S76" s="142"/>
    </row>
    <row r="77" spans="1:28" s="1739" customFormat="1" ht="14.25" customHeight="1">
      <c r="A77" s="673"/>
      <c r="B77" s="346"/>
      <c r="C77" s="673"/>
      <c r="D77" s="83"/>
      <c r="E77" s="14"/>
      <c r="F77" s="673"/>
      <c r="G77" s="14"/>
      <c r="H77" s="14"/>
      <c r="I77" s="14"/>
      <c r="J77" s="73"/>
      <c r="K77" s="73"/>
      <c r="L77" s="73"/>
      <c r="M77" s="73"/>
      <c r="N77" s="143"/>
      <c r="O77" s="73"/>
      <c r="P77" s="142"/>
      <c r="Q77" s="142"/>
      <c r="R77" s="142"/>
      <c r="S77" s="142"/>
    </row>
    <row r="78" spans="1:28" s="1739" customFormat="1" ht="0.75" customHeight="1">
      <c r="A78" s="673"/>
      <c r="B78" s="346"/>
      <c r="C78" s="673"/>
      <c r="D78" s="83"/>
      <c r="E78" s="14"/>
      <c r="F78" s="673"/>
      <c r="G78" s="14"/>
      <c r="H78" s="14"/>
      <c r="I78" s="14"/>
      <c r="J78" s="73"/>
      <c r="K78" s="73"/>
      <c r="L78" s="73"/>
      <c r="M78" s="73"/>
      <c r="N78" s="143"/>
      <c r="O78" s="73"/>
      <c r="P78" s="142"/>
      <c r="Q78" s="142"/>
      <c r="R78" s="142"/>
      <c r="S78" s="142"/>
    </row>
    <row r="79" spans="1:28" s="975" customFormat="1" ht="10.5" customHeight="1">
      <c r="B79" s="748"/>
      <c r="D79" s="100"/>
      <c r="J79" s="73"/>
      <c r="K79" s="73"/>
      <c r="L79" s="73"/>
      <c r="M79" s="73"/>
      <c r="N79" s="143"/>
      <c r="O79" s="73"/>
      <c r="P79" s="142"/>
      <c r="Q79" s="142"/>
      <c r="R79" s="142"/>
      <c r="S79" s="142"/>
    </row>
    <row r="80" spans="1:28" s="975" customFormat="1" ht="10.5" customHeight="1">
      <c r="B80" s="748"/>
      <c r="D80" s="100"/>
      <c r="J80" s="73"/>
      <c r="K80" s="73"/>
      <c r="L80" s="73"/>
      <c r="M80" s="73"/>
      <c r="N80" s="143"/>
      <c r="O80" s="73"/>
      <c r="P80" s="142"/>
      <c r="Q80" s="142"/>
      <c r="R80" s="142"/>
      <c r="S80" s="142"/>
    </row>
    <row r="84" spans="8:12" ht="14.25" customHeight="1">
      <c r="H84"/>
    </row>
    <row r="88" spans="8:12" ht="14.25" customHeight="1">
      <c r="J88" s="14"/>
      <c r="K88" s="14"/>
      <c r="L88" s="14"/>
    </row>
  </sheetData>
  <sheetProtection formatColumns="0" formatRows="0" insertRows="0" deleteColumns="0" deleteRows="0" sort="0" autoFilter="0"/>
  <mergeCells count="24">
    <mergeCell ref="A63:A65"/>
    <mergeCell ref="A66:A68"/>
    <mergeCell ref="A69:A71"/>
    <mergeCell ref="A72:A74"/>
    <mergeCell ref="A48:A50"/>
    <mergeCell ref="A51:A53"/>
    <mergeCell ref="A54:A56"/>
    <mergeCell ref="A57:A59"/>
    <mergeCell ref="A60:A62"/>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21">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ht="11.25" hidden="1" customHeight="1"/>
    <row r="2" spans="1:31" ht="23.25" hidden="1" customHeight="1">
      <c r="B2" s="8727"/>
      <c r="C2" s="1072" t="s">
        <v>1003</v>
      </c>
      <c r="D2" s="1558"/>
      <c r="E2" s="469">
        <f>B2</f>
        <v>0</v>
      </c>
      <c r="F2" s="470"/>
      <c r="G2" s="1566" t="s">
        <v>1004</v>
      </c>
      <c r="H2" s="1566" t="s">
        <v>1004</v>
      </c>
      <c r="I2" s="1566" t="s">
        <v>1004</v>
      </c>
      <c r="J2" s="204" t="s">
        <v>1005</v>
      </c>
      <c r="K2" s="466"/>
    </row>
    <row r="3" spans="1:31" s="1562" customFormat="1" ht="0.75" hidden="1" customHeight="1">
      <c r="B3" s="8727"/>
      <c r="C3" s="1072"/>
      <c r="D3" s="471"/>
      <c r="E3" s="472"/>
      <c r="F3" s="473" t="s">
        <v>1006</v>
      </c>
      <c r="G3" s="474"/>
      <c r="H3" s="474">
        <f>H4*H5+H7</f>
        <v>0</v>
      </c>
      <c r="I3" s="474">
        <f>I4*I5+I6</f>
        <v>0</v>
      </c>
      <c r="J3" s="475"/>
    </row>
    <row r="4" spans="1:31" ht="23.25" hidden="1" customHeight="1">
      <c r="B4" s="8727"/>
      <c r="C4" s="1072"/>
      <c r="D4" s="1558"/>
      <c r="E4" s="469" t="str">
        <f>B2&amp;".1"</f>
        <v>.1</v>
      </c>
      <c r="F4" s="476" t="s">
        <v>1007</v>
      </c>
      <c r="G4" s="477"/>
      <c r="H4" s="464"/>
      <c r="I4" s="464"/>
      <c r="J4" s="204" t="s">
        <v>1008</v>
      </c>
      <c r="K4" s="466"/>
    </row>
    <row r="5" spans="1:31" ht="18.75" hidden="1" customHeight="1">
      <c r="B5" s="8727"/>
      <c r="C5" s="1072"/>
      <c r="D5" s="1558"/>
      <c r="E5" s="469" t="str">
        <f>B2&amp;".2"</f>
        <v>.2</v>
      </c>
      <c r="F5" s="476" t="s">
        <v>1009</v>
      </c>
      <c r="G5" s="1566" t="s">
        <v>1010</v>
      </c>
      <c r="H5" s="464"/>
      <c r="I5" s="464"/>
      <c r="J5" s="204"/>
      <c r="K5" s="466"/>
    </row>
    <row r="6" spans="1:31" ht="18.75" hidden="1" customHeight="1">
      <c r="B6" s="8727"/>
      <c r="C6" s="1072"/>
      <c r="D6" s="1558"/>
      <c r="E6" s="469" t="str">
        <f>B2&amp;".3"</f>
        <v>.3</v>
      </c>
      <c r="F6" s="476" t="s">
        <v>1011</v>
      </c>
      <c r="G6" s="1566" t="s">
        <v>1010</v>
      </c>
      <c r="H6" s="464"/>
      <c r="I6" s="464"/>
      <c r="J6" s="204"/>
      <c r="K6" s="466"/>
    </row>
    <row r="7" spans="1:31" ht="18.75" hidden="1" customHeight="1">
      <c r="B7" s="8727"/>
      <c r="C7" s="1072"/>
      <c r="D7" s="1558"/>
      <c r="E7" s="469" t="str">
        <f>B2&amp;".4"</f>
        <v>.4</v>
      </c>
      <c r="F7" s="476" t="s">
        <v>1012</v>
      </c>
      <c r="G7" s="1566" t="s">
        <v>1004</v>
      </c>
      <c r="H7" s="478"/>
      <c r="I7" s="478"/>
      <c r="J7" s="204"/>
      <c r="K7" s="466"/>
    </row>
    <row r="8" spans="1:31" s="1287" customFormat="1" ht="11.25" hidden="1" customHeight="1">
      <c r="A8" s="898"/>
      <c r="C8" s="1556"/>
      <c r="D8" s="460"/>
      <c r="H8" s="1065">
        <v>4</v>
      </c>
      <c r="I8" s="1065">
        <v>4</v>
      </c>
      <c r="L8" s="1556"/>
      <c r="M8" s="1556"/>
      <c r="R8" s="1556"/>
    </row>
    <row r="9" spans="1:31" s="1287" customFormat="1" ht="22.5" hidden="1" customHeight="1">
      <c r="A9" s="898"/>
      <c r="C9" s="1556"/>
      <c r="D9" s="461"/>
      <c r="E9" s="1568"/>
      <c r="F9" s="463"/>
      <c r="G9" s="1566" t="s">
        <v>1010</v>
      </c>
      <c r="H9" s="464"/>
      <c r="I9" s="464"/>
      <c r="J9" s="465" t="s">
        <v>1013</v>
      </c>
      <c r="K9" s="466"/>
      <c r="L9" s="1556"/>
      <c r="M9" s="1556"/>
      <c r="R9" s="1556"/>
      <c r="U9" s="467"/>
      <c r="AA9" s="1552"/>
      <c r="AB9" s="1552"/>
      <c r="AC9" s="1552"/>
      <c r="AD9" s="1552"/>
      <c r="AE9" s="1552"/>
    </row>
    <row r="10" spans="1:31" ht="11.25" hidden="1" customHeight="1"/>
    <row r="11" spans="1:31" ht="18.75" hidden="1" customHeight="1">
      <c r="D11" s="1558"/>
      <c r="E11" s="469"/>
      <c r="F11" s="463"/>
      <c r="G11" s="1566" t="s">
        <v>1014</v>
      </c>
      <c r="H11" s="464"/>
      <c r="I11" s="464"/>
      <c r="J11" s="204" t="s">
        <v>1015</v>
      </c>
      <c r="K11" s="466"/>
    </row>
    <row r="12" spans="1:31" ht="11.25" hidden="1" customHeight="1"/>
    <row r="13" spans="1:31" ht="22.5" hidden="1" customHeight="1">
      <c r="D13" s="1558"/>
      <c r="E13" s="469"/>
      <c r="F13" s="463"/>
      <c r="G13" s="880" t="s">
        <v>1016</v>
      </c>
      <c r="H13" s="468"/>
      <c r="I13" s="468"/>
      <c r="J13" s="661" t="s">
        <v>1017</v>
      </c>
      <c r="K13" s="466"/>
    </row>
    <row r="14" spans="1:31" ht="11.25" hidden="1" customHeight="1"/>
    <row r="15" spans="1:31" ht="22.5" hidden="1" customHeight="1">
      <c r="D15" s="1558"/>
      <c r="E15" s="469"/>
      <c r="F15" s="463"/>
      <c r="G15" s="1566" t="s">
        <v>1018</v>
      </c>
      <c r="H15" s="468"/>
      <c r="I15" s="468"/>
      <c r="J15" s="204" t="s">
        <v>1019</v>
      </c>
      <c r="K15" s="466"/>
    </row>
    <row r="16" spans="1:31" ht="11.25" hidden="1" customHeight="1"/>
    <row r="17" spans="1:26" ht="22.5" hidden="1" customHeight="1">
      <c r="D17" s="1558"/>
      <c r="E17" s="469"/>
      <c r="F17" s="463"/>
      <c r="G17" s="1566" t="s">
        <v>1020</v>
      </c>
      <c r="H17" s="468"/>
      <c r="I17" s="468"/>
      <c r="J17" s="204" t="s">
        <v>1021</v>
      </c>
      <c r="K17" s="466"/>
    </row>
    <row r="18" spans="1:26" ht="11.25" hidden="1" customHeight="1"/>
    <row r="19" spans="1:26" s="1552" customFormat="1" ht="11.25" hidden="1" customHeight="1">
      <c r="A19" s="898"/>
      <c r="B19" s="1065"/>
      <c r="C19" s="1556"/>
      <c r="D19" s="285"/>
      <c r="J19" s="1552">
        <v>4</v>
      </c>
      <c r="K19" s="1065"/>
      <c r="L19" s="1556"/>
      <c r="M19" s="1556"/>
      <c r="N19" s="1065"/>
      <c r="O19" s="1065"/>
      <c r="P19" s="1065"/>
      <c r="Q19" s="1065"/>
      <c r="R19" s="1556"/>
      <c r="S19" s="1065"/>
      <c r="T19" s="1065"/>
      <c r="U19" s="467"/>
      <c r="V19" s="1065"/>
      <c r="W19" s="1065"/>
      <c r="X19" s="1065"/>
      <c r="Y19" s="1065"/>
      <c r="Z19" s="1065"/>
    </row>
    <row r="21" spans="1:26" ht="24" customHeight="1">
      <c r="E21" s="886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8867"/>
      <c r="G21" s="8867"/>
      <c r="H21" s="8867"/>
      <c r="I21" s="8867"/>
      <c r="J21" s="479"/>
    </row>
    <row r="22" spans="1:26" ht="24" customHeight="1">
      <c r="E22" s="8814" t="str">
        <f>IF(org=0,"Не определено",org)</f>
        <v>ГУП СК "Ставрополькрайводоканал"</v>
      </c>
      <c r="F22" s="8814"/>
      <c r="G22" s="8814"/>
      <c r="H22" s="8814"/>
      <c r="I22" s="8814"/>
    </row>
    <row r="23" spans="1:26" ht="11.25" customHeight="1">
      <c r="E23" s="1042"/>
      <c r="F23" s="1042"/>
      <c r="G23" s="1042"/>
      <c r="H23" s="1042"/>
      <c r="I23" s="1042"/>
    </row>
    <row r="24" spans="1:26" s="1562" customFormat="1" ht="0.75" customHeight="1">
      <c r="A24" s="1072"/>
      <c r="H24" s="803"/>
      <c r="I24" s="803" t="s">
        <v>205</v>
      </c>
    </row>
    <row r="25" spans="1:26" ht="11.25" customHeight="1">
      <c r="E25" s="628"/>
      <c r="F25" s="8958" t="s">
        <v>197</v>
      </c>
      <c r="G25" s="8959"/>
      <c r="H25" s="1572" t="str">
        <f>IF(H24="","",INDEX(DIFFERENTIATION_UNMERGE_VD,MATCH(H24,DIFFERENTIATION_ID_DIFF,0)))</f>
        <v/>
      </c>
      <c r="I25" s="1572">
        <f>IF(I24="","",INDEX(DIFFERENTIATION_UNMERGE_VD,MATCH(I24,DIFFERENTIATION_ID_DIFF,0)))</f>
        <v>0</v>
      </c>
      <c r="J25" s="8753"/>
    </row>
    <row r="26" spans="1:26" ht="11.25" customHeight="1">
      <c r="E26" s="628"/>
      <c r="F26" s="8958" t="s">
        <v>1022</v>
      </c>
      <c r="G26" s="8959"/>
      <c r="H26" s="1572" t="str">
        <f>IF(H24="","",INDEX(DIFFERENTIATION_UNMERGE_AREA,MATCH(H24,DIFFERENTIATION_ID_DIFF,0)))</f>
        <v/>
      </c>
      <c r="I26" s="1572" t="str">
        <f>IF(I24="","",INDEX(DIFFERENTIATION_UNMERGE_AREA,MATCH(I24,DIFFERENTIATION_ID_DIFF,0)))</f>
        <v/>
      </c>
      <c r="J26" s="8753"/>
    </row>
    <row r="27" spans="1:26" ht="11.25" customHeight="1">
      <c r="E27" s="628"/>
      <c r="F27" s="8958" t="s">
        <v>1023</v>
      </c>
      <c r="G27" s="8959"/>
      <c r="H27" s="1572" t="str">
        <f>IF(H24="","",INDEX(DIFFERENTIATION_UNMERGE_SYSTEM,MATCH(H24,DIFFERENTIATION_ID_DIFF,0)))</f>
        <v/>
      </c>
      <c r="I27" s="1572" t="str">
        <f>IF(I24="","",INDEX(DIFFERENTIATION_UNMERGE_SYSTEM,MATCH(I24,DIFFERENTIATION_ID_DIFF,0)))</f>
        <v>без дифференциации</v>
      </c>
      <c r="J27" s="8753"/>
    </row>
    <row r="28" spans="1:26" ht="11.25" customHeight="1">
      <c r="E28" s="8960" t="s">
        <v>763</v>
      </c>
      <c r="F28" s="8961"/>
      <c r="G28" s="8961"/>
      <c r="H28" s="1565"/>
      <c r="I28" s="1565"/>
      <c r="J28" s="8753"/>
    </row>
    <row r="29" spans="1:26" ht="22.5" customHeight="1">
      <c r="E29" s="1566" t="s">
        <v>84</v>
      </c>
      <c r="F29" s="1573" t="s">
        <v>765</v>
      </c>
      <c r="G29" s="1573" t="s">
        <v>1024</v>
      </c>
      <c r="H29" s="1573" t="s">
        <v>766</v>
      </c>
      <c r="I29" s="1573" t="s">
        <v>766</v>
      </c>
      <c r="J29" s="8753"/>
    </row>
    <row r="30" spans="1:26" ht="18.75" customHeight="1">
      <c r="D30" s="1558"/>
      <c r="E30" s="469">
        <f>FHD_NUM_P_1</f>
        <v>1</v>
      </c>
      <c r="F30" s="1799" t="str">
        <f>FHD_P_1</f>
        <v>Выручка от регулируемых видов деятельности в сфере холодного водоснабжения</v>
      </c>
      <c r="G30" s="1797" t="s">
        <v>1010</v>
      </c>
      <c r="H30" s="480"/>
      <c r="I30" s="480"/>
      <c r="J30" s="204" t="str">
        <f>FHD_NOTE_P_1</f>
        <v>Указывается выручка с распределением по видам деятельности.</v>
      </c>
      <c r="K30" s="466"/>
    </row>
    <row r="31" spans="1:26" ht="11.25" customHeight="1">
      <c r="D31" s="1558"/>
      <c r="E31" s="469">
        <f>FHD_NUM_P_2</f>
        <v>2</v>
      </c>
      <c r="F31" s="1799" t="str">
        <f>FHD_P_2</f>
        <v>Себестоимость производимых товаров (оказываемых услуг) по регулируемым видам деятельности в сфере холодного водоснабжения, включая:</v>
      </c>
      <c r="G31" s="1797" t="s">
        <v>1010</v>
      </c>
      <c r="H31" s="481">
        <f>SUMIF($K33:$K71,$K31,H33:H71)</f>
        <v>0</v>
      </c>
      <c r="I31" s="481">
        <f>SUMIF($K33:$K71,$K31,I33:I71)</f>
        <v>0</v>
      </c>
      <c r="J31" s="204" t="str">
        <f>FHD_NOTE_P_2</f>
        <v>Указывается суммарная себестоимость производимых товаров.</v>
      </c>
      <c r="K31" s="1556" t="s">
        <v>1025</v>
      </c>
    </row>
    <row r="32" spans="1:26" ht="11.25" customHeight="1">
      <c r="D32" s="1558"/>
      <c r="E32" s="469" t="str">
        <f>FHD_NUM_P_3</f>
        <v>2.1</v>
      </c>
      <c r="F32" s="1439" t="str">
        <f>FHD_P_3</f>
        <v>Расходы на оплату холодной воды, приобретаемой у других организаций для последующей подачи потребителям</v>
      </c>
      <c r="G32" s="1797" t="s">
        <v>1010</v>
      </c>
      <c r="H32" s="480"/>
      <c r="I32" s="480"/>
      <c r="J32" s="204" t="str">
        <f>FHD_NOTE_P_3</f>
        <v/>
      </c>
      <c r="K32" s="1556" t="str">
        <f t="shared" ref="K32:K70" si="0">IF((LEN(E32)-LEN(SUBSTITUTE(E32,".","")))/LEN(".")=1,"p","")</f>
        <v>p</v>
      </c>
    </row>
    <row r="33" spans="1:31" ht="11.25" hidden="1" customHeight="1">
      <c r="A33" s="8962" t="s">
        <v>1026</v>
      </c>
      <c r="D33" s="1558"/>
      <c r="E33" s="469" t="str">
        <f>FHD_NUM_P_4</f>
        <v/>
      </c>
      <c r="F33" s="1439" t="str">
        <f>FHD_P_4</f>
        <v/>
      </c>
      <c r="G33" s="1797" t="s">
        <v>1010</v>
      </c>
      <c r="H33" s="481">
        <f>SUMIF($F34:$F40,$F3,H34:H40)</f>
        <v>0</v>
      </c>
      <c r="I33" s="481">
        <f>SUMIF($F34:$F40,$F3,I34:I40)</f>
        <v>0</v>
      </c>
      <c r="J33" s="204" t="str">
        <f>FHD_NOTE_P_4</f>
        <v/>
      </c>
      <c r="K33" s="1556" t="str">
        <f t="shared" si="0"/>
        <v/>
      </c>
    </row>
    <row r="34" spans="1:31" s="1561" customFormat="1" ht="0.75" hidden="1" customHeight="1">
      <c r="A34" s="8962"/>
      <c r="B34" s="8963" t="str">
        <f>E33&amp;".0"</f>
        <v>.0</v>
      </c>
      <c r="C34" s="1072"/>
      <c r="D34" s="483"/>
      <c r="E34" s="484"/>
      <c r="F34" s="485"/>
      <c r="G34" s="486"/>
      <c r="H34" s="421"/>
      <c r="I34" s="421"/>
      <c r="J34" s="487"/>
      <c r="K34" s="1556" t="str">
        <f t="shared" si="0"/>
        <v/>
      </c>
      <c r="L34" s="1556"/>
      <c r="M34" s="1556"/>
      <c r="N34" s="1556"/>
      <c r="O34" s="1556"/>
      <c r="P34" s="1556"/>
      <c r="Q34" s="1556"/>
      <c r="R34" s="1556"/>
      <c r="S34" s="1556"/>
      <c r="T34" s="1556"/>
      <c r="U34" s="488"/>
      <c r="V34" s="1556"/>
      <c r="W34" s="1556"/>
      <c r="X34" s="1556"/>
      <c r="Y34" s="1556"/>
      <c r="Z34" s="1556"/>
      <c r="AA34" s="489"/>
      <c r="AB34" s="489"/>
      <c r="AC34" s="489"/>
      <c r="AD34" s="489"/>
      <c r="AE34" s="489"/>
    </row>
    <row r="35" spans="1:31" s="1561" customFormat="1" ht="0.75" hidden="1" customHeight="1">
      <c r="A35" s="8962"/>
      <c r="B35" s="8963"/>
      <c r="C35" s="1072"/>
      <c r="D35" s="483"/>
      <c r="E35" s="490"/>
      <c r="F35" s="491"/>
      <c r="G35" s="486"/>
      <c r="H35" s="492"/>
      <c r="I35" s="492"/>
      <c r="J35" s="487"/>
      <c r="K35" s="1556" t="str">
        <f t="shared" si="0"/>
        <v/>
      </c>
      <c r="L35" s="1556"/>
      <c r="M35" s="1556"/>
      <c r="N35" s="1556"/>
      <c r="O35" s="1556"/>
      <c r="P35" s="1556"/>
      <c r="Q35" s="1556"/>
      <c r="R35" s="1556"/>
      <c r="S35" s="1556"/>
      <c r="T35" s="1556"/>
      <c r="U35" s="488"/>
      <c r="V35" s="1556"/>
      <c r="W35" s="1556"/>
      <c r="X35" s="1556"/>
      <c r="Y35" s="1556"/>
      <c r="Z35" s="1556"/>
      <c r="AA35" s="489"/>
      <c r="AB35" s="489"/>
      <c r="AC35" s="489"/>
      <c r="AD35" s="489"/>
      <c r="AE35" s="489"/>
    </row>
    <row r="36" spans="1:31" s="1561" customFormat="1" ht="0.75" hidden="1" customHeight="1">
      <c r="A36" s="8962"/>
      <c r="B36" s="8963"/>
      <c r="C36" s="1072"/>
      <c r="D36" s="483"/>
      <c r="E36" s="490"/>
      <c r="F36" s="491"/>
      <c r="G36" s="486"/>
      <c r="H36" s="492"/>
      <c r="I36" s="492"/>
      <c r="J36" s="487"/>
      <c r="K36" s="1556" t="str">
        <f t="shared" si="0"/>
        <v/>
      </c>
      <c r="L36" s="1556"/>
      <c r="M36" s="1556"/>
      <c r="N36" s="1556"/>
      <c r="O36" s="1556"/>
      <c r="P36" s="1556"/>
      <c r="Q36" s="1556"/>
      <c r="R36" s="1556"/>
      <c r="S36" s="1556"/>
      <c r="T36" s="1556"/>
      <c r="U36" s="488"/>
      <c r="V36" s="1556"/>
      <c r="W36" s="1556"/>
      <c r="X36" s="1556"/>
      <c r="Y36" s="1556"/>
      <c r="Z36" s="1556"/>
      <c r="AA36" s="489"/>
      <c r="AB36" s="489"/>
      <c r="AC36" s="489"/>
      <c r="AD36" s="489"/>
      <c r="AE36" s="489"/>
    </row>
    <row r="37" spans="1:31" s="1561" customFormat="1" ht="0.75" hidden="1" customHeight="1">
      <c r="A37" s="8962"/>
      <c r="B37" s="8963"/>
      <c r="C37" s="1072"/>
      <c r="D37" s="483"/>
      <c r="E37" s="490"/>
      <c r="F37" s="491"/>
      <c r="G37" s="486"/>
      <c r="H37" s="492"/>
      <c r="I37" s="492"/>
      <c r="J37" s="487"/>
      <c r="K37" s="1556" t="str">
        <f t="shared" si="0"/>
        <v/>
      </c>
      <c r="L37" s="1556"/>
      <c r="M37" s="1556"/>
      <c r="N37" s="1556"/>
      <c r="O37" s="1556"/>
      <c r="P37" s="1556"/>
      <c r="Q37" s="1556"/>
      <c r="R37" s="1556"/>
      <c r="S37" s="1556"/>
      <c r="T37" s="1556"/>
      <c r="U37" s="488"/>
      <c r="V37" s="1556"/>
      <c r="W37" s="1556"/>
      <c r="X37" s="1556"/>
      <c r="Y37" s="1556"/>
      <c r="Z37" s="1556"/>
      <c r="AA37" s="489"/>
      <c r="AB37" s="489"/>
      <c r="AC37" s="489"/>
      <c r="AD37" s="489"/>
      <c r="AE37" s="489"/>
    </row>
    <row r="38" spans="1:31" s="1561" customFormat="1" ht="0.75" hidden="1" customHeight="1">
      <c r="A38" s="8962"/>
      <c r="B38" s="8963"/>
      <c r="C38" s="1072"/>
      <c r="D38" s="483"/>
      <c r="E38" s="490"/>
      <c r="F38" s="491"/>
      <c r="G38" s="486"/>
      <c r="H38" s="492"/>
      <c r="I38" s="492"/>
      <c r="J38" s="487"/>
      <c r="K38" s="1556" t="str">
        <f t="shared" si="0"/>
        <v/>
      </c>
      <c r="L38" s="1556"/>
      <c r="M38" s="1556"/>
      <c r="N38" s="1556"/>
      <c r="O38" s="1556"/>
      <c r="P38" s="1556"/>
      <c r="Q38" s="1556"/>
      <c r="R38" s="1556"/>
      <c r="S38" s="1556"/>
      <c r="T38" s="1556"/>
      <c r="U38" s="488"/>
      <c r="V38" s="1556"/>
      <c r="W38" s="1556"/>
      <c r="X38" s="1556"/>
      <c r="Y38" s="1556"/>
      <c r="Z38" s="1556"/>
      <c r="AA38" s="489"/>
      <c r="AB38" s="489"/>
      <c r="AC38" s="489"/>
      <c r="AD38" s="489"/>
      <c r="AE38" s="489"/>
    </row>
    <row r="39" spans="1:31" s="1561" customFormat="1" ht="0.75" hidden="1" customHeight="1">
      <c r="A39" s="8962"/>
      <c r="B39" s="8963"/>
      <c r="C39" s="1072"/>
      <c r="D39" s="483"/>
      <c r="E39" s="490"/>
      <c r="F39" s="491"/>
      <c r="G39" s="486"/>
      <c r="H39" s="421"/>
      <c r="I39" s="421"/>
      <c r="J39" s="487"/>
      <c r="K39" s="1556" t="str">
        <f t="shared" si="0"/>
        <v/>
      </c>
      <c r="L39" s="1556"/>
      <c r="M39" s="1556"/>
      <c r="N39" s="1556"/>
      <c r="O39" s="1556"/>
      <c r="P39" s="1556"/>
      <c r="Q39" s="1556"/>
      <c r="R39" s="1556"/>
      <c r="S39" s="1556"/>
      <c r="T39" s="1556"/>
      <c r="U39" s="488"/>
      <c r="V39" s="1556"/>
      <c r="W39" s="1556"/>
      <c r="X39" s="1556"/>
      <c r="Y39" s="1556"/>
      <c r="Z39" s="1556"/>
      <c r="AA39" s="489"/>
      <c r="AB39" s="489"/>
      <c r="AC39" s="489"/>
      <c r="AD39" s="489"/>
      <c r="AE39" s="489"/>
    </row>
    <row r="40" spans="1:31" s="1287" customFormat="1" ht="15" hidden="1" customHeight="1">
      <c r="A40" s="8962"/>
      <c r="C40" s="1556"/>
      <c r="D40" s="1553"/>
      <c r="E40" s="493"/>
      <c r="F40" s="494" t="s">
        <v>1027</v>
      </c>
      <c r="G40" s="495"/>
      <c r="H40" s="496"/>
      <c r="I40" s="496"/>
      <c r="J40" s="215"/>
      <c r="K40" s="1556" t="str">
        <f t="shared" si="0"/>
        <v/>
      </c>
      <c r="L40" s="1556"/>
      <c r="M40" s="1556"/>
      <c r="R40" s="1556"/>
      <c r="U40" s="467"/>
      <c r="AA40" s="1552"/>
      <c r="AB40" s="1552"/>
      <c r="AC40" s="1552"/>
      <c r="AD40" s="1552"/>
      <c r="AE40" s="1552"/>
    </row>
    <row r="41" spans="1:31" ht="11.25" hidden="1" customHeight="1">
      <c r="A41" s="8962" t="s">
        <v>1028</v>
      </c>
      <c r="D41" s="1558"/>
      <c r="E41" s="469" t="str">
        <f>FHD_NUM_P_5</f>
        <v/>
      </c>
      <c r="F41" s="1439" t="str">
        <f>FHD_P_5</f>
        <v/>
      </c>
      <c r="G41" s="1797" t="s">
        <v>1010</v>
      </c>
      <c r="H41" s="480"/>
      <c r="I41" s="480"/>
      <c r="J41" s="204" t="str">
        <f>FHD_NOTE_P_5</f>
        <v/>
      </c>
      <c r="K41" s="1556" t="str">
        <f t="shared" si="0"/>
        <v/>
      </c>
    </row>
    <row r="42" spans="1:31" ht="11.25" hidden="1" customHeight="1">
      <c r="A42" s="8962"/>
      <c r="D42" s="1558"/>
      <c r="E42" s="469" t="str">
        <f>FHD_NUM_P_6</f>
        <v/>
      </c>
      <c r="F42" s="1439" t="str">
        <f>FHD_P_6</f>
        <v/>
      </c>
      <c r="G42" s="1797" t="s">
        <v>1010</v>
      </c>
      <c r="H42" s="480"/>
      <c r="I42" s="480"/>
      <c r="J42" s="204" t="str">
        <f>FHD_NOTE_P_6</f>
        <v/>
      </c>
      <c r="K42" s="1556" t="str">
        <f t="shared" si="0"/>
        <v/>
      </c>
    </row>
    <row r="43" spans="1:31" ht="11.25" hidden="1" customHeight="1">
      <c r="A43" s="8962"/>
      <c r="D43" s="1558"/>
      <c r="E43" s="469" t="str">
        <f>FHD_NUM_P_7</f>
        <v/>
      </c>
      <c r="F43" s="1439" t="str">
        <f>FHD_P_7</f>
        <v/>
      </c>
      <c r="G43" s="1797" t="s">
        <v>1010</v>
      </c>
      <c r="H43" s="480"/>
      <c r="I43" s="480"/>
      <c r="J43" s="204" t="str">
        <f>FHD_NOTE_P_7</f>
        <v/>
      </c>
      <c r="K43" s="1556" t="str">
        <f t="shared" si="0"/>
        <v/>
      </c>
    </row>
    <row r="44" spans="1:31" ht="11.25" customHeight="1">
      <c r="D44" s="1558"/>
      <c r="E44" s="469" t="str">
        <f>FHD_NUM_P_8</f>
        <v>2.2</v>
      </c>
      <c r="F44" s="1439" t="str">
        <f>FHD_P_8</f>
        <v>Расходы на приобретаемую электрическую энергию (мощность), используемую в технологическом процессе</v>
      </c>
      <c r="G44" s="1797" t="s">
        <v>1010</v>
      </c>
      <c r="H44" s="480"/>
      <c r="I44" s="480"/>
      <c r="J44" s="204" t="str">
        <f>FHD_NOTE_P_8</f>
        <v/>
      </c>
      <c r="K44" s="1556" t="str">
        <f t="shared" si="0"/>
        <v>p</v>
      </c>
    </row>
    <row r="45" spans="1:31" ht="11.25" customHeight="1">
      <c r="D45" s="1558"/>
      <c r="E45" s="469" t="str">
        <f>FHD_NUM_P_9</f>
        <v>2.2.1</v>
      </c>
      <c r="F45" s="1570" t="str">
        <f>FHD_P_9</f>
        <v>Средневзвешенная стоимость 1 кВт.ч (с учетом мощности)</v>
      </c>
      <c r="G45" s="1797" t="s">
        <v>1029</v>
      </c>
      <c r="H45" s="480"/>
      <c r="I45" s="480"/>
      <c r="J45" s="204" t="str">
        <f>FHD_NOTE_P_9</f>
        <v/>
      </c>
      <c r="K45" s="1556" t="str">
        <f t="shared" si="0"/>
        <v/>
      </c>
    </row>
    <row r="46" spans="1:31" s="1287" customFormat="1" ht="11.25" customHeight="1">
      <c r="A46" s="898"/>
      <c r="C46" s="1556"/>
      <c r="D46" s="497"/>
      <c r="E46" s="469" t="str">
        <f>FHD_NUM_P_10</f>
        <v>2.2.2</v>
      </c>
      <c r="F46" s="1570" t="str">
        <f>FHD_P_10</f>
        <v>Объём приобретения электрической энергии</v>
      </c>
      <c r="G46" s="1797" t="s">
        <v>1030</v>
      </c>
      <c r="H46" s="480"/>
      <c r="I46" s="480"/>
      <c r="J46" s="204" t="str">
        <f>FHD_NOTE_P_10</f>
        <v/>
      </c>
      <c r="K46" s="1556" t="str">
        <f t="shared" si="0"/>
        <v/>
      </c>
      <c r="L46" s="1556"/>
      <c r="M46" s="1556"/>
      <c r="R46" s="1556"/>
      <c r="U46" s="467"/>
      <c r="AA46" s="1552"/>
      <c r="AB46" s="1552"/>
      <c r="AC46" s="1552"/>
      <c r="AD46" s="1552"/>
      <c r="AE46" s="1552"/>
    </row>
    <row r="47" spans="1:31" s="1287" customFormat="1" ht="11.25" hidden="1" customHeight="1">
      <c r="A47" s="900" t="s">
        <v>1031</v>
      </c>
      <c r="C47" s="1556"/>
      <c r="D47" s="498"/>
      <c r="E47" s="469" t="str">
        <f>FHD_NUM_P_11</f>
        <v/>
      </c>
      <c r="F47" s="1439" t="str">
        <f>FHD_P_11</f>
        <v/>
      </c>
      <c r="G47" s="1797" t="s">
        <v>1010</v>
      </c>
      <c r="H47" s="480"/>
      <c r="I47" s="480"/>
      <c r="J47" s="204" t="str">
        <f>FHD_NOTE_P_11</f>
        <v/>
      </c>
      <c r="K47" s="1556" t="str">
        <f t="shared" si="0"/>
        <v/>
      </c>
      <c r="L47" s="1556"/>
      <c r="M47" s="1556"/>
      <c r="R47" s="1556"/>
      <c r="U47" s="467"/>
      <c r="AA47" s="1552"/>
      <c r="AB47" s="1552"/>
      <c r="AC47" s="1552"/>
      <c r="AD47" s="1552"/>
      <c r="AE47" s="1552"/>
    </row>
    <row r="48" spans="1:31" s="1287" customFormat="1" ht="18" customHeight="1">
      <c r="A48" s="900" t="s">
        <v>1032</v>
      </c>
      <c r="C48" s="1556"/>
      <c r="D48" s="1558"/>
      <c r="E48" s="469" t="str">
        <f>FHD_NUM_P_12</f>
        <v>2.3</v>
      </c>
      <c r="F48" s="1439" t="str">
        <f>FHD_P_12</f>
        <v>Расходы на химические реагенты, используемые в технологическом процессе</v>
      </c>
      <c r="G48" s="1797" t="s">
        <v>1010</v>
      </c>
      <c r="H48" s="500"/>
      <c r="I48" s="500"/>
      <c r="J48" s="204" t="str">
        <f>FHD_NOTE_P_12</f>
        <v/>
      </c>
      <c r="K48" s="1556" t="str">
        <f t="shared" si="0"/>
        <v>p</v>
      </c>
      <c r="L48" s="1556"/>
      <c r="M48" s="1556"/>
      <c r="R48" s="1556"/>
      <c r="U48" s="467"/>
      <c r="AA48" s="1552"/>
      <c r="AB48" s="1552"/>
      <c r="AC48" s="1552"/>
      <c r="AD48" s="1552"/>
      <c r="AE48" s="1552"/>
    </row>
    <row r="49" spans="1:31" s="1286" customFormat="1" ht="11.25" customHeight="1">
      <c r="A49" s="899"/>
      <c r="C49" s="647"/>
      <c r="D49" s="591"/>
      <c r="E49" s="469" t="str">
        <f>FHD_NUM_P_13</f>
        <v>2.4</v>
      </c>
      <c r="F49" s="1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7" t="s">
        <v>1010</v>
      </c>
      <c r="H49" s="480"/>
      <c r="I49" s="480"/>
      <c r="J49" s="204"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47"/>
      <c r="M49" s="647"/>
      <c r="R49" s="647"/>
      <c r="U49" s="648"/>
      <c r="AA49" s="649"/>
      <c r="AB49" s="649"/>
      <c r="AC49" s="649"/>
      <c r="AD49" s="649"/>
      <c r="AE49" s="649"/>
    </row>
    <row r="50" spans="1:31" s="1286" customFormat="1" ht="11.25" customHeight="1">
      <c r="A50" s="899"/>
      <c r="C50" s="647"/>
      <c r="D50" s="591"/>
      <c r="E50" s="469" t="str">
        <f>FHD_NUM_P_14</f>
        <v>2.4.1</v>
      </c>
      <c r="F50" s="1570" t="str">
        <f>FHD_P_14</f>
        <v>Расходы на оплату труда основного производственного персонала</v>
      </c>
      <c r="G50" s="1797" t="s">
        <v>1010</v>
      </c>
      <c r="H50" s="480"/>
      <c r="I50" s="480"/>
      <c r="J50" s="204" t="str">
        <f>FHD_NOTE_P_14</f>
        <v/>
      </c>
      <c r="K50" s="1556" t="str">
        <f t="shared" si="0"/>
        <v/>
      </c>
      <c r="L50" s="647"/>
      <c r="M50" s="647"/>
      <c r="R50" s="647"/>
      <c r="U50" s="648"/>
      <c r="AA50" s="649"/>
      <c r="AB50" s="649"/>
      <c r="AC50" s="649"/>
      <c r="AD50" s="649"/>
      <c r="AE50" s="649"/>
    </row>
    <row r="51" spans="1:31" s="1286" customFormat="1" ht="11.25" customHeight="1">
      <c r="A51" s="899"/>
      <c r="C51" s="647"/>
      <c r="D51" s="591"/>
      <c r="E51" s="469"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7" t="s">
        <v>1010</v>
      </c>
      <c r="H51" s="480"/>
      <c r="I51" s="480"/>
      <c r="J51" s="204" t="str">
        <f>FHD_NOTE_P_15</f>
        <v/>
      </c>
      <c r="K51" s="1556" t="str">
        <f t="shared" si="0"/>
        <v/>
      </c>
      <c r="L51" s="647"/>
      <c r="M51" s="647"/>
      <c r="R51" s="647"/>
      <c r="U51" s="648"/>
      <c r="AA51" s="649"/>
      <c r="AB51" s="649"/>
      <c r="AC51" s="649"/>
      <c r="AD51" s="649"/>
      <c r="AE51" s="649"/>
    </row>
    <row r="52" spans="1:31" s="1287" customFormat="1" ht="11.25" customHeight="1">
      <c r="A52" s="898"/>
      <c r="C52" s="1556"/>
      <c r="D52" s="1558"/>
      <c r="E52" s="469" t="str">
        <f>FHD_NUM_P_16</f>
        <v>2.5</v>
      </c>
      <c r="F52" s="1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7" t="s">
        <v>1010</v>
      </c>
      <c r="H52" s="480"/>
      <c r="I52" s="480"/>
      <c r="J52" s="204"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60"/>
      <c r="O52" s="460"/>
      <c r="R52" s="1556"/>
      <c r="U52" s="467"/>
      <c r="AA52" s="1552"/>
      <c r="AB52" s="1552"/>
      <c r="AC52" s="1552"/>
      <c r="AD52" s="1552"/>
      <c r="AE52" s="1552"/>
    </row>
    <row r="53" spans="1:31" s="1287" customFormat="1" ht="11.25" customHeight="1">
      <c r="A53" s="898"/>
      <c r="C53" s="1556"/>
      <c r="D53" s="1558"/>
      <c r="E53" s="469" t="str">
        <f>FHD_NUM_P_17</f>
        <v>2.5.1</v>
      </c>
      <c r="F53" s="1570" t="str">
        <f>FHD_P_17</f>
        <v>Расходы на оплату труда административно-управленческого персонала</v>
      </c>
      <c r="G53" s="1797" t="s">
        <v>1010</v>
      </c>
      <c r="H53" s="480"/>
      <c r="I53" s="480"/>
      <c r="J53" s="204" t="str">
        <f>FHD_NOTE_P_17</f>
        <v/>
      </c>
      <c r="K53" s="1556" t="str">
        <f t="shared" si="0"/>
        <v/>
      </c>
      <c r="L53" s="1556"/>
      <c r="M53" s="1562"/>
      <c r="N53" s="460"/>
      <c r="O53" s="460"/>
      <c r="R53" s="1556"/>
      <c r="U53" s="467"/>
      <c r="AA53" s="1552"/>
      <c r="AB53" s="1552"/>
      <c r="AC53" s="1552"/>
      <c r="AD53" s="1552"/>
      <c r="AE53" s="1552"/>
    </row>
    <row r="54" spans="1:31" s="1287" customFormat="1" ht="11.25" customHeight="1">
      <c r="A54" s="898"/>
      <c r="C54" s="1556"/>
      <c r="D54" s="1558"/>
      <c r="E54" s="469"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7" t="s">
        <v>1010</v>
      </c>
      <c r="H54" s="480"/>
      <c r="I54" s="480"/>
      <c r="J54" s="204" t="str">
        <f>FHD_NOTE_P_18</f>
        <v/>
      </c>
      <c r="K54" s="1556" t="str">
        <f t="shared" si="0"/>
        <v/>
      </c>
      <c r="L54" s="1556"/>
      <c r="M54" s="1562"/>
      <c r="N54" s="460"/>
      <c r="O54" s="460"/>
      <c r="R54" s="1556"/>
      <c r="U54" s="467"/>
      <c r="AA54" s="1552"/>
      <c r="AB54" s="1552"/>
      <c r="AC54" s="1552"/>
      <c r="AD54" s="1552"/>
      <c r="AE54" s="1552"/>
    </row>
    <row r="55" spans="1:31" s="1287" customFormat="1" ht="11.25" customHeight="1">
      <c r="A55" s="898"/>
      <c r="C55" s="1556"/>
      <c r="D55" s="498"/>
      <c r="E55" s="469" t="str">
        <f>FHD_NUM_P_19</f>
        <v>2.6</v>
      </c>
      <c r="F55" s="1439" t="str">
        <f>FHD_P_19</f>
        <v>Расходы на амортизацию основных средств и нематериальных активов</v>
      </c>
      <c r="G55" s="1797" t="s">
        <v>1010</v>
      </c>
      <c r="H55" s="480"/>
      <c r="I55" s="480"/>
      <c r="J55" s="204" t="str">
        <f>FHD_NOTE_P_19</f>
        <v/>
      </c>
      <c r="K55" s="1556" t="str">
        <f t="shared" si="0"/>
        <v>p</v>
      </c>
      <c r="L55" s="1556"/>
      <c r="M55" s="1556"/>
      <c r="R55" s="1556"/>
      <c r="U55" s="467"/>
      <c r="AA55" s="1552"/>
      <c r="AB55" s="1552"/>
      <c r="AC55" s="1552"/>
      <c r="AD55" s="1552"/>
      <c r="AE55" s="1552"/>
    </row>
    <row r="56" spans="1:31" s="1287" customFormat="1" ht="11.25" customHeight="1">
      <c r="A56" s="898"/>
      <c r="C56" s="1556"/>
      <c r="D56" s="498"/>
      <c r="E56" s="469" t="str">
        <f>FHD_NUM_P_20</f>
        <v>2.6.1</v>
      </c>
      <c r="F56" s="1570" t="str">
        <f>FHD_P_20</f>
        <v>Расходы на амортизацию основных средств</v>
      </c>
      <c r="G56" s="1797" t="s">
        <v>1010</v>
      </c>
      <c r="H56" s="480"/>
      <c r="I56" s="480"/>
      <c r="J56" s="204" t="str">
        <f>FHD_NOTE_P_20</f>
        <v/>
      </c>
      <c r="K56" s="1556" t="str">
        <f t="shared" si="0"/>
        <v/>
      </c>
      <c r="L56" s="1556"/>
      <c r="M56" s="1556"/>
      <c r="R56" s="1556"/>
      <c r="U56" s="467"/>
      <c r="AA56" s="1552"/>
      <c r="AB56" s="1552"/>
      <c r="AC56" s="1552"/>
      <c r="AD56" s="1552"/>
      <c r="AE56" s="1552"/>
    </row>
    <row r="57" spans="1:31" s="1287" customFormat="1" ht="11.25" customHeight="1">
      <c r="A57" s="898"/>
      <c r="C57" s="1556"/>
      <c r="D57" s="498"/>
      <c r="E57" s="469" t="str">
        <f>FHD_NUM_P_21</f>
        <v>2.6.2</v>
      </c>
      <c r="F57" s="1570" t="str">
        <f>FHD_P_21</f>
        <v>Расходы на амортизацию нематериальных активов</v>
      </c>
      <c r="G57" s="1797" t="s">
        <v>1010</v>
      </c>
      <c r="H57" s="480"/>
      <c r="I57" s="480"/>
      <c r="J57" s="204" t="str">
        <f>FHD_NOTE_P_21</f>
        <v/>
      </c>
      <c r="K57" s="1556" t="str">
        <f t="shared" si="0"/>
        <v/>
      </c>
      <c r="L57" s="1556"/>
      <c r="M57" s="1556"/>
      <c r="R57" s="1556"/>
      <c r="U57" s="467"/>
      <c r="AA57" s="1552"/>
      <c r="AB57" s="1552"/>
      <c r="AC57" s="1552"/>
      <c r="AD57" s="1552"/>
      <c r="AE57" s="1552"/>
    </row>
    <row r="58" spans="1:31" s="1287" customFormat="1" ht="11.25" customHeight="1">
      <c r="A58" s="898"/>
      <c r="C58" s="1556"/>
      <c r="D58" s="1558"/>
      <c r="E58" s="469" t="str">
        <f>FHD_NUM_P_22</f>
        <v>2.7</v>
      </c>
      <c r="F58" s="1439" t="str">
        <f>FHD_P_22</f>
        <v>Расходы на аренду имущества, используемого для осуществления регулируемых видов деятельности в сфере холодного водоснабжения</v>
      </c>
      <c r="G58" s="1797" t="s">
        <v>1010</v>
      </c>
      <c r="H58" s="480"/>
      <c r="I58" s="480"/>
      <c r="J58" s="204" t="str">
        <f>FHD_NOTE_P_22</f>
        <v/>
      </c>
      <c r="K58" s="1556" t="str">
        <f t="shared" si="0"/>
        <v>p</v>
      </c>
      <c r="L58" s="1556"/>
      <c r="M58" s="1556"/>
      <c r="R58" s="1556"/>
      <c r="U58" s="467"/>
      <c r="AA58" s="1552"/>
      <c r="AB58" s="1552"/>
      <c r="AC58" s="1552"/>
      <c r="AD58" s="1552"/>
      <c r="AE58" s="1552"/>
    </row>
    <row r="59" spans="1:31" s="1287" customFormat="1" ht="11.25" customHeight="1">
      <c r="A59" s="898"/>
      <c r="C59" s="1556"/>
      <c r="D59" s="498"/>
      <c r="E59" s="469" t="str">
        <f>FHD_NUM_P_23</f>
        <v>2.8</v>
      </c>
      <c r="F59" s="1439" t="str">
        <f>FHD_P_23</f>
        <v>Общепроизводственные расходы, в том числе:</v>
      </c>
      <c r="G59" s="1797" t="s">
        <v>1010</v>
      </c>
      <c r="H59" s="480"/>
      <c r="I59" s="480"/>
      <c r="J59" s="204" t="str">
        <f>FHD_NOTE_P_23</f>
        <v>Указывается общая сумма общепроизводственных расходов.</v>
      </c>
      <c r="K59" s="1556" t="str">
        <f t="shared" si="0"/>
        <v>p</v>
      </c>
      <c r="L59" s="1556"/>
      <c r="M59" s="1556"/>
      <c r="R59" s="1556"/>
      <c r="U59" s="467"/>
      <c r="AA59" s="1552"/>
      <c r="AB59" s="1552"/>
      <c r="AC59" s="1552"/>
      <c r="AD59" s="1552"/>
      <c r="AE59" s="1552"/>
    </row>
    <row r="60" spans="1:31" s="1287" customFormat="1" ht="11.25" customHeight="1">
      <c r="A60" s="898"/>
      <c r="C60" s="1556"/>
      <c r="D60" s="498"/>
      <c r="E60" s="469" t="str">
        <f>FHD_NUM_P_24</f>
        <v>2.8.1</v>
      </c>
      <c r="F60" s="1570" t="str">
        <f>FHD_P_24</f>
        <v>Расходы на текущий ремонт</v>
      </c>
      <c r="G60" s="1797" t="s">
        <v>1010</v>
      </c>
      <c r="H60" s="480"/>
      <c r="I60" s="480"/>
      <c r="J60" s="204" t="str">
        <f>FHD_NOTE_P_24</f>
        <v>Указываются расходы на текущий ремонт, отнесенные к общепроизводственным расходам.</v>
      </c>
      <c r="K60" s="1556" t="str">
        <f t="shared" si="0"/>
        <v/>
      </c>
      <c r="L60" s="1556"/>
      <c r="M60" s="1556"/>
      <c r="R60" s="1556"/>
      <c r="U60" s="467"/>
      <c r="AA60" s="1552"/>
      <c r="AB60" s="1552"/>
      <c r="AC60" s="1552"/>
      <c r="AD60" s="1552"/>
      <c r="AE60" s="1552"/>
    </row>
    <row r="61" spans="1:31" s="1287" customFormat="1" ht="11.25" customHeight="1">
      <c r="A61" s="898"/>
      <c r="C61" s="1556"/>
      <c r="D61" s="498"/>
      <c r="E61" s="469" t="str">
        <f>FHD_NUM_P_25</f>
        <v>2.8.2</v>
      </c>
      <c r="F61" s="1570" t="str">
        <f>FHD_P_25</f>
        <v>Расходы на капитальный ремонт</v>
      </c>
      <c r="G61" s="1797" t="s">
        <v>1010</v>
      </c>
      <c r="H61" s="480"/>
      <c r="I61" s="480"/>
      <c r="J61" s="204" t="str">
        <f>FHD_NOTE_P_25</f>
        <v>Указываются расходы на капитальный ремонт, отнесенные к общепроизводственным расходам.</v>
      </c>
      <c r="K61" s="1556" t="str">
        <f t="shared" si="0"/>
        <v/>
      </c>
      <c r="L61" s="1556"/>
      <c r="M61" s="1556"/>
      <c r="R61" s="1556"/>
      <c r="U61" s="467"/>
      <c r="AA61" s="1552"/>
      <c r="AB61" s="1552"/>
      <c r="AC61" s="1552"/>
      <c r="AD61" s="1552"/>
      <c r="AE61" s="1552"/>
    </row>
    <row r="62" spans="1:31" s="1287" customFormat="1" ht="11.25" customHeight="1">
      <c r="A62" s="898"/>
      <c r="C62" s="1556"/>
      <c r="D62" s="1558"/>
      <c r="E62" s="469" t="str">
        <f>FHD_NUM_P_26</f>
        <v>2.9</v>
      </c>
      <c r="F62" s="1439" t="str">
        <f>FHD_P_26</f>
        <v>Общехозяйственные расходы, в том числе:</v>
      </c>
      <c r="G62" s="1797" t="s">
        <v>1010</v>
      </c>
      <c r="H62" s="480"/>
      <c r="I62" s="480"/>
      <c r="J62" s="204" t="str">
        <f>FHD_NOTE_P_26</f>
        <v>Указывается общая сумма общехозяйственных расходов.</v>
      </c>
      <c r="K62" s="1556" t="str">
        <f t="shared" si="0"/>
        <v>p</v>
      </c>
      <c r="L62" s="1556"/>
      <c r="M62" s="1556"/>
      <c r="R62" s="1556"/>
      <c r="U62" s="467"/>
      <c r="AA62" s="1552"/>
      <c r="AB62" s="1552"/>
      <c r="AC62" s="1552"/>
      <c r="AD62" s="1552"/>
      <c r="AE62" s="1552"/>
    </row>
    <row r="63" spans="1:31" s="1287" customFormat="1" ht="11.25" customHeight="1">
      <c r="A63" s="898"/>
      <c r="C63" s="1556"/>
      <c r="D63" s="1558"/>
      <c r="E63" s="469" t="str">
        <f>FHD_NUM_P_27</f>
        <v>2.9.1</v>
      </c>
      <c r="F63" s="1570" t="str">
        <f>FHD_P_27</f>
        <v>Расходы на текущий ремонт</v>
      </c>
      <c r="G63" s="1797" t="s">
        <v>1010</v>
      </c>
      <c r="H63" s="480"/>
      <c r="I63" s="480"/>
      <c r="J63" s="204" t="str">
        <f>FHD_NOTE_P_27</f>
        <v>Указываются расходы на текущий ремонт, отнесенные к общехозяйственным расходам.</v>
      </c>
      <c r="K63" s="1556" t="str">
        <f t="shared" si="0"/>
        <v/>
      </c>
      <c r="L63" s="1556"/>
      <c r="M63" s="1556"/>
      <c r="R63" s="1556"/>
      <c r="U63" s="467"/>
      <c r="AA63" s="1552"/>
      <c r="AB63" s="1552"/>
      <c r="AC63" s="1552"/>
      <c r="AD63" s="1552"/>
      <c r="AE63" s="1552"/>
    </row>
    <row r="64" spans="1:31" s="1287" customFormat="1" ht="11.25" customHeight="1">
      <c r="A64" s="898"/>
      <c r="C64" s="1556"/>
      <c r="D64" s="1558"/>
      <c r="E64" s="469" t="str">
        <f>FHD_NUM_P_28</f>
        <v>2.9.2</v>
      </c>
      <c r="F64" s="1570" t="str">
        <f>FHD_P_28</f>
        <v>Расходы на капитальный ремонт</v>
      </c>
      <c r="G64" s="1797" t="s">
        <v>1010</v>
      </c>
      <c r="H64" s="480"/>
      <c r="I64" s="480"/>
      <c r="J64" s="204" t="str">
        <f>FHD_NOTE_P_28</f>
        <v>Указываются расходы на капитальный ремонт, отнесенные к общехозяйственным расходам.</v>
      </c>
      <c r="K64" s="1556" t="str">
        <f t="shared" si="0"/>
        <v/>
      </c>
      <c r="L64" s="1556"/>
      <c r="M64" s="1556"/>
      <c r="R64" s="1556"/>
      <c r="U64" s="467"/>
      <c r="AA64" s="1552"/>
      <c r="AB64" s="1552"/>
      <c r="AC64" s="1552"/>
      <c r="AD64" s="1552"/>
      <c r="AE64" s="1552"/>
    </row>
    <row r="65" spans="1:31" s="1287" customFormat="1" ht="11.25" customHeight="1">
      <c r="A65" s="898"/>
      <c r="C65" s="1556"/>
      <c r="D65" s="1558"/>
      <c r="E65" s="469" t="str">
        <f>FHD_NUM_P_29</f>
        <v>2.10</v>
      </c>
      <c r="F65" s="1439" t="str">
        <f>FHD_P_29</f>
        <v>Расходы на капитальный и текущий ремонт основных средств</v>
      </c>
      <c r="G65" s="1797" t="s">
        <v>1010</v>
      </c>
      <c r="H65" s="480"/>
      <c r="I65" s="480"/>
      <c r="J65" s="20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67"/>
      <c r="AA65" s="1552"/>
      <c r="AB65" s="1552"/>
      <c r="AC65" s="1552"/>
      <c r="AD65" s="1552"/>
      <c r="AE65" s="1552"/>
    </row>
    <row r="66" spans="1:31" s="1287" customFormat="1" ht="11.25" customHeight="1">
      <c r="A66" s="898"/>
      <c r="C66" s="1556"/>
      <c r="D66" s="1558"/>
      <c r="E66" s="469"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7" t="s">
        <v>769</v>
      </c>
      <c r="H66" s="1569" t="s">
        <v>1033</v>
      </c>
      <c r="I66" s="1569" t="s">
        <v>1033</v>
      </c>
      <c r="J66" s="204" t="str">
        <f>FHD_NOTE_P_30</f>
        <v/>
      </c>
      <c r="K66" s="1556" t="str">
        <f t="shared" si="0"/>
        <v/>
      </c>
      <c r="L66" s="1556">
        <f>IFERROR(MATCH("есть",B_FHD_FLAG_INDEX_1,0),0)</f>
        <v>0</v>
      </c>
      <c r="M66" s="1556"/>
      <c r="R66" s="1556"/>
      <c r="U66" s="467"/>
      <c r="AA66" s="1552"/>
      <c r="AB66" s="1552"/>
      <c r="AC66" s="1552"/>
      <c r="AD66" s="1552"/>
      <c r="AE66" s="1552"/>
    </row>
    <row r="67" spans="1:31" s="1287" customFormat="1" ht="22.5" customHeight="1">
      <c r="A67" s="8962" t="s">
        <v>1034</v>
      </c>
      <c r="C67" s="1556"/>
      <c r="D67" s="1558"/>
      <c r="E67" s="469" t="str">
        <f>FHD_NUM_P_31</f>
        <v>2.11</v>
      </c>
      <c r="F67" s="1439"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7" t="s">
        <v>1010</v>
      </c>
      <c r="H67" s="480"/>
      <c r="I67" s="480"/>
      <c r="J67" s="20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67"/>
      <c r="AA67" s="1552"/>
      <c r="AB67" s="1552"/>
      <c r="AC67" s="1552"/>
      <c r="AD67" s="1552"/>
      <c r="AE67" s="1552"/>
    </row>
    <row r="68" spans="1:31" s="1287" customFormat="1" ht="45" customHeight="1">
      <c r="A68" s="8962"/>
      <c r="C68" s="1556"/>
      <c r="D68" s="1558"/>
      <c r="E68" s="469"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7" t="s">
        <v>769</v>
      </c>
      <c r="H68" s="1569" t="s">
        <v>1033</v>
      </c>
      <c r="I68" s="1569" t="s">
        <v>1033</v>
      </c>
      <c r="J68" s="204" t="str">
        <f>FHD_NOTE_P_32</f>
        <v/>
      </c>
      <c r="K68" s="1556" t="str">
        <f t="shared" si="0"/>
        <v/>
      </c>
      <c r="L68" s="1556">
        <f>IFERROR(MATCH("есть",B_FHD_FLAG_INDEX_2,0),0)</f>
        <v>0</v>
      </c>
      <c r="M68" s="1556"/>
      <c r="R68" s="1556"/>
      <c r="U68" s="467"/>
      <c r="AA68" s="1552"/>
      <c r="AB68" s="1552"/>
      <c r="AC68" s="1552"/>
      <c r="AD68" s="1552"/>
      <c r="AE68" s="1552"/>
    </row>
    <row r="69" spans="1:31" s="1287" customFormat="1" ht="11.25" customHeight="1">
      <c r="A69" s="898"/>
      <c r="C69" s="1556"/>
      <c r="D69" s="1558"/>
      <c r="E69" s="469" t="str">
        <f>FHD_NUM_P_33</f>
        <v>2.12</v>
      </c>
      <c r="F69" s="1439"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8" t="s">
        <v>1010</v>
      </c>
      <c r="H69" s="502">
        <f>SUM(H70:H71)</f>
        <v>0</v>
      </c>
      <c r="I69" s="502">
        <f>SUM(I70:I71)</f>
        <v>0</v>
      </c>
      <c r="J69" s="20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67"/>
      <c r="AA69" s="1552"/>
      <c r="AB69" s="1552"/>
      <c r="AC69" s="1552"/>
      <c r="AD69" s="1552"/>
      <c r="AE69" s="1552"/>
    </row>
    <row r="70" spans="1:31" s="1562" customFormat="1" ht="0.75" customHeight="1">
      <c r="A70" s="1072"/>
      <c r="D70" s="471"/>
      <c r="E70" s="924" t="str">
        <f>E69&amp;".0"</f>
        <v>2.12.0</v>
      </c>
      <c r="F70" s="902"/>
      <c r="G70" s="924"/>
      <c r="H70" s="903"/>
      <c r="I70" s="903"/>
      <c r="J70" s="904"/>
      <c r="K70" s="1556" t="str">
        <f t="shared" si="0"/>
        <v/>
      </c>
    </row>
    <row r="71" spans="1:31" s="1287" customFormat="1" ht="14.25" customHeight="1">
      <c r="A71" s="898"/>
      <c r="C71" s="1556"/>
      <c r="D71" s="1553"/>
      <c r="E71" s="493"/>
      <c r="F71" s="494" t="s">
        <v>1035</v>
      </c>
      <c r="G71" s="495"/>
      <c r="H71" s="496"/>
      <c r="I71" s="496"/>
      <c r="J71" s="215"/>
      <c r="K71" s="1556"/>
      <c r="L71" s="1556"/>
      <c r="M71" s="1556"/>
      <c r="R71" s="1556"/>
      <c r="U71" s="467"/>
      <c r="AA71" s="1552"/>
      <c r="AB71" s="1552"/>
      <c r="AC71" s="1552"/>
      <c r="AD71" s="1552"/>
      <c r="AE71" s="1552"/>
    </row>
    <row r="72" spans="1:31" s="1287" customFormat="1" ht="18.75" hidden="1" customHeight="1">
      <c r="A72" s="900" t="s">
        <v>1036</v>
      </c>
      <c r="C72" s="1556"/>
      <c r="D72" s="1558"/>
      <c r="E72" s="469" t="str">
        <f>FHD_NUM_P_34</f>
        <v/>
      </c>
      <c r="F72" s="1799" t="str">
        <f>FHD_P_34</f>
        <v/>
      </c>
      <c r="G72" s="1797" t="s">
        <v>1010</v>
      </c>
      <c r="H72" s="480"/>
      <c r="I72" s="480"/>
      <c r="J72" s="204" t="str">
        <f>FHD_NOTE_P_34</f>
        <v/>
      </c>
      <c r="K72" s="466"/>
      <c r="L72" s="1556"/>
      <c r="M72" s="1556"/>
      <c r="R72" s="1556"/>
      <c r="U72" s="467"/>
      <c r="AA72" s="1552"/>
      <c r="AB72" s="1552"/>
      <c r="AC72" s="1552"/>
      <c r="AD72" s="1552"/>
      <c r="AE72" s="1552"/>
    </row>
    <row r="73" spans="1:31" s="1287" customFormat="1" ht="18.75" customHeight="1">
      <c r="A73" s="898"/>
      <c r="C73" s="1556"/>
      <c r="D73" s="498"/>
      <c r="E73" s="469" t="str">
        <f>FHD_NUM_P_35</f>
        <v>3</v>
      </c>
      <c r="F73" s="1799" t="str">
        <f>FHD_P_35</f>
        <v>Чистая прибыль, полученная от регулируемого вида деятельности в сфере холодного водоснабжения, в том числе:</v>
      </c>
      <c r="G73" s="1797" t="s">
        <v>1010</v>
      </c>
      <c r="H73" s="480"/>
      <c r="I73" s="480"/>
      <c r="J73" s="204" t="str">
        <f>FHD_NOTE_P_35</f>
        <v>Указывается общая сумма чистой прибыли, полученной от регулируемого вида деятельности.</v>
      </c>
      <c r="K73" s="466"/>
      <c r="L73" s="1556"/>
      <c r="M73" s="1556"/>
      <c r="R73" s="1556"/>
      <c r="U73" s="467"/>
      <c r="AA73" s="1552"/>
      <c r="AB73" s="1552"/>
      <c r="AC73" s="1552"/>
      <c r="AD73" s="1552"/>
      <c r="AE73" s="1552"/>
    </row>
    <row r="74" spans="1:31" s="1287" customFormat="1" ht="18.75" customHeight="1">
      <c r="A74" s="898"/>
      <c r="C74" s="1556"/>
      <c r="D74" s="1558"/>
      <c r="E74" s="469" t="str">
        <f>FHD_NUM_P_36</f>
        <v>3.1</v>
      </c>
      <c r="F74" s="1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7" t="s">
        <v>1010</v>
      </c>
      <c r="H74" s="480"/>
      <c r="I74" s="480"/>
      <c r="J74" s="204" t="str">
        <f>FHD_NOTE_P_36</f>
        <v/>
      </c>
      <c r="K74" s="466"/>
      <c r="L74" s="1556"/>
      <c r="M74" s="1556"/>
      <c r="R74" s="1556"/>
      <c r="U74" s="467"/>
      <c r="AA74" s="1552"/>
      <c r="AB74" s="1552"/>
      <c r="AC74" s="1552"/>
      <c r="AD74" s="1552"/>
      <c r="AE74" s="1552"/>
    </row>
    <row r="75" spans="1:31" s="1287" customFormat="1" ht="18.75" customHeight="1">
      <c r="A75" s="898"/>
      <c r="C75" s="1556"/>
      <c r="D75" s="1558"/>
      <c r="E75" s="469" t="str">
        <f>FHD_NUM_P_37</f>
        <v>4</v>
      </c>
      <c r="F75" s="1799" t="str">
        <f>FHD_P_37</f>
        <v>Изменение стоимости основных фондов, в том числе:</v>
      </c>
      <c r="G75" s="1797" t="s">
        <v>1010</v>
      </c>
      <c r="H75" s="480"/>
      <c r="I75" s="480"/>
      <c r="J75" s="204" t="str">
        <f>FHD_NOTE_P_37</f>
        <v>Указывается общее изменение стоимости основных фондов.</v>
      </c>
      <c r="K75" s="466"/>
      <c r="L75" s="1556"/>
      <c r="M75" s="1556"/>
      <c r="R75" s="1556"/>
      <c r="U75" s="467"/>
      <c r="AA75" s="1552"/>
      <c r="AB75" s="1552"/>
      <c r="AC75" s="1552"/>
      <c r="AD75" s="1552"/>
      <c r="AE75" s="1552"/>
    </row>
    <row r="76" spans="1:31" s="1287" customFormat="1" ht="18.75" customHeight="1">
      <c r="A76" s="898"/>
      <c r="C76" s="1556"/>
      <c r="D76" s="1558"/>
      <c r="E76" s="469" t="str">
        <f>FHD_NUM_P_38</f>
        <v>4.1</v>
      </c>
      <c r="F76" s="1439" t="str">
        <f>FHD_P_38</f>
        <v>Изменение стоимости основных фондов за счет их ввода в эксплуатацию (вывода из эксплуатации)</v>
      </c>
      <c r="G76" s="1797" t="s">
        <v>1010</v>
      </c>
      <c r="H76" s="480"/>
      <c r="I76" s="480"/>
      <c r="J76" s="204" t="str">
        <f>FHD_NOTE_P_38</f>
        <v>Указываются общее изменение стоимости основных фондов за счет их ввода в эксплуатацию и вывода из эксплуатации.</v>
      </c>
      <c r="K76" s="466"/>
      <c r="L76" s="1556"/>
      <c r="M76" s="1556"/>
      <c r="R76" s="1556"/>
      <c r="U76" s="467"/>
      <c r="AA76" s="1552"/>
      <c r="AB76" s="1552"/>
      <c r="AC76" s="1552"/>
      <c r="AD76" s="1552"/>
      <c r="AE76" s="1552"/>
    </row>
    <row r="77" spans="1:31" s="1287" customFormat="1" ht="18.75" customHeight="1">
      <c r="A77" s="898"/>
      <c r="C77" s="1556"/>
      <c r="D77" s="1558"/>
      <c r="E77" s="469" t="str">
        <f>FHD_NUM_P_39</f>
        <v>4.1.1</v>
      </c>
      <c r="F77" s="1570" t="str">
        <f>FHD_P_39</f>
        <v>Изменение стоимости основных фондов за счет их ввода в эксплуатацию</v>
      </c>
      <c r="G77" s="1797" t="s">
        <v>1010</v>
      </c>
      <c r="H77" s="480"/>
      <c r="I77" s="480"/>
      <c r="J77" s="204" t="str">
        <f>FHD_NOTE_P_39</f>
        <v>Указываются изменение стоимости основных фондов за счет их ввода в эксплуатацию.</v>
      </c>
      <c r="K77" s="466"/>
      <c r="L77" s="1556"/>
      <c r="M77" s="1556"/>
      <c r="R77" s="1556"/>
      <c r="U77" s="467"/>
      <c r="AA77" s="1552"/>
      <c r="AB77" s="1552"/>
      <c r="AC77" s="1552"/>
      <c r="AD77" s="1552"/>
      <c r="AE77" s="1552"/>
    </row>
    <row r="78" spans="1:31" s="1287" customFormat="1" ht="18.75" customHeight="1">
      <c r="A78" s="898"/>
      <c r="C78" s="1556"/>
      <c r="D78" s="1558"/>
      <c r="E78" s="469" t="str">
        <f>FHD_NUM_P_40</f>
        <v>4.1.2</v>
      </c>
      <c r="F78" s="1570" t="str">
        <f>FHD_P_40</f>
        <v>Изменение стоимости основных фондов за счет их вывода в эксплуатацию</v>
      </c>
      <c r="G78" s="1797" t="s">
        <v>1010</v>
      </c>
      <c r="H78" s="480"/>
      <c r="I78" s="480"/>
      <c r="J78" s="204" t="str">
        <f>FHD_NOTE_P_40</f>
        <v>Указываются изменение стоимости основных фондов за счет их вывода из эксплуатации.</v>
      </c>
      <c r="K78" s="466"/>
      <c r="L78" s="1556"/>
      <c r="M78" s="1556"/>
      <c r="R78" s="1556"/>
      <c r="U78" s="467"/>
      <c r="AA78" s="1552"/>
      <c r="AB78" s="1552"/>
      <c r="AC78" s="1552"/>
      <c r="AD78" s="1552"/>
      <c r="AE78" s="1552"/>
    </row>
    <row r="79" spans="1:31" s="1287" customFormat="1" ht="18.75" customHeight="1">
      <c r="A79" s="898"/>
      <c r="C79" s="1556"/>
      <c r="D79" s="1558"/>
      <c r="E79" s="469" t="str">
        <f>FHD_NUM_P_41</f>
        <v>4.2</v>
      </c>
      <c r="F79" s="1439" t="str">
        <f>FHD_P_41</f>
        <v>Изменение стоимости основных фондов за счет их переоценки</v>
      </c>
      <c r="G79" s="1798" t="s">
        <v>1010</v>
      </c>
      <c r="H79" s="480"/>
      <c r="I79" s="480"/>
      <c r="J79" s="204" t="str">
        <f>FHD_NOTE_P_41</f>
        <v/>
      </c>
      <c r="K79" s="466"/>
      <c r="L79" s="1556"/>
      <c r="M79" s="1556"/>
      <c r="R79" s="1556"/>
      <c r="U79" s="467"/>
      <c r="AA79" s="1552"/>
      <c r="AB79" s="1552"/>
      <c r="AC79" s="1552"/>
      <c r="AD79" s="1552"/>
      <c r="AE79" s="1552"/>
    </row>
    <row r="80" spans="1:31" s="1287" customFormat="1" ht="18.75" customHeight="1">
      <c r="A80" s="900" t="s">
        <v>1037</v>
      </c>
      <c r="C80" s="1556"/>
      <c r="D80" s="1558"/>
      <c r="E80" s="469" t="str">
        <f>FHD_NUM_P_42</f>
        <v>5</v>
      </c>
      <c r="F80" s="1799" t="str">
        <f>FHD_P_42</f>
        <v>Валовая прибыль (убытки) от продажи товаров и услуг по регулируемым видам деятельности в сфере холодного водоснабжения</v>
      </c>
      <c r="G80" s="1797" t="s">
        <v>1010</v>
      </c>
      <c r="H80" s="887"/>
      <c r="I80" s="480"/>
      <c r="J80" s="204" t="str">
        <f>FHD_NOTE_P_42</f>
        <v/>
      </c>
      <c r="K80" s="466"/>
      <c r="L80" s="1556"/>
      <c r="M80" s="1556"/>
      <c r="R80" s="1556"/>
      <c r="U80" s="467"/>
      <c r="AA80" s="1552"/>
      <c r="AB80" s="1552"/>
      <c r="AC80" s="1552"/>
      <c r="AD80" s="1552"/>
      <c r="AE80" s="1552"/>
    </row>
    <row r="81" spans="1:31" s="1287" customFormat="1" ht="18.75" customHeight="1">
      <c r="A81" s="898"/>
      <c r="C81" s="1556"/>
      <c r="D81" s="1558"/>
      <c r="E81" s="469" t="str">
        <f>FHD_NUM_P_43</f>
        <v>6</v>
      </c>
      <c r="F81" s="1799" t="str">
        <f>FHD_P_43</f>
        <v>Годовая бухгалтерская (финансовая) отчетность, включая бухгалтерский баланс и приложения к нему</v>
      </c>
      <c r="G81" s="1797" t="s">
        <v>769</v>
      </c>
      <c r="H81" s="966"/>
      <c r="I81" s="732"/>
      <c r="J81" s="20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6"/>
      <c r="L81" s="1556"/>
      <c r="M81" s="1556"/>
      <c r="R81" s="1556"/>
      <c r="U81" s="467"/>
      <c r="AA81" s="1552"/>
      <c r="AB81" s="1552"/>
      <c r="AC81" s="1552"/>
      <c r="AD81" s="1552"/>
      <c r="AE81" s="1552"/>
    </row>
    <row r="82" spans="1:31" s="1287" customFormat="1" ht="18.75" customHeight="1">
      <c r="A82" s="8962" t="s">
        <v>1038</v>
      </c>
      <c r="C82" s="652"/>
      <c r="D82" s="650"/>
      <c r="E82" s="469" t="str">
        <f>FHD_NUM_P_44</f>
        <v>7</v>
      </c>
      <c r="F82" s="1799" t="str">
        <f>FHD_P_44</f>
        <v>Объём поднятой воды</v>
      </c>
      <c r="G82" s="1800" t="s">
        <v>1039</v>
      </c>
      <c r="H82" s="888"/>
      <c r="I82" s="500"/>
      <c r="J82" s="204" t="str">
        <f>FHD_NOTE_P_44</f>
        <v/>
      </c>
      <c r="K82" s="651"/>
      <c r="L82" s="652"/>
      <c r="M82" s="652"/>
      <c r="R82" s="652"/>
      <c r="U82" s="653"/>
      <c r="AA82" s="654"/>
      <c r="AB82" s="654"/>
      <c r="AC82" s="654"/>
      <c r="AD82" s="654"/>
      <c r="AE82" s="654"/>
    </row>
    <row r="83" spans="1:31" s="1287" customFormat="1" ht="18.75" customHeight="1">
      <c r="A83" s="8962"/>
      <c r="C83" s="652"/>
      <c r="D83" s="650"/>
      <c r="E83" s="469" t="str">
        <f>FHD_NUM_P_45</f>
        <v>8</v>
      </c>
      <c r="F83" s="1799" t="str">
        <f>FHD_P_45</f>
        <v>Объём покупной воды</v>
      </c>
      <c r="G83" s="1800" t="s">
        <v>1039</v>
      </c>
      <c r="H83" s="888"/>
      <c r="I83" s="500"/>
      <c r="J83" s="204" t="str">
        <f>FHD_NOTE_P_45</f>
        <v/>
      </c>
      <c r="K83" s="651"/>
      <c r="L83" s="652"/>
      <c r="M83" s="652"/>
      <c r="R83" s="652"/>
      <c r="U83" s="653"/>
      <c r="AA83" s="654"/>
      <c r="AB83" s="654"/>
      <c r="AC83" s="654"/>
      <c r="AD83" s="654"/>
      <c r="AE83" s="654"/>
    </row>
    <row r="84" spans="1:31" s="1287" customFormat="1" ht="18.75" customHeight="1">
      <c r="A84" s="8962"/>
      <c r="C84" s="652"/>
      <c r="D84" s="655"/>
      <c r="E84" s="469" t="str">
        <f>FHD_NUM_P_46</f>
        <v>9</v>
      </c>
      <c r="F84" s="1799" t="str">
        <f>FHD_P_46</f>
        <v>Объём воды, пропущенной через очистные сооружения</v>
      </c>
      <c r="G84" s="1800" t="s">
        <v>1039</v>
      </c>
      <c r="H84" s="888"/>
      <c r="I84" s="500"/>
      <c r="J84" s="204" t="str">
        <f>FHD_NOTE_P_46</f>
        <v/>
      </c>
      <c r="K84" s="651"/>
      <c r="L84" s="652"/>
      <c r="M84" s="652"/>
      <c r="R84" s="652"/>
      <c r="U84" s="653"/>
      <c r="AA84" s="654"/>
      <c r="AB84" s="654"/>
      <c r="AC84" s="654"/>
      <c r="AD84" s="654"/>
      <c r="AE84" s="654"/>
    </row>
    <row r="85" spans="1:31" s="1287" customFormat="1" ht="18.75" customHeight="1">
      <c r="A85" s="8962"/>
      <c r="C85" s="652"/>
      <c r="D85" s="650"/>
      <c r="E85" s="469" t="str">
        <f>FHD_NUM_P_47</f>
        <v>10</v>
      </c>
      <c r="F85" s="1799" t="str">
        <f>FHD_P_47</f>
        <v>Объём отпущенной потребителям воды, в том числе:</v>
      </c>
      <c r="G85" s="1800" t="s">
        <v>1039</v>
      </c>
      <c r="H85" s="888"/>
      <c r="I85" s="500"/>
      <c r="J85" s="204" t="str">
        <f>FHD_NOTE_P_47</f>
        <v>Указывается общий объем отпущенной потребителям воды.</v>
      </c>
      <c r="K85" s="651"/>
      <c r="L85" s="652"/>
      <c r="M85" s="652"/>
      <c r="R85" s="652"/>
      <c r="U85" s="653"/>
      <c r="AA85" s="654"/>
      <c r="AB85" s="654"/>
      <c r="AC85" s="654"/>
      <c r="AD85" s="654"/>
      <c r="AE85" s="654"/>
    </row>
    <row r="86" spans="1:31" s="1555" customFormat="1" ht="18.75" customHeight="1">
      <c r="A86" s="8962"/>
      <c r="B86" s="824"/>
      <c r="C86" s="652"/>
      <c r="D86" s="650"/>
      <c r="E86" s="469" t="str">
        <f>FHD_NUM_P_48</f>
        <v>10.1</v>
      </c>
      <c r="F86" s="1799" t="str">
        <f>FHD_P_48</f>
        <v>Объём отпущенной потребителям воды, определенный по приборам учета</v>
      </c>
      <c r="G86" s="1800" t="s">
        <v>1039</v>
      </c>
      <c r="H86" s="888"/>
      <c r="I86" s="500"/>
      <c r="J86" s="204" t="str">
        <f>FHD_NOTE_P_48</f>
        <v/>
      </c>
      <c r="K86" s="651"/>
      <c r="L86" s="652"/>
      <c r="M86" s="652"/>
      <c r="N86" s="824"/>
      <c r="O86" s="824"/>
      <c r="P86" s="824"/>
      <c r="Q86" s="824"/>
      <c r="R86" s="652"/>
      <c r="S86" s="824"/>
      <c r="T86" s="824"/>
      <c r="U86" s="653"/>
      <c r="V86" s="824"/>
      <c r="W86" s="824"/>
      <c r="X86" s="824"/>
      <c r="Y86" s="824"/>
      <c r="Z86" s="824"/>
      <c r="AA86" s="654"/>
      <c r="AB86" s="654"/>
      <c r="AC86" s="654"/>
      <c r="AD86" s="654"/>
      <c r="AE86" s="654"/>
    </row>
    <row r="87" spans="1:31" s="1555" customFormat="1" ht="18.75" customHeight="1">
      <c r="A87" s="8962"/>
      <c r="B87" s="824"/>
      <c r="C87" s="652"/>
      <c r="D87" s="650"/>
      <c r="E87" s="469" t="str">
        <f>FHD_NUM_P_49</f>
        <v>10.2</v>
      </c>
      <c r="F87" s="1799" t="str">
        <f>FHD_P_49</f>
        <v>Объём отпущенной потребителям воды, определенный расчетным способом</v>
      </c>
      <c r="G87" s="1800" t="s">
        <v>1039</v>
      </c>
      <c r="H87" s="889">
        <f>SUM(H88:H89)</f>
        <v>0</v>
      </c>
      <c r="I87" s="665">
        <f>SUM(I88:I89)</f>
        <v>0</v>
      </c>
      <c r="J87" s="204" t="str">
        <f>FHD_NOTE_P_49</f>
        <v/>
      </c>
      <c r="K87" s="651"/>
      <c r="L87" s="652"/>
      <c r="M87" s="652"/>
      <c r="N87" s="824"/>
      <c r="O87" s="824"/>
      <c r="P87" s="824"/>
      <c r="Q87" s="824"/>
      <c r="R87" s="652"/>
      <c r="S87" s="824"/>
      <c r="T87" s="824"/>
      <c r="U87" s="653"/>
      <c r="V87" s="824"/>
      <c r="W87" s="824"/>
      <c r="X87" s="824"/>
      <c r="Y87" s="824"/>
      <c r="Z87" s="824"/>
      <c r="AA87" s="654"/>
      <c r="AB87" s="654"/>
      <c r="AC87" s="654"/>
      <c r="AD87" s="654"/>
      <c r="AE87" s="654"/>
    </row>
    <row r="88" spans="1:31" s="1555" customFormat="1" ht="18.75" customHeight="1">
      <c r="A88" s="8962"/>
      <c r="B88" s="824"/>
      <c r="C88" s="652"/>
      <c r="D88" s="650"/>
      <c r="E88" s="469" t="str">
        <f>FHD_NUM_P_50</f>
        <v>10.2.1</v>
      </c>
      <c r="F88" s="1799" t="str">
        <f>FHD_P_50</f>
        <v>Объём отпущенной потребителям воды, определенный по нормативам потребления коммунальных услуг</v>
      </c>
      <c r="G88" s="1800" t="s">
        <v>1039</v>
      </c>
      <c r="H88" s="888"/>
      <c r="I88" s="500"/>
      <c r="J88" s="204" t="str">
        <f>FHD_NOTE_P_50</f>
        <v/>
      </c>
      <c r="K88" s="651"/>
      <c r="L88" s="652"/>
      <c r="M88" s="652"/>
      <c r="N88" s="824"/>
      <c r="O88" s="824"/>
      <c r="P88" s="824"/>
      <c r="Q88" s="824"/>
      <c r="R88" s="652"/>
      <c r="S88" s="824"/>
      <c r="T88" s="824"/>
      <c r="U88" s="653"/>
      <c r="V88" s="824"/>
      <c r="W88" s="824"/>
      <c r="X88" s="824"/>
      <c r="Y88" s="824"/>
      <c r="Z88" s="824"/>
      <c r="AA88" s="654"/>
      <c r="AB88" s="654"/>
      <c r="AC88" s="654"/>
      <c r="AD88" s="654"/>
      <c r="AE88" s="654"/>
    </row>
    <row r="89" spans="1:31" s="1555" customFormat="1" ht="18.75" customHeight="1">
      <c r="A89" s="8962"/>
      <c r="B89" s="824"/>
      <c r="C89" s="652"/>
      <c r="D89" s="650"/>
      <c r="E89" s="469" t="str">
        <f>FHD_NUM_P_51</f>
        <v>10.2.2</v>
      </c>
      <c r="F89" s="1799" t="str">
        <f>FHD_P_51</f>
        <v xml:space="preserve">Объём отпущенной потребителям воды, определенный по нормативам потребления коммунальных ресурсов </v>
      </c>
      <c r="G89" s="1800" t="s">
        <v>1039</v>
      </c>
      <c r="H89" s="888"/>
      <c r="I89" s="500"/>
      <c r="J89" s="204" t="str">
        <f>FHD_NOTE_P_51</f>
        <v/>
      </c>
      <c r="K89" s="651"/>
      <c r="L89" s="652"/>
      <c r="M89" s="652"/>
      <c r="N89" s="824"/>
      <c r="O89" s="824"/>
      <c r="P89" s="824"/>
      <c r="Q89" s="824"/>
      <c r="R89" s="652"/>
      <c r="S89" s="824"/>
      <c r="T89" s="824"/>
      <c r="U89" s="653"/>
      <c r="V89" s="824"/>
      <c r="W89" s="824"/>
      <c r="X89" s="824"/>
      <c r="Y89" s="824"/>
      <c r="Z89" s="824"/>
      <c r="AA89" s="654"/>
      <c r="AB89" s="654"/>
      <c r="AC89" s="654"/>
      <c r="AD89" s="654"/>
      <c r="AE89" s="654"/>
    </row>
    <row r="90" spans="1:31" s="1555" customFormat="1" ht="18.75" customHeight="1">
      <c r="A90" s="8962"/>
      <c r="B90" s="824"/>
      <c r="C90" s="652"/>
      <c r="D90" s="650"/>
      <c r="E90" s="469" t="str">
        <f>FHD_NUM_P_52</f>
        <v>11</v>
      </c>
      <c r="F90" s="1799" t="str">
        <f>FHD_P_52</f>
        <v>Потери воды в сетях</v>
      </c>
      <c r="G90" s="1800" t="s">
        <v>1016</v>
      </c>
      <c r="H90" s="887"/>
      <c r="I90" s="480"/>
      <c r="J90" s="204" t="str">
        <f>FHD_NOTE_P_52</f>
        <v/>
      </c>
      <c r="K90" s="651"/>
      <c r="L90" s="652"/>
      <c r="M90" s="652"/>
      <c r="N90" s="824"/>
      <c r="O90" s="824"/>
      <c r="P90" s="824"/>
      <c r="Q90" s="824"/>
      <c r="R90" s="652"/>
      <c r="S90" s="824"/>
      <c r="T90" s="824"/>
      <c r="U90" s="653"/>
      <c r="V90" s="824"/>
      <c r="W90" s="824"/>
      <c r="X90" s="824"/>
      <c r="Y90" s="824"/>
      <c r="Z90" s="824"/>
      <c r="AA90" s="654"/>
      <c r="AB90" s="654"/>
      <c r="AC90" s="654"/>
      <c r="AD90" s="654"/>
      <c r="AE90" s="654"/>
    </row>
    <row r="91" spans="1:31" s="1287" customFormat="1" ht="18.75" hidden="1" customHeight="1">
      <c r="A91" s="8962" t="s">
        <v>1040</v>
      </c>
      <c r="C91" s="652"/>
      <c r="D91" s="650"/>
      <c r="E91" s="469" t="str">
        <f>FHD_NUM_P_53</f>
        <v/>
      </c>
      <c r="F91" s="1799" t="str">
        <f>FHD_P_53</f>
        <v/>
      </c>
      <c r="G91" s="1800" t="s">
        <v>1039</v>
      </c>
      <c r="H91" s="888"/>
      <c r="I91" s="500"/>
      <c r="J91" s="204" t="str">
        <f>FHD_NOTE_P_53</f>
        <v/>
      </c>
      <c r="K91" s="651"/>
      <c r="L91" s="652"/>
      <c r="M91" s="652"/>
      <c r="R91" s="652"/>
      <c r="U91" s="653"/>
      <c r="AA91" s="654"/>
      <c r="AB91" s="654"/>
      <c r="AC91" s="654"/>
      <c r="AD91" s="654"/>
      <c r="AE91" s="654"/>
    </row>
    <row r="92" spans="1:31" s="1287" customFormat="1" ht="18.75" hidden="1" customHeight="1">
      <c r="A92" s="8962"/>
      <c r="C92" s="652"/>
      <c r="D92" s="650"/>
      <c r="E92" s="469" t="str">
        <f>FHD_NUM_P_54</f>
        <v/>
      </c>
      <c r="F92" s="1799" t="str">
        <f>FHD_P_54</f>
        <v/>
      </c>
      <c r="G92" s="1800" t="s">
        <v>1039</v>
      </c>
      <c r="H92" s="888"/>
      <c r="I92" s="500"/>
      <c r="J92" s="204" t="str">
        <f>FHD_NOTE_P_54</f>
        <v/>
      </c>
      <c r="K92" s="651"/>
      <c r="L92" s="652"/>
      <c r="M92" s="652"/>
      <c r="R92" s="652"/>
      <c r="U92" s="653"/>
      <c r="AA92" s="654"/>
      <c r="AB92" s="654"/>
      <c r="AC92" s="654"/>
      <c r="AD92" s="654"/>
      <c r="AE92" s="654"/>
    </row>
    <row r="93" spans="1:31" s="1287" customFormat="1" ht="18.75" hidden="1" customHeight="1">
      <c r="A93" s="8962"/>
      <c r="C93" s="652"/>
      <c r="D93" s="655"/>
      <c r="E93" s="469" t="str">
        <f>FHD_NUM_P_55</f>
        <v/>
      </c>
      <c r="F93" s="1799" t="str">
        <f>FHD_P_55</f>
        <v/>
      </c>
      <c r="G93" s="1803"/>
      <c r="H93" s="888"/>
      <c r="I93" s="500"/>
      <c r="J93" s="204" t="str">
        <f>FHD_NOTE_P_55</f>
        <v/>
      </c>
      <c r="K93" s="651"/>
      <c r="L93" s="652"/>
      <c r="M93" s="652"/>
      <c r="R93" s="652"/>
      <c r="U93" s="653"/>
      <c r="AA93" s="654"/>
      <c r="AB93" s="654"/>
      <c r="AC93" s="654"/>
      <c r="AD93" s="654"/>
      <c r="AE93" s="654"/>
    </row>
    <row r="94" spans="1:31" s="1287" customFormat="1" ht="18.75" hidden="1" customHeight="1">
      <c r="A94" s="8962"/>
      <c r="C94" s="652"/>
      <c r="D94" s="650"/>
      <c r="E94" s="469" t="str">
        <f>FHD_NUM_P_56</f>
        <v/>
      </c>
      <c r="F94" s="1799" t="str">
        <f>FHD_P_56</f>
        <v/>
      </c>
      <c r="G94" s="1800" t="s">
        <v>1041</v>
      </c>
      <c r="H94" s="888"/>
      <c r="I94" s="500"/>
      <c r="J94" s="204" t="str">
        <f>FHD_NOTE_P_56</f>
        <v/>
      </c>
      <c r="K94" s="651"/>
      <c r="L94" s="652"/>
      <c r="M94" s="652"/>
      <c r="R94" s="652"/>
      <c r="U94" s="653"/>
      <c r="AA94" s="654"/>
      <c r="AB94" s="654"/>
      <c r="AC94" s="654"/>
      <c r="AD94" s="654"/>
      <c r="AE94" s="654"/>
    </row>
    <row r="95" spans="1:31" s="1555" customFormat="1" ht="18.75" hidden="1" customHeight="1">
      <c r="A95" s="8962"/>
      <c r="B95" s="824"/>
      <c r="C95" s="652"/>
      <c r="D95" s="650"/>
      <c r="E95" s="469" t="str">
        <f>FHD_NUM_P_57</f>
        <v/>
      </c>
      <c r="F95" s="1799" t="str">
        <f>FHD_P_57</f>
        <v/>
      </c>
      <c r="G95" s="1800" t="s">
        <v>1016</v>
      </c>
      <c r="H95" s="887"/>
      <c r="I95" s="480"/>
      <c r="J95" s="204" t="str">
        <f>FHD_NOTE_P_57</f>
        <v/>
      </c>
      <c r="K95" s="651"/>
      <c r="L95" s="652"/>
      <c r="M95" s="652"/>
      <c r="N95" s="824"/>
      <c r="O95" s="824"/>
      <c r="P95" s="824"/>
      <c r="Q95" s="824"/>
      <c r="R95" s="652"/>
      <c r="S95" s="824"/>
      <c r="T95" s="824"/>
      <c r="U95" s="653"/>
      <c r="V95" s="824"/>
      <c r="W95" s="824"/>
      <c r="X95" s="824"/>
      <c r="Y95" s="824"/>
      <c r="Z95" s="824"/>
      <c r="AA95" s="654"/>
      <c r="AB95" s="654"/>
      <c r="AC95" s="654"/>
      <c r="AD95" s="654"/>
      <c r="AE95" s="654"/>
    </row>
    <row r="96" spans="1:31" ht="18.75" hidden="1" customHeight="1">
      <c r="A96" s="8962" t="s">
        <v>1042</v>
      </c>
      <c r="D96" s="1558"/>
      <c r="E96" s="469" t="str">
        <f>FHD_NUM_P_58</f>
        <v/>
      </c>
      <c r="F96" s="1799" t="str">
        <f>FHD_P_58</f>
        <v/>
      </c>
      <c r="G96" s="1800" t="s">
        <v>1039</v>
      </c>
      <c r="H96" s="888"/>
      <c r="I96" s="500"/>
      <c r="J96" s="204" t="str">
        <f>FHD_NOTE_P_58</f>
        <v/>
      </c>
      <c r="K96" s="466"/>
    </row>
    <row r="97" spans="1:31" ht="18.75" hidden="1" customHeight="1">
      <c r="A97" s="8962"/>
      <c r="D97" s="1558"/>
      <c r="E97" s="469" t="str">
        <f>FHD_NUM_P_59</f>
        <v/>
      </c>
      <c r="F97" s="1799" t="str">
        <f>FHD_P_59</f>
        <v/>
      </c>
      <c r="G97" s="1800" t="s">
        <v>1039</v>
      </c>
      <c r="H97" s="888"/>
      <c r="I97" s="500"/>
      <c r="J97" s="204" t="str">
        <f>FHD_NOTE_P_59</f>
        <v/>
      </c>
      <c r="K97" s="466"/>
    </row>
    <row r="98" spans="1:31" ht="18.75" hidden="1" customHeight="1">
      <c r="A98" s="8962"/>
      <c r="D98" s="1558"/>
      <c r="E98" s="469" t="str">
        <f>FHD_NUM_P_60</f>
        <v/>
      </c>
      <c r="F98" s="1799" t="str">
        <f>FHD_P_60</f>
        <v/>
      </c>
      <c r="G98" s="1800" t="s">
        <v>1039</v>
      </c>
      <c r="H98" s="888"/>
      <c r="I98" s="500"/>
      <c r="J98" s="204" t="str">
        <f>FHD_NOTE_P_60</f>
        <v/>
      </c>
      <c r="K98" s="466"/>
    </row>
    <row r="99" spans="1:31" s="1287" customFormat="1" ht="18.75" hidden="1" customHeight="1">
      <c r="A99" s="8962" t="s">
        <v>1043</v>
      </c>
      <c r="C99" s="1556"/>
      <c r="D99" s="1558"/>
      <c r="E99" s="469" t="str">
        <f>FHD_NUM_P_61</f>
        <v/>
      </c>
      <c r="F99" s="1799" t="str">
        <f>FHD_P_61</f>
        <v/>
      </c>
      <c r="G99" s="1797" t="s">
        <v>1014</v>
      </c>
      <c r="H99" s="890"/>
      <c r="I99" s="658"/>
      <c r="J99" s="204" t="str">
        <f>FHD_NOTE_P_61</f>
        <v/>
      </c>
      <c r="K99" s="466"/>
      <c r="L99" s="1556"/>
      <c r="M99" s="1556"/>
      <c r="R99" s="1556"/>
      <c r="U99" s="467"/>
      <c r="AA99" s="1552"/>
      <c r="AB99" s="1552"/>
      <c r="AC99" s="1552"/>
      <c r="AD99" s="1552"/>
      <c r="AE99" s="1552"/>
    </row>
    <row r="100" spans="1:31" s="1562" customFormat="1" ht="0.75" hidden="1" customHeight="1">
      <c r="A100" s="8962"/>
      <c r="D100" s="471"/>
      <c r="E100" s="924" t="str">
        <f>E99&amp;".0"</f>
        <v>.0</v>
      </c>
      <c r="F100" s="905"/>
      <c r="G100" s="906"/>
      <c r="H100" s="903"/>
      <c r="I100" s="903"/>
      <c r="J100" s="907"/>
    </row>
    <row r="101" spans="1:31" ht="15" hidden="1" customHeight="1">
      <c r="A101" s="8962"/>
      <c r="D101" s="1553"/>
      <c r="E101" s="882"/>
      <c r="F101" s="883" t="s">
        <v>1044</v>
      </c>
      <c r="G101" s="495"/>
      <c r="H101" s="496"/>
      <c r="I101" s="496"/>
      <c r="J101" s="915" t="s">
        <v>1045</v>
      </c>
      <c r="K101" s="466"/>
    </row>
    <row r="102" spans="1:31" s="1287" customFormat="1" ht="18.75" hidden="1" customHeight="1">
      <c r="A102" s="8962"/>
      <c r="C102" s="1556"/>
      <c r="D102" s="1558"/>
      <c r="E102" s="469" t="str">
        <f>FHD_NUM_P_62</f>
        <v/>
      </c>
      <c r="F102" s="1799" t="str">
        <f>FHD_P_62</f>
        <v/>
      </c>
      <c r="G102" s="1796" t="s">
        <v>1014</v>
      </c>
      <c r="H102" s="480"/>
      <c r="I102" s="480"/>
      <c r="J102" s="204" t="str">
        <f>FHD_NOTE_P_62</f>
        <v/>
      </c>
      <c r="K102" s="466"/>
      <c r="L102" s="1556"/>
      <c r="M102" s="1556"/>
      <c r="R102" s="1556"/>
      <c r="U102" s="467"/>
      <c r="AA102" s="1552"/>
      <c r="AB102" s="1552"/>
      <c r="AC102" s="1552"/>
      <c r="AD102" s="1552"/>
      <c r="AE102" s="1552"/>
    </row>
    <row r="103" spans="1:31" s="1287" customFormat="1" ht="18.75" hidden="1" customHeight="1">
      <c r="A103" s="8962"/>
      <c r="C103" s="1556"/>
      <c r="D103" s="1558"/>
      <c r="E103" s="469" t="str">
        <f>FHD_NUM_P_63</f>
        <v/>
      </c>
      <c r="F103" s="1799" t="str">
        <f>FHD_P_63</f>
        <v/>
      </c>
      <c r="G103" s="1796" t="s">
        <v>1041</v>
      </c>
      <c r="H103" s="500"/>
      <c r="I103" s="500"/>
      <c r="J103" s="204" t="str">
        <f>FHD_NOTE_P_63</f>
        <v/>
      </c>
      <c r="K103" s="466"/>
      <c r="L103" s="1556"/>
      <c r="M103" s="1556"/>
      <c r="R103" s="1556"/>
      <c r="U103" s="467"/>
      <c r="AA103" s="1552"/>
      <c r="AB103" s="1552"/>
      <c r="AC103" s="1552"/>
      <c r="AD103" s="1552"/>
      <c r="AE103" s="1552"/>
    </row>
    <row r="104" spans="1:31" s="1287" customFormat="1" ht="18.75" hidden="1" customHeight="1">
      <c r="A104" s="8962"/>
      <c r="C104" s="1556" t="s">
        <v>1046</v>
      </c>
      <c r="D104" s="1558"/>
      <c r="E104" s="469" t="str">
        <f>FHD_NUM_P_64</f>
        <v/>
      </c>
      <c r="F104" s="1799" t="str">
        <f>FHD_P_64</f>
        <v/>
      </c>
      <c r="G104" s="1796" t="s">
        <v>1041</v>
      </c>
      <c r="H104" s="468"/>
      <c r="I104" s="468"/>
      <c r="J104" s="204" t="str">
        <f>FHD_NOTE_P_64</f>
        <v/>
      </c>
      <c r="K104" s="466"/>
      <c r="L104" s="1556"/>
      <c r="M104" s="1556"/>
      <c r="R104" s="1556"/>
      <c r="U104" s="467"/>
      <c r="AA104" s="1552"/>
      <c r="AB104" s="1552"/>
      <c r="AC104" s="1552"/>
      <c r="AD104" s="1552"/>
      <c r="AE104" s="1552"/>
    </row>
    <row r="105" spans="1:31" s="1287" customFormat="1" ht="18.75" hidden="1" customHeight="1">
      <c r="A105" s="8962"/>
      <c r="C105" s="1556"/>
      <c r="D105" s="1558"/>
      <c r="E105" s="469" t="str">
        <f>FHD_NUM_P_65</f>
        <v/>
      </c>
      <c r="F105" s="1799" t="str">
        <f>FHD_P_65</f>
        <v/>
      </c>
      <c r="G105" s="1796" t="s">
        <v>1041</v>
      </c>
      <c r="H105" s="500"/>
      <c r="I105" s="500"/>
      <c r="J105" s="204" t="str">
        <f>FHD_NOTE_P_65</f>
        <v/>
      </c>
      <c r="K105" s="466"/>
      <c r="L105" s="1556"/>
      <c r="M105" s="1556"/>
      <c r="R105" s="1556"/>
      <c r="U105" s="467"/>
      <c r="AA105" s="1552"/>
      <c r="AB105" s="1552"/>
      <c r="AC105" s="1552"/>
      <c r="AD105" s="1552"/>
      <c r="AE105" s="1552"/>
    </row>
    <row r="106" spans="1:31" s="1287" customFormat="1" ht="18.75" hidden="1" customHeight="1">
      <c r="A106" s="8962"/>
      <c r="C106" s="1556"/>
      <c r="D106" s="1558"/>
      <c r="E106" s="469" t="str">
        <f>FHD_NUM_P_66</f>
        <v/>
      </c>
      <c r="F106" s="1439" t="str">
        <f>FHD_P_66</f>
        <v/>
      </c>
      <c r="G106" s="1796" t="s">
        <v>1041</v>
      </c>
      <c r="H106" s="500"/>
      <c r="I106" s="500"/>
      <c r="J106" s="204" t="str">
        <f>FHD_NOTE_P_66</f>
        <v/>
      </c>
      <c r="K106" s="466"/>
      <c r="L106" s="1556"/>
      <c r="M106" s="1556"/>
      <c r="R106" s="1556"/>
      <c r="U106" s="467"/>
      <c r="AA106" s="1552"/>
      <c r="AB106" s="1552"/>
      <c r="AC106" s="1552"/>
      <c r="AD106" s="1552"/>
      <c r="AE106" s="1552"/>
    </row>
    <row r="107" spans="1:31" s="1287" customFormat="1" ht="18.75" hidden="1" customHeight="1">
      <c r="A107" s="8962"/>
      <c r="C107" s="1556"/>
      <c r="D107" s="1558"/>
      <c r="E107" s="469" t="str">
        <f>FHD_NUM_P_67</f>
        <v/>
      </c>
      <c r="F107" s="1570" t="str">
        <f>FHD_P_67</f>
        <v/>
      </c>
      <c r="G107" s="1796" t="s">
        <v>1041</v>
      </c>
      <c r="H107" s="500"/>
      <c r="I107" s="500"/>
      <c r="J107" s="204" t="str">
        <f>FHD_NOTE_P_67</f>
        <v/>
      </c>
      <c r="K107" s="466"/>
      <c r="L107" s="1556"/>
      <c r="M107" s="1556"/>
      <c r="R107" s="1556"/>
      <c r="U107" s="467"/>
      <c r="AA107" s="1552"/>
      <c r="AB107" s="1552"/>
      <c r="AC107" s="1552"/>
      <c r="AD107" s="1552"/>
      <c r="AE107" s="1552"/>
    </row>
    <row r="108" spans="1:31" s="1287" customFormat="1" ht="18.75" hidden="1" customHeight="1">
      <c r="A108" s="8962"/>
      <c r="C108" s="1556"/>
      <c r="D108" s="1558"/>
      <c r="E108" s="469" t="str">
        <f>FHD_NUM_P_68</f>
        <v/>
      </c>
      <c r="F108" s="1439" t="str">
        <f>FHD_P_68</f>
        <v/>
      </c>
      <c r="G108" s="1796" t="s">
        <v>1041</v>
      </c>
      <c r="H108" s="500"/>
      <c r="I108" s="500"/>
      <c r="J108" s="204" t="str">
        <f>FHD_NOTE_P_68</f>
        <v/>
      </c>
      <c r="K108" s="466"/>
      <c r="L108" s="1556"/>
      <c r="M108" s="1556"/>
      <c r="R108" s="1556"/>
      <c r="U108" s="467"/>
      <c r="AA108" s="1552"/>
      <c r="AB108" s="1552"/>
      <c r="AC108" s="1552"/>
      <c r="AD108" s="1552"/>
      <c r="AE108" s="1552"/>
    </row>
    <row r="109" spans="1:31" s="1287" customFormat="1" ht="18.75" hidden="1" customHeight="1">
      <c r="A109" s="8962"/>
      <c r="C109" s="1556"/>
      <c r="D109" s="1558"/>
      <c r="E109" s="469" t="str">
        <f>FHD_NUM_P_69</f>
        <v/>
      </c>
      <c r="F109" s="1439" t="str">
        <f>FHD_P_69</f>
        <v/>
      </c>
      <c r="G109" s="1796" t="s">
        <v>1041</v>
      </c>
      <c r="H109" s="500"/>
      <c r="I109" s="500"/>
      <c r="J109" s="204" t="str">
        <f>FHD_NOTE_P_69</f>
        <v/>
      </c>
      <c r="K109" s="466"/>
      <c r="L109" s="1556"/>
      <c r="M109" s="1556"/>
      <c r="R109" s="1556"/>
      <c r="U109" s="467"/>
      <c r="AA109" s="1552"/>
      <c r="AB109" s="1552"/>
      <c r="AC109" s="1552"/>
      <c r="AD109" s="1552"/>
      <c r="AE109" s="1552"/>
    </row>
    <row r="110" spans="1:31" s="1287" customFormat="1" ht="22.5" hidden="1" customHeight="1">
      <c r="A110" s="8962"/>
      <c r="C110" s="1556"/>
      <c r="D110" s="1558"/>
      <c r="E110" s="469" t="str">
        <f>FHD_NUM_P_70</f>
        <v/>
      </c>
      <c r="F110" s="1799" t="str">
        <f>FHD_P_70</f>
        <v/>
      </c>
      <c r="G110" s="1796" t="s">
        <v>1047</v>
      </c>
      <c r="H110" s="480"/>
      <c r="I110" s="480"/>
      <c r="J110" s="204" t="str">
        <f>FHD_NOTE_P_70</f>
        <v/>
      </c>
      <c r="K110" s="466"/>
      <c r="L110" s="1556"/>
      <c r="M110" s="1556"/>
      <c r="R110" s="1556"/>
      <c r="U110" s="467"/>
      <c r="AA110" s="1552"/>
      <c r="AB110" s="1552"/>
      <c r="AC110" s="1552"/>
      <c r="AD110" s="1552"/>
      <c r="AE110" s="1552"/>
    </row>
    <row r="111" spans="1:31" s="1287" customFormat="1" ht="22.5" hidden="1" customHeight="1">
      <c r="A111" s="8962"/>
      <c r="C111" s="1556"/>
      <c r="D111" s="1558"/>
      <c r="E111" s="469" t="str">
        <f>FHD_NUM_P_71</f>
        <v/>
      </c>
      <c r="F111" s="1799" t="str">
        <f>FHD_P_71</f>
        <v/>
      </c>
      <c r="G111" s="1796" t="s">
        <v>1047</v>
      </c>
      <c r="H111" s="480"/>
      <c r="I111" s="480"/>
      <c r="J111" s="204" t="str">
        <f>FHD_NOTE_P_71</f>
        <v/>
      </c>
      <c r="K111" s="466"/>
      <c r="L111" s="1556"/>
      <c r="M111" s="1556"/>
      <c r="R111" s="1556"/>
      <c r="U111" s="467"/>
      <c r="AA111" s="1552"/>
      <c r="AB111" s="1552"/>
      <c r="AC111" s="1552"/>
      <c r="AD111" s="1552"/>
      <c r="AE111" s="1552"/>
    </row>
    <row r="112" spans="1:31" ht="18.75" customHeight="1">
      <c r="D112" s="1558"/>
      <c r="E112" s="469" t="str">
        <f>FHD_NUM_P_72</f>
        <v>12</v>
      </c>
      <c r="F112" s="1799" t="str">
        <f>FHD_P_72</f>
        <v>Среднесписочная численность основного производственного персонала</v>
      </c>
      <c r="G112" s="1795" t="s">
        <v>1048</v>
      </c>
      <c r="H112" s="500"/>
      <c r="I112" s="500"/>
      <c r="J112" s="204" t="str">
        <f>FHD_NOTE_P_72</f>
        <v/>
      </c>
      <c r="K112" s="466"/>
    </row>
    <row r="113" spans="1:31" ht="18.75" hidden="1" customHeight="1">
      <c r="A113" s="900" t="s">
        <v>1049</v>
      </c>
      <c r="D113" s="1558"/>
      <c r="E113" s="469" t="str">
        <f>FHD_NUM_P_73</f>
        <v/>
      </c>
      <c r="F113" s="1799" t="str">
        <f>FHD_P_73</f>
        <v/>
      </c>
      <c r="G113" s="881" t="s">
        <v>1048</v>
      </c>
      <c r="H113" s="879"/>
      <c r="I113" s="879"/>
      <c r="J113" s="204" t="str">
        <f>FHD_NOTE_P_73</f>
        <v/>
      </c>
      <c r="K113" s="466"/>
    </row>
    <row r="114" spans="1:31" ht="33.75" customHeight="1">
      <c r="A114" s="900" t="s">
        <v>1050</v>
      </c>
      <c r="D114" s="1558"/>
      <c r="E114" s="469" t="str">
        <f>FHD_NUM_P_74</f>
        <v>13</v>
      </c>
      <c r="F114" s="1799" t="str">
        <f>FHD_P_74</f>
        <v>Удельный расход электрической энергии на подачу воды в сеть</v>
      </c>
      <c r="G114" s="1795" t="s">
        <v>1051</v>
      </c>
      <c r="H114" s="500"/>
      <c r="I114" s="500"/>
      <c r="J114" s="204" t="str">
        <f>FHD_NOTE_P_74</f>
        <v/>
      </c>
      <c r="K114" s="466"/>
    </row>
    <row r="115" spans="1:31" s="1555" customFormat="1" ht="18.75" customHeight="1">
      <c r="A115" s="8962" t="s">
        <v>1052</v>
      </c>
      <c r="B115" s="824"/>
      <c r="C115" s="652"/>
      <c r="D115" s="650"/>
      <c r="E115" s="469" t="str">
        <f>FHD_NUM_P_75</f>
        <v>14</v>
      </c>
      <c r="F115" s="1799" t="str">
        <f>FHD_P_75</f>
        <v>Расход воды на собственные нужды, в том числе:</v>
      </c>
      <c r="G115" s="1795" t="s">
        <v>1016</v>
      </c>
      <c r="H115" s="480"/>
      <c r="I115" s="480"/>
      <c r="J115" s="204" t="str">
        <f>FHD_NOTE_P_75</f>
        <v>Указывается доля общего расхода воды на собственные нужны от объема отпуска воды потребителям.</v>
      </c>
      <c r="K115" s="651"/>
      <c r="L115" s="652"/>
      <c r="M115" s="652"/>
      <c r="N115" s="824"/>
      <c r="O115" s="824"/>
      <c r="P115" s="824"/>
      <c r="Q115" s="824"/>
      <c r="R115" s="652"/>
      <c r="S115" s="824"/>
      <c r="T115" s="824"/>
      <c r="U115" s="653"/>
      <c r="V115" s="824"/>
      <c r="W115" s="824"/>
      <c r="X115" s="824"/>
      <c r="Y115" s="824"/>
      <c r="Z115" s="824"/>
      <c r="AA115" s="654"/>
      <c r="AB115" s="654"/>
      <c r="AC115" s="654"/>
      <c r="AD115" s="654"/>
      <c r="AE115" s="654"/>
    </row>
    <row r="116" spans="1:31" s="1555" customFormat="1" ht="18.75" customHeight="1">
      <c r="A116" s="8962"/>
      <c r="B116" s="824"/>
      <c r="C116" s="652"/>
      <c r="D116" s="650"/>
      <c r="E116" s="469" t="str">
        <f>FHD_NUM_P_76</f>
        <v>14.1</v>
      </c>
      <c r="F116" s="1799" t="str">
        <f>FHD_P_76</f>
        <v>Расход воды на хозяйственно-бытовые нужды</v>
      </c>
      <c r="G116" s="1795" t="s">
        <v>1016</v>
      </c>
      <c r="H116" s="480"/>
      <c r="I116" s="480"/>
      <c r="J116" s="204" t="str">
        <f>FHD_NOTE_P_76</f>
        <v>Указывается доля расхода воды на хозяйственно-бытовые нужны от объема отпуска воды потребителям.</v>
      </c>
      <c r="K116" s="651"/>
      <c r="L116" s="652"/>
      <c r="M116" s="652"/>
      <c r="N116" s="824"/>
      <c r="O116" s="824"/>
      <c r="P116" s="824"/>
      <c r="Q116" s="824"/>
      <c r="R116" s="652"/>
      <c r="S116" s="824"/>
      <c r="T116" s="824"/>
      <c r="U116" s="653"/>
      <c r="V116" s="824"/>
      <c r="W116" s="824"/>
      <c r="X116" s="824"/>
      <c r="Y116" s="824"/>
      <c r="Z116" s="824"/>
      <c r="AA116" s="654"/>
      <c r="AB116" s="654"/>
      <c r="AC116" s="654"/>
      <c r="AD116" s="654"/>
      <c r="AE116" s="654"/>
    </row>
    <row r="117" spans="1:31" s="1555" customFormat="1" ht="18.75" customHeight="1">
      <c r="A117" s="8962"/>
      <c r="B117" s="824"/>
      <c r="C117" s="652"/>
      <c r="D117" s="650"/>
      <c r="E117" s="469" t="str">
        <f>FHD_NUM_P_77</f>
        <v>15</v>
      </c>
      <c r="F117" s="1799" t="str">
        <f>FHD_P_77</f>
        <v>Показатель использования производственных объектов (по объему перекачки), в том числе:</v>
      </c>
      <c r="G117" s="1795" t="s">
        <v>1016</v>
      </c>
      <c r="H117" s="480"/>
      <c r="I117" s="480"/>
      <c r="J117" s="20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51"/>
      <c r="L117" s="652"/>
      <c r="M117" s="652"/>
      <c r="N117" s="824"/>
      <c r="O117" s="824"/>
      <c r="P117" s="824"/>
      <c r="Q117" s="824"/>
      <c r="R117" s="652"/>
      <c r="S117" s="824"/>
      <c r="T117" s="824"/>
      <c r="U117" s="653"/>
      <c r="V117" s="824"/>
      <c r="W117" s="824"/>
      <c r="X117" s="824"/>
      <c r="Y117" s="824"/>
      <c r="Z117" s="824"/>
      <c r="AA117" s="654"/>
      <c r="AB117" s="654"/>
      <c r="AC117" s="654"/>
      <c r="AD117" s="654"/>
      <c r="AE117" s="654"/>
    </row>
    <row r="118" spans="1:31" s="1562" customFormat="1" ht="0.75" customHeight="1">
      <c r="A118" s="8962"/>
      <c r="D118" s="471"/>
      <c r="E118" s="924" t="str">
        <f>E117&amp;".0"</f>
        <v>15.0</v>
      </c>
      <c r="F118" s="908"/>
      <c r="G118" s="1571"/>
      <c r="H118" s="903"/>
      <c r="I118" s="903"/>
      <c r="J118" s="907"/>
    </row>
    <row r="119" spans="1:31" s="1555" customFormat="1" ht="15" customHeight="1">
      <c r="A119" s="8962"/>
      <c r="B119" s="824"/>
      <c r="C119" s="652"/>
      <c r="D119" s="662"/>
      <c r="E119" s="884"/>
      <c r="F119" s="885" t="s">
        <v>1053</v>
      </c>
      <c r="G119" s="663"/>
      <c r="H119" s="664"/>
      <c r="I119" s="664"/>
      <c r="J119" s="914" t="s">
        <v>1054</v>
      </c>
      <c r="K119" s="651"/>
      <c r="L119" s="652"/>
      <c r="M119" s="652"/>
      <c r="N119" s="824"/>
      <c r="O119" s="824"/>
      <c r="P119" s="824"/>
      <c r="Q119" s="824"/>
      <c r="R119" s="652"/>
      <c r="S119" s="824"/>
      <c r="T119" s="824"/>
      <c r="U119" s="653"/>
      <c r="V119" s="824"/>
      <c r="W119" s="824"/>
      <c r="X119" s="824"/>
      <c r="Y119" s="824"/>
      <c r="Z119" s="824"/>
      <c r="AA119" s="654"/>
      <c r="AB119" s="654"/>
      <c r="AC119" s="654"/>
      <c r="AD119" s="654"/>
      <c r="AE119" s="654"/>
    </row>
    <row r="120" spans="1:31" ht="22.5" hidden="1" customHeight="1">
      <c r="A120" s="8962" t="s">
        <v>1055</v>
      </c>
      <c r="D120" s="1558"/>
      <c r="E120" s="469" t="str">
        <f>FHD_NUM_P_78</f>
        <v/>
      </c>
      <c r="F120" s="1799" t="str">
        <f>FHD_P_78</f>
        <v/>
      </c>
      <c r="G120" s="1796" t="s">
        <v>1018</v>
      </c>
      <c r="H120" s="500"/>
      <c r="I120" s="500"/>
      <c r="J120" s="204" t="str">
        <f>FHD_NOTE_P_78</f>
        <v/>
      </c>
      <c r="K120" s="466"/>
    </row>
    <row r="121" spans="1:31" s="1562" customFormat="1" ht="0.75" hidden="1" customHeight="1">
      <c r="A121" s="8962"/>
      <c r="D121" s="471"/>
      <c r="E121" s="924" t="str">
        <f>E120&amp;".0"</f>
        <v>.0</v>
      </c>
      <c r="F121" s="908"/>
      <c r="G121" s="1571"/>
      <c r="H121" s="903"/>
      <c r="I121" s="903"/>
      <c r="J121" s="907"/>
    </row>
    <row r="122" spans="1:31" ht="15" hidden="1" customHeight="1">
      <c r="A122" s="8962"/>
      <c r="D122" s="1553"/>
      <c r="E122" s="493"/>
      <c r="F122" s="1073" t="s">
        <v>1044</v>
      </c>
      <c r="G122" s="495"/>
      <c r="H122" s="496"/>
      <c r="I122" s="496"/>
      <c r="J122" s="915" t="s">
        <v>1056</v>
      </c>
      <c r="K122" s="466"/>
    </row>
    <row r="123" spans="1:31" ht="22.5" hidden="1" customHeight="1">
      <c r="A123" s="8962"/>
      <c r="D123" s="1558"/>
      <c r="E123" s="469" t="str">
        <f>FHD_NUM_P_79</f>
        <v/>
      </c>
      <c r="F123" s="1799" t="str">
        <f>FHD_P_79</f>
        <v/>
      </c>
      <c r="G123" s="1797" t="s">
        <v>1020</v>
      </c>
      <c r="H123" s="500"/>
      <c r="I123" s="500"/>
      <c r="J123" s="204" t="str">
        <f>FHD_NOTE_P_79</f>
        <v/>
      </c>
      <c r="K123" s="466"/>
    </row>
    <row r="124" spans="1:31" s="1562" customFormat="1" ht="0.75" hidden="1" customHeight="1">
      <c r="A124" s="8962"/>
      <c r="D124" s="471"/>
      <c r="E124" s="924" t="str">
        <f>E123&amp;".0"</f>
        <v>.0</v>
      </c>
      <c r="F124" s="909"/>
      <c r="G124" s="1571"/>
      <c r="H124" s="903"/>
      <c r="I124" s="903"/>
      <c r="J124" s="907"/>
    </row>
    <row r="125" spans="1:31" ht="15" hidden="1" customHeight="1">
      <c r="A125" s="8962"/>
      <c r="D125" s="1553"/>
      <c r="E125" s="493"/>
      <c r="F125" s="1073" t="s">
        <v>1044</v>
      </c>
      <c r="G125" s="495"/>
      <c r="H125" s="496"/>
      <c r="I125" s="496"/>
      <c r="J125" s="915" t="s">
        <v>1057</v>
      </c>
      <c r="K125" s="466"/>
    </row>
    <row r="126" spans="1:31" ht="22.5" hidden="1" customHeight="1">
      <c r="A126" s="8962"/>
      <c r="D126" s="1558"/>
      <c r="E126" s="469" t="str">
        <f>FHD_NUM_P_80</f>
        <v/>
      </c>
      <c r="F126" s="1799" t="str">
        <f>FHD_P_80</f>
        <v/>
      </c>
      <c r="G126" s="1797" t="s">
        <v>1058</v>
      </c>
      <c r="H126" s="480"/>
      <c r="I126" s="480"/>
      <c r="J126" s="204" t="str">
        <f>FHD_NOTE_P_80</f>
        <v/>
      </c>
      <c r="K126" s="466"/>
    </row>
    <row r="127" spans="1:31" ht="18.75" hidden="1" customHeight="1">
      <c r="A127" s="8962"/>
      <c r="D127" s="1558"/>
      <c r="E127" s="469" t="str">
        <f>FHD_NUM_P_81</f>
        <v/>
      </c>
      <c r="F127" s="1799" t="str">
        <f>FHD_P_81</f>
        <v/>
      </c>
      <c r="G127" s="1797" t="s">
        <v>1059</v>
      </c>
      <c r="H127" s="480"/>
      <c r="I127" s="480"/>
      <c r="J127" s="204" t="str">
        <f>FHD_NOTE_P_81</f>
        <v/>
      </c>
      <c r="K127" s="466"/>
    </row>
    <row r="128" spans="1:31" ht="18.75" hidden="1" customHeight="1">
      <c r="A128" s="8962"/>
      <c r="C128" s="1556" t="s">
        <v>1046</v>
      </c>
      <c r="D128" s="1558"/>
      <c r="E128" s="469" t="str">
        <f>FHD_NUM_P_82</f>
        <v/>
      </c>
      <c r="F128" s="1799" t="str">
        <f>FHD_P_82</f>
        <v/>
      </c>
      <c r="G128" s="1797" t="s">
        <v>769</v>
      </c>
      <c r="H128" s="330"/>
      <c r="I128" s="330"/>
      <c r="J128" s="204" t="str">
        <f>FHD_NOTE_P_82</f>
        <v/>
      </c>
      <c r="K128" s="466"/>
    </row>
    <row r="129" spans="1:31" ht="18.75" hidden="1" customHeight="1">
      <c r="A129" s="8962"/>
      <c r="C129" s="1556" t="s">
        <v>1046</v>
      </c>
      <c r="D129" s="1558"/>
      <c r="E129" s="469" t="str">
        <f>FHD_NUM_P_83</f>
        <v/>
      </c>
      <c r="F129" s="1439" t="str">
        <f>FHD_P_83</f>
        <v/>
      </c>
      <c r="G129" s="1797" t="s">
        <v>769</v>
      </c>
      <c r="H129" s="330"/>
      <c r="I129" s="330"/>
      <c r="J129" s="204" t="str">
        <f>FHD_NOTE_P_83</f>
        <v/>
      </c>
      <c r="K129" s="466"/>
    </row>
    <row r="130" spans="1:31" ht="18.75" hidden="1" customHeight="1">
      <c r="A130" s="8962"/>
      <c r="C130" s="1556" t="s">
        <v>1046</v>
      </c>
      <c r="D130" s="1558"/>
      <c r="E130" s="469" t="str">
        <f>FHD_NUM_P_84</f>
        <v/>
      </c>
      <c r="F130" s="1439" t="str">
        <f>FHD_P_84</f>
        <v/>
      </c>
      <c r="G130" s="1797" t="s">
        <v>769</v>
      </c>
      <c r="H130" s="330"/>
      <c r="I130" s="330"/>
      <c r="J130" s="204" t="str">
        <f>FHD_NOTE_P_84</f>
        <v/>
      </c>
      <c r="K130" s="466"/>
    </row>
    <row r="131" spans="1:31" ht="11.25" customHeight="1">
      <c r="D131" s="1558"/>
    </row>
    <row r="132" spans="1:31" ht="12.75" customHeight="1">
      <c r="D132" s="1558"/>
      <c r="E132" s="258"/>
      <c r="F132" s="293"/>
      <c r="G132" s="293"/>
      <c r="H132" s="293"/>
      <c r="I132" s="1567"/>
      <c r="J132" s="504"/>
    </row>
    <row r="133" spans="1:31" s="1561" customFormat="1" ht="11.25" customHeight="1">
      <c r="A133" s="898"/>
      <c r="B133" s="1556"/>
      <c r="C133" s="1556"/>
      <c r="D133" s="272"/>
      <c r="F133" s="1560"/>
      <c r="G133" s="1551"/>
      <c r="H133" s="1551"/>
      <c r="I133" s="1551"/>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H136" s="489" t="str">
        <f>IF(H30-H31&lt;&gt;H72,"WARNING","")</f>
        <v/>
      </c>
      <c r="I136" s="489" t="str">
        <f>IF(I30-I31&lt;&gt;I72,"WARNING","")</f>
        <v/>
      </c>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6" spans="1:31" s="1561" customFormat="1" ht="11.25" customHeight="1">
      <c r="A196" s="898"/>
      <c r="B196" s="1556"/>
      <c r="C196" s="1556"/>
      <c r="D196" s="272"/>
      <c r="K196" s="1065"/>
      <c r="L196" s="1556"/>
      <c r="M196" s="1556"/>
      <c r="N196" s="1065"/>
      <c r="O196" s="1065"/>
      <c r="P196" s="1065"/>
      <c r="Q196" s="1065"/>
      <c r="R196" s="1556"/>
      <c r="S196" s="1065"/>
      <c r="T196" s="1065"/>
      <c r="U196" s="467"/>
      <c r="V196" s="1065"/>
      <c r="W196" s="1065"/>
      <c r="X196" s="1065"/>
      <c r="Y196" s="1065"/>
      <c r="Z196" s="1065"/>
      <c r="AA196" s="1552"/>
      <c r="AB196" s="489"/>
      <c r="AC196" s="489"/>
      <c r="AD196" s="489"/>
      <c r="AE196" s="489"/>
    </row>
    <row r="197" spans="1:31" s="1561" customFormat="1" ht="11.25" customHeight="1">
      <c r="A197" s="898"/>
      <c r="B197" s="1556"/>
      <c r="C197" s="1556"/>
      <c r="D197" s="272"/>
      <c r="K197" s="1065"/>
      <c r="L197" s="1556"/>
      <c r="M197" s="1556"/>
      <c r="N197" s="1065"/>
      <c r="O197" s="1065"/>
      <c r="P197" s="1065"/>
      <c r="Q197" s="1065"/>
      <c r="R197" s="1556"/>
      <c r="S197" s="1065"/>
      <c r="T197" s="1065"/>
      <c r="U197" s="467"/>
      <c r="V197" s="1065"/>
      <c r="W197" s="1065"/>
      <c r="X197" s="1065"/>
      <c r="Y197" s="1065"/>
      <c r="Z197" s="1065"/>
      <c r="AA197" s="1552"/>
      <c r="AB197" s="489"/>
      <c r="AC197" s="489"/>
      <c r="AD197" s="489"/>
      <c r="AE197" s="489"/>
    </row>
    <row r="198" spans="1:31" s="1561" customFormat="1" ht="11.25" customHeight="1">
      <c r="A198" s="898"/>
      <c r="B198" s="1556"/>
      <c r="C198" s="1556"/>
      <c r="D198" s="272"/>
      <c r="K198" s="1065"/>
      <c r="L198" s="1556"/>
      <c r="M198" s="1556"/>
      <c r="N198" s="1065"/>
      <c r="O198" s="1065"/>
      <c r="P198" s="1065"/>
      <c r="Q198" s="1065"/>
      <c r="R198" s="1556"/>
      <c r="S198" s="1065"/>
      <c r="T198" s="1065"/>
      <c r="U198" s="467"/>
      <c r="V198" s="1065"/>
      <c r="W198" s="1065"/>
      <c r="X198" s="1065"/>
      <c r="Y198" s="1065"/>
      <c r="Z198" s="1065"/>
      <c r="AA198" s="1552"/>
      <c r="AB198" s="489"/>
      <c r="AC198" s="489"/>
      <c r="AD198" s="489"/>
      <c r="AE198" s="489"/>
    </row>
    <row r="199" spans="1:31" s="1561" customFormat="1" ht="11.25" customHeight="1">
      <c r="A199" s="898"/>
      <c r="B199" s="1556"/>
      <c r="C199" s="1556"/>
      <c r="D199" s="272"/>
      <c r="K199" s="1065"/>
      <c r="L199" s="1556"/>
      <c r="M199" s="1556"/>
      <c r="N199" s="1065"/>
      <c r="O199" s="1065"/>
      <c r="P199" s="1065"/>
      <c r="Q199" s="1065"/>
      <c r="R199" s="1556"/>
      <c r="S199" s="1065"/>
      <c r="T199" s="1065"/>
      <c r="U199" s="467"/>
      <c r="V199" s="1065"/>
      <c r="W199" s="1065"/>
      <c r="X199" s="1065"/>
      <c r="Y199" s="1065"/>
      <c r="Z199" s="1065"/>
      <c r="AA199" s="1552"/>
      <c r="AB199" s="489"/>
      <c r="AC199" s="489"/>
      <c r="AD199" s="489"/>
      <c r="AE199" s="489"/>
    </row>
    <row r="200" spans="1:31" s="1561" customFormat="1" ht="11.25" customHeight="1">
      <c r="A200" s="898"/>
      <c r="B200" s="1556"/>
      <c r="C200" s="1556"/>
      <c r="D200" s="272"/>
      <c r="K200" s="1065"/>
      <c r="L200" s="1556"/>
      <c r="M200" s="1556"/>
      <c r="N200" s="1065"/>
      <c r="O200" s="1065"/>
      <c r="P200" s="1065"/>
      <c r="Q200" s="1065"/>
      <c r="R200" s="1556"/>
      <c r="S200" s="1065"/>
      <c r="T200" s="1065"/>
      <c r="U200" s="467"/>
      <c r="V200" s="1065"/>
      <c r="W200" s="1065"/>
      <c r="X200" s="1065"/>
      <c r="Y200" s="1065"/>
      <c r="Z200" s="1065"/>
      <c r="AA200" s="1552"/>
      <c r="AB200" s="489"/>
      <c r="AC200" s="489"/>
      <c r="AD200" s="489"/>
      <c r="AE200" s="489"/>
    </row>
    <row r="201" spans="1:31" s="1561" customFormat="1" ht="11.25" customHeight="1">
      <c r="A201" s="898"/>
      <c r="B201" s="1556"/>
      <c r="C201" s="1556"/>
      <c r="D201" s="272"/>
      <c r="K201" s="1065"/>
      <c r="L201" s="1556"/>
      <c r="M201" s="1556"/>
      <c r="N201" s="1065"/>
      <c r="O201" s="1065"/>
      <c r="P201" s="1065"/>
      <c r="Q201" s="1065"/>
      <c r="R201" s="1556"/>
      <c r="S201" s="1065"/>
      <c r="T201" s="1065"/>
      <c r="U201" s="467"/>
      <c r="V201" s="1065"/>
      <c r="W201" s="1065"/>
      <c r="X201" s="1065"/>
      <c r="Y201" s="1065"/>
      <c r="Z201" s="1065"/>
      <c r="AA201" s="1552"/>
      <c r="AB201" s="489"/>
      <c r="AC201" s="489"/>
      <c r="AD201" s="489"/>
      <c r="AE201" s="489"/>
    </row>
    <row r="202" spans="1:31" s="1561" customFormat="1" ht="11.25" customHeight="1">
      <c r="A202" s="898"/>
      <c r="B202" s="1556"/>
      <c r="C202" s="1556"/>
      <c r="D202" s="272"/>
      <c r="K202" s="1065"/>
      <c r="L202" s="1556"/>
      <c r="M202" s="1556"/>
      <c r="N202" s="1065"/>
      <c r="O202" s="1065"/>
      <c r="P202" s="1065"/>
      <c r="Q202" s="1065"/>
      <c r="R202" s="1556"/>
      <c r="S202" s="1065"/>
      <c r="T202" s="1065"/>
      <c r="U202" s="467"/>
      <c r="V202" s="1065"/>
      <c r="W202" s="1065"/>
      <c r="X202" s="1065"/>
      <c r="Y202" s="1065"/>
      <c r="Z202" s="1065"/>
      <c r="AA202" s="1552"/>
      <c r="AB202" s="489"/>
      <c r="AC202" s="489"/>
      <c r="AD202" s="489"/>
      <c r="AE202" s="489"/>
    </row>
    <row r="203" spans="1:31" s="1561" customFormat="1" ht="11.25" customHeight="1">
      <c r="A203" s="898"/>
      <c r="B203" s="1556"/>
      <c r="C203" s="1556"/>
      <c r="D203" s="272"/>
      <c r="K203" s="1065"/>
      <c r="L203" s="1556"/>
      <c r="M203" s="1556"/>
      <c r="N203" s="1065"/>
      <c r="O203" s="1065"/>
      <c r="P203" s="1065"/>
      <c r="Q203" s="1065"/>
      <c r="R203" s="1556"/>
      <c r="S203" s="1065"/>
      <c r="T203" s="1065"/>
      <c r="U203" s="467"/>
      <c r="V203" s="1065"/>
      <c r="W203" s="1065"/>
      <c r="X203" s="1065"/>
      <c r="Y203" s="1065"/>
      <c r="Z203" s="1065"/>
      <c r="AA203" s="1552"/>
      <c r="AB203" s="489"/>
      <c r="AC203" s="489"/>
      <c r="AD203" s="489"/>
      <c r="AE203" s="489"/>
    </row>
    <row r="204" spans="1:31" s="1561" customFormat="1" ht="11.25" customHeight="1">
      <c r="A204" s="898"/>
      <c r="B204" s="1556"/>
      <c r="C204" s="1556"/>
      <c r="D204" s="272"/>
      <c r="K204" s="1065"/>
      <c r="L204" s="1556"/>
      <c r="M204" s="1556"/>
      <c r="N204" s="1065"/>
      <c r="O204" s="1065"/>
      <c r="P204" s="1065"/>
      <c r="Q204" s="1065"/>
      <c r="R204" s="1556"/>
      <c r="S204" s="1065"/>
      <c r="T204" s="1065"/>
      <c r="U204" s="467"/>
      <c r="V204" s="1065"/>
      <c r="W204" s="1065"/>
      <c r="X204" s="1065"/>
      <c r="Y204" s="1065"/>
      <c r="Z204" s="1065"/>
      <c r="AA204" s="1552"/>
      <c r="AB204" s="489"/>
      <c r="AC204" s="489"/>
      <c r="AD204" s="489"/>
      <c r="AE204" s="489"/>
    </row>
    <row r="205" spans="1:31" s="1561" customFormat="1" ht="11.25" customHeight="1">
      <c r="A205" s="898"/>
      <c r="B205" s="1556"/>
      <c r="C205" s="1556"/>
      <c r="D205" s="272"/>
      <c r="K205" s="1065"/>
      <c r="L205" s="1556"/>
      <c r="M205" s="1556"/>
      <c r="N205" s="1065"/>
      <c r="O205" s="1065"/>
      <c r="P205" s="1065"/>
      <c r="Q205" s="1065"/>
      <c r="R205" s="1556"/>
      <c r="S205" s="1065"/>
      <c r="T205" s="1065"/>
      <c r="U205" s="467"/>
      <c r="V205" s="1065"/>
      <c r="W205" s="1065"/>
      <c r="X205" s="1065"/>
      <c r="Y205" s="1065"/>
      <c r="Z205" s="1065"/>
      <c r="AA205" s="1552"/>
      <c r="AB205" s="489"/>
      <c r="AC205" s="489"/>
      <c r="AD205" s="489"/>
      <c r="AE205" s="489"/>
    </row>
    <row r="206" spans="1:31" s="1561" customFormat="1" ht="11.25" customHeight="1">
      <c r="A206" s="898"/>
      <c r="B206" s="1556"/>
      <c r="C206" s="1556"/>
      <c r="D206" s="272"/>
      <c r="K206" s="1065"/>
      <c r="L206" s="1556"/>
      <c r="M206" s="1556"/>
      <c r="N206" s="1065"/>
      <c r="O206" s="1065"/>
      <c r="P206" s="1065"/>
      <c r="Q206" s="1065"/>
      <c r="R206" s="1556"/>
      <c r="S206" s="1065"/>
      <c r="T206" s="1065"/>
      <c r="U206" s="467"/>
      <c r="V206" s="1065"/>
      <c r="W206" s="1065"/>
      <c r="X206" s="1065"/>
      <c r="Y206" s="1065"/>
      <c r="Z206" s="1065"/>
      <c r="AA206" s="1552"/>
      <c r="AB206" s="489"/>
      <c r="AC206" s="489"/>
      <c r="AD206" s="489"/>
      <c r="AE206" s="489"/>
    </row>
    <row r="207" spans="1:31" s="1561" customFormat="1" ht="11.25" customHeight="1">
      <c r="A207" s="898"/>
      <c r="B207" s="1556"/>
      <c r="C207" s="1556"/>
      <c r="D207" s="272"/>
      <c r="K207" s="1065"/>
      <c r="L207" s="1556"/>
      <c r="M207" s="1556"/>
      <c r="N207" s="1065"/>
      <c r="O207" s="1065"/>
      <c r="P207" s="1065"/>
      <c r="Q207" s="1065"/>
      <c r="R207" s="1556"/>
      <c r="S207" s="1065"/>
      <c r="T207" s="1065"/>
      <c r="U207" s="467"/>
      <c r="V207" s="1065"/>
      <c r="W207" s="1065"/>
      <c r="X207" s="1065"/>
      <c r="Y207" s="1065"/>
      <c r="Z207" s="1065"/>
      <c r="AA207" s="1552"/>
      <c r="AB207" s="489"/>
      <c r="AC207" s="489"/>
      <c r="AD207" s="489"/>
      <c r="AE207" s="489"/>
    </row>
    <row r="208" spans="1:31" s="1561" customFormat="1" ht="11.25" customHeight="1">
      <c r="A208" s="898"/>
      <c r="B208" s="1556"/>
      <c r="C208" s="1556"/>
      <c r="D208" s="272"/>
      <c r="K208" s="1065"/>
      <c r="L208" s="1556"/>
      <c r="M208" s="1556"/>
      <c r="N208" s="1065"/>
      <c r="O208" s="1065"/>
      <c r="P208" s="1065"/>
      <c r="Q208" s="1065"/>
      <c r="R208" s="1556"/>
      <c r="S208" s="1065"/>
      <c r="T208" s="1065"/>
      <c r="U208" s="467"/>
      <c r="V208" s="1065"/>
      <c r="W208" s="1065"/>
      <c r="X208" s="1065"/>
      <c r="Y208" s="1065"/>
      <c r="Z208" s="1065"/>
      <c r="AA208" s="1552"/>
      <c r="AB208" s="489"/>
      <c r="AC208" s="489"/>
      <c r="AD208" s="489"/>
      <c r="AE208" s="489"/>
    </row>
    <row r="209" spans="1:31" s="1561" customFormat="1" ht="11.25" customHeight="1">
      <c r="A209" s="898"/>
      <c r="B209" s="1556"/>
      <c r="C209" s="1556"/>
      <c r="D209" s="272"/>
      <c r="K209" s="1065"/>
      <c r="L209" s="1556"/>
      <c r="M209" s="1556"/>
      <c r="N209" s="1065"/>
      <c r="O209" s="1065"/>
      <c r="P209" s="1065"/>
      <c r="Q209" s="1065"/>
      <c r="R209" s="1556"/>
      <c r="S209" s="1065"/>
      <c r="T209" s="1065"/>
      <c r="U209" s="467"/>
      <c r="V209" s="1065"/>
      <c r="W209" s="1065"/>
      <c r="X209" s="1065"/>
      <c r="Y209" s="1065"/>
      <c r="Z209" s="1065"/>
      <c r="AA209" s="1552"/>
      <c r="AB209" s="489"/>
      <c r="AC209" s="489"/>
      <c r="AD209" s="489"/>
      <c r="AE209" s="489"/>
    </row>
    <row r="210" spans="1:31" s="1561" customFormat="1" ht="11.25" customHeight="1">
      <c r="A210" s="898"/>
      <c r="B210" s="1556"/>
      <c r="C210" s="1556"/>
      <c r="D210" s="272"/>
      <c r="K210" s="1065"/>
      <c r="L210" s="1556"/>
      <c r="M210" s="1556"/>
      <c r="N210" s="1065"/>
      <c r="O210" s="1065"/>
      <c r="P210" s="1065"/>
      <c r="Q210" s="1065"/>
      <c r="R210" s="1556"/>
      <c r="S210" s="1065"/>
      <c r="T210" s="1065"/>
      <c r="U210" s="467"/>
      <c r="V210" s="1065"/>
      <c r="W210" s="1065"/>
      <c r="X210" s="1065"/>
      <c r="Y210" s="1065"/>
      <c r="Z210" s="1065"/>
      <c r="AA210" s="1552"/>
      <c r="AB210" s="489"/>
      <c r="AC210" s="489"/>
      <c r="AD210" s="489"/>
      <c r="AE210" s="489"/>
    </row>
    <row r="211" spans="1:31" s="1561" customFormat="1" ht="11.25" customHeight="1">
      <c r="A211" s="898"/>
      <c r="B211" s="1556"/>
      <c r="C211" s="1556"/>
      <c r="D211" s="272"/>
      <c r="K211" s="1065"/>
      <c r="L211" s="1556"/>
      <c r="M211" s="1556"/>
      <c r="N211" s="1065"/>
      <c r="O211" s="1065"/>
      <c r="P211" s="1065"/>
      <c r="Q211" s="1065"/>
      <c r="R211" s="1556"/>
      <c r="S211" s="1065"/>
      <c r="T211" s="1065"/>
      <c r="U211" s="467"/>
      <c r="V211" s="1065"/>
      <c r="W211" s="1065"/>
      <c r="X211" s="1065"/>
      <c r="Y211" s="1065"/>
      <c r="Z211" s="1065"/>
      <c r="AA211" s="1552"/>
      <c r="AB211" s="489"/>
      <c r="AC211" s="489"/>
      <c r="AD211" s="489"/>
      <c r="AE211" s="489"/>
    </row>
    <row r="212" spans="1:31" s="1561" customFormat="1" ht="11.25" customHeight="1">
      <c r="A212" s="898"/>
      <c r="B212" s="1556"/>
      <c r="C212" s="1556"/>
      <c r="D212" s="272"/>
      <c r="K212" s="1065"/>
      <c r="L212" s="1556"/>
      <c r="M212" s="1556"/>
      <c r="N212" s="1065"/>
      <c r="O212" s="1065"/>
      <c r="P212" s="1065"/>
      <c r="Q212" s="1065"/>
      <c r="R212" s="1556"/>
      <c r="S212" s="1065"/>
      <c r="T212" s="1065"/>
      <c r="U212" s="467"/>
      <c r="V212" s="1065"/>
      <c r="W212" s="1065"/>
      <c r="X212" s="1065"/>
      <c r="Y212" s="1065"/>
      <c r="Z212" s="1065"/>
      <c r="AA212" s="1552"/>
      <c r="AB212" s="489"/>
      <c r="AC212" s="489"/>
      <c r="AD212" s="489"/>
      <c r="AE212" s="489"/>
    </row>
    <row r="213" spans="1:31" s="1561" customFormat="1" ht="11.25" customHeight="1">
      <c r="A213" s="898"/>
      <c r="B213" s="1556"/>
      <c r="C213" s="1556"/>
      <c r="D213" s="272"/>
      <c r="K213" s="1065"/>
      <c r="L213" s="1556"/>
      <c r="M213" s="1556"/>
      <c r="N213" s="1065"/>
      <c r="O213" s="1065"/>
      <c r="P213" s="1065"/>
      <c r="Q213" s="1065"/>
      <c r="R213" s="1556"/>
      <c r="S213" s="1065"/>
      <c r="T213" s="1065"/>
      <c r="U213" s="467"/>
      <c r="V213" s="1065"/>
      <c r="W213" s="1065"/>
      <c r="X213" s="1065"/>
      <c r="Y213" s="1065"/>
      <c r="Z213" s="1065"/>
      <c r="AA213" s="1552"/>
      <c r="AB213" s="489"/>
      <c r="AC213" s="489"/>
      <c r="AD213" s="489"/>
      <c r="AE213" s="489"/>
    </row>
    <row r="214" spans="1:31" s="1561" customFormat="1" ht="11.25" customHeight="1">
      <c r="A214" s="898"/>
      <c r="B214" s="1556"/>
      <c r="C214" s="1556"/>
      <c r="D214" s="272"/>
      <c r="K214" s="1065"/>
      <c r="L214" s="1556"/>
      <c r="M214" s="1556"/>
      <c r="N214" s="1065"/>
      <c r="O214" s="1065"/>
      <c r="P214" s="1065"/>
      <c r="Q214" s="1065"/>
      <c r="R214" s="1556"/>
      <c r="S214" s="1065"/>
      <c r="T214" s="1065"/>
      <c r="U214" s="467"/>
      <c r="V214" s="1065"/>
      <c r="W214" s="1065"/>
      <c r="X214" s="1065"/>
      <c r="Y214" s="1065"/>
      <c r="Z214" s="1065"/>
      <c r="AA214" s="1552"/>
      <c r="AB214" s="489"/>
      <c r="AC214" s="489"/>
      <c r="AD214" s="489"/>
      <c r="AE214" s="489"/>
    </row>
    <row r="215" spans="1:31" s="1561" customFormat="1" ht="11.25" customHeight="1">
      <c r="A215" s="898"/>
      <c r="B215" s="1556"/>
      <c r="C215" s="1556"/>
      <c r="D215" s="272"/>
      <c r="K215" s="1065"/>
      <c r="L215" s="1556"/>
      <c r="M215" s="1556"/>
      <c r="N215" s="1065"/>
      <c r="O215" s="1065"/>
      <c r="P215" s="1065"/>
      <c r="Q215" s="1065"/>
      <c r="R215" s="1556"/>
      <c r="S215" s="1065"/>
      <c r="T215" s="1065"/>
      <c r="U215" s="467"/>
      <c r="V215" s="1065"/>
      <c r="W215" s="1065"/>
      <c r="X215" s="1065"/>
      <c r="Y215" s="1065"/>
      <c r="Z215" s="1065"/>
      <c r="AA215" s="1552"/>
      <c r="AB215" s="489"/>
      <c r="AC215" s="489"/>
      <c r="AD215" s="489"/>
      <c r="AE215" s="489"/>
    </row>
    <row r="216" spans="1:31" s="1561" customFormat="1" ht="11.25" customHeight="1">
      <c r="A216" s="898"/>
      <c r="B216" s="1556"/>
      <c r="C216" s="1556"/>
      <c r="D216" s="272"/>
      <c r="K216" s="1065"/>
      <c r="L216" s="1556"/>
      <c r="M216" s="1556"/>
      <c r="N216" s="1065"/>
      <c r="O216" s="1065"/>
      <c r="P216" s="1065"/>
      <c r="Q216" s="1065"/>
      <c r="R216" s="1556"/>
      <c r="S216" s="1065"/>
      <c r="T216" s="1065"/>
      <c r="U216" s="467"/>
      <c r="V216" s="1065"/>
      <c r="W216" s="1065"/>
      <c r="X216" s="1065"/>
      <c r="Y216" s="1065"/>
      <c r="Z216" s="1065"/>
      <c r="AA216" s="1552"/>
      <c r="AB216" s="489"/>
      <c r="AC216" s="489"/>
      <c r="AD216" s="489"/>
      <c r="AE216" s="489"/>
    </row>
    <row r="217" spans="1:31" s="1561" customFormat="1" ht="11.25" customHeight="1">
      <c r="A217" s="898"/>
      <c r="B217" s="1556"/>
      <c r="C217" s="1556"/>
      <c r="D217" s="272"/>
      <c r="K217" s="1065"/>
      <c r="L217" s="1556"/>
      <c r="M217" s="1556"/>
      <c r="N217" s="1065"/>
      <c r="O217" s="1065"/>
      <c r="P217" s="1065"/>
      <c r="Q217" s="1065"/>
      <c r="R217" s="1556"/>
      <c r="S217" s="1065"/>
      <c r="T217" s="1065"/>
      <c r="U217" s="467"/>
      <c r="V217" s="1065"/>
      <c r="W217" s="1065"/>
      <c r="X217" s="1065"/>
      <c r="Y217" s="1065"/>
      <c r="Z217" s="1065"/>
      <c r="AA217" s="1552"/>
      <c r="AB217" s="489"/>
      <c r="AC217" s="489"/>
      <c r="AD217" s="489"/>
      <c r="AE217" s="489"/>
    </row>
    <row r="218" spans="1:31" s="1561" customFormat="1" ht="11.25" customHeight="1">
      <c r="A218" s="898"/>
      <c r="B218" s="1556"/>
      <c r="C218" s="1556"/>
      <c r="D218" s="272"/>
      <c r="K218" s="1065"/>
      <c r="L218" s="1556"/>
      <c r="M218" s="1556"/>
      <c r="N218" s="1065"/>
      <c r="O218" s="1065"/>
      <c r="P218" s="1065"/>
      <c r="Q218" s="1065"/>
      <c r="R218" s="1556"/>
      <c r="S218" s="1065"/>
      <c r="T218" s="1065"/>
      <c r="U218" s="467"/>
      <c r="V218" s="1065"/>
      <c r="W218" s="1065"/>
      <c r="X218" s="1065"/>
      <c r="Y218" s="1065"/>
      <c r="Z218" s="1065"/>
      <c r="AA218" s="1552"/>
      <c r="AB218" s="489"/>
      <c r="AC218" s="489"/>
      <c r="AD218" s="489"/>
      <c r="AE218" s="489"/>
    </row>
    <row r="219" spans="1:31" s="1561" customFormat="1" ht="11.25" customHeight="1">
      <c r="A219" s="898"/>
      <c r="B219" s="1556"/>
      <c r="C219" s="1556"/>
      <c r="D219" s="272"/>
      <c r="K219" s="1065"/>
      <c r="L219" s="1556"/>
      <c r="M219" s="1556"/>
      <c r="N219" s="1065"/>
      <c r="O219" s="1065"/>
      <c r="P219" s="1065"/>
      <c r="Q219" s="1065"/>
      <c r="R219" s="1556"/>
      <c r="S219" s="1065"/>
      <c r="T219" s="1065"/>
      <c r="U219" s="467"/>
      <c r="V219" s="1065"/>
      <c r="W219" s="1065"/>
      <c r="X219" s="1065"/>
      <c r="Y219" s="1065"/>
      <c r="Z219" s="1065"/>
      <c r="AA219" s="1552"/>
      <c r="AB219" s="489"/>
      <c r="AC219" s="489"/>
      <c r="AD219" s="489"/>
      <c r="AE219" s="489"/>
    </row>
    <row r="220" spans="1:31" s="1561" customFormat="1" ht="11.25" customHeight="1">
      <c r="A220" s="898"/>
      <c r="B220" s="1556"/>
      <c r="C220" s="1556"/>
      <c r="D220" s="272"/>
      <c r="K220" s="1065"/>
      <c r="L220" s="1556"/>
      <c r="M220" s="1556"/>
      <c r="N220" s="1065"/>
      <c r="O220" s="1065"/>
      <c r="P220" s="1065"/>
      <c r="Q220" s="1065"/>
      <c r="R220" s="1556"/>
      <c r="S220" s="1065"/>
      <c r="T220" s="1065"/>
      <c r="U220" s="467"/>
      <c r="V220" s="1065"/>
      <c r="W220" s="1065"/>
      <c r="X220" s="1065"/>
      <c r="Y220" s="1065"/>
      <c r="Z220" s="1065"/>
      <c r="AA220" s="1552"/>
      <c r="AB220" s="489"/>
      <c r="AC220" s="489"/>
      <c r="AD220" s="489"/>
      <c r="AE220" s="489"/>
    </row>
    <row r="221" spans="1:31" s="1561" customFormat="1" ht="11.25" customHeight="1">
      <c r="A221" s="898"/>
      <c r="B221" s="1556"/>
      <c r="C221" s="1556"/>
      <c r="D221" s="272"/>
      <c r="K221" s="1065"/>
      <c r="L221" s="1556"/>
      <c r="M221" s="1556"/>
      <c r="N221" s="1065"/>
      <c r="O221" s="1065"/>
      <c r="P221" s="1065"/>
      <c r="Q221" s="1065"/>
      <c r="R221" s="1556"/>
      <c r="S221" s="1065"/>
      <c r="T221" s="1065"/>
      <c r="U221" s="467"/>
      <c r="V221" s="1065"/>
      <c r="W221" s="1065"/>
      <c r="X221" s="1065"/>
      <c r="Y221" s="1065"/>
      <c r="Z221" s="1065"/>
      <c r="AA221" s="1552"/>
      <c r="AB221" s="489"/>
      <c r="AC221" s="489"/>
      <c r="AD221" s="489"/>
      <c r="AE221" s="489"/>
    </row>
    <row r="222" spans="1:31" s="1561" customFormat="1" ht="11.25" customHeight="1">
      <c r="A222" s="898"/>
      <c r="B222" s="1556"/>
      <c r="C222" s="1556"/>
      <c r="D222" s="272"/>
      <c r="K222" s="1065"/>
      <c r="L222" s="1556"/>
      <c r="M222" s="1556"/>
      <c r="N222" s="1065"/>
      <c r="O222" s="1065"/>
      <c r="P222" s="1065"/>
      <c r="Q222" s="1065"/>
      <c r="R222" s="1556"/>
      <c r="S222" s="1065"/>
      <c r="T222" s="1065"/>
      <c r="U222" s="467"/>
      <c r="V222" s="1065"/>
      <c r="W222" s="1065"/>
      <c r="X222" s="1065"/>
      <c r="Y222" s="1065"/>
      <c r="Z222" s="1065"/>
      <c r="AA222" s="1552"/>
      <c r="AB222" s="489"/>
      <c r="AC222" s="489"/>
      <c r="AD222" s="489"/>
      <c r="AE222" s="489"/>
    </row>
    <row r="223" spans="1:31" s="1561" customFormat="1" ht="11.25" customHeight="1">
      <c r="A223" s="898"/>
      <c r="B223" s="1556"/>
      <c r="C223" s="1556"/>
      <c r="D223" s="272"/>
      <c r="K223" s="1065"/>
      <c r="L223" s="1556"/>
      <c r="M223" s="1556"/>
      <c r="N223" s="1065"/>
      <c r="O223" s="1065"/>
      <c r="P223" s="1065"/>
      <c r="Q223" s="1065"/>
      <c r="R223" s="1556"/>
      <c r="S223" s="1065"/>
      <c r="T223" s="1065"/>
      <c r="U223" s="467"/>
      <c r="V223" s="1065"/>
      <c r="W223" s="1065"/>
      <c r="X223" s="1065"/>
      <c r="Y223" s="1065"/>
      <c r="Z223" s="1065"/>
      <c r="AA223" s="1552"/>
      <c r="AB223" s="489"/>
      <c r="AC223" s="489"/>
      <c r="AD223" s="489"/>
      <c r="AE223" s="489"/>
    </row>
    <row r="224" spans="1:31" s="1561" customFormat="1" ht="11.25" customHeight="1">
      <c r="A224" s="898"/>
      <c r="B224" s="1556"/>
      <c r="C224" s="1556"/>
      <c r="D224" s="272"/>
      <c r="K224" s="1065"/>
      <c r="L224" s="1556"/>
      <c r="M224" s="1556"/>
      <c r="N224" s="1065"/>
      <c r="O224" s="1065"/>
      <c r="P224" s="1065"/>
      <c r="Q224" s="1065"/>
      <c r="R224" s="1556"/>
      <c r="S224" s="1065"/>
      <c r="T224" s="1065"/>
      <c r="U224" s="467"/>
      <c r="V224" s="1065"/>
      <c r="W224" s="1065"/>
      <c r="X224" s="1065"/>
      <c r="Y224" s="1065"/>
      <c r="Z224" s="1065"/>
      <c r="AA224" s="1552"/>
      <c r="AB224" s="489"/>
      <c r="AC224" s="489"/>
      <c r="AD224" s="489"/>
      <c r="AE224" s="489"/>
    </row>
    <row r="225" spans="1:31" s="1561" customFormat="1" ht="11.25" customHeight="1">
      <c r="A225" s="898"/>
      <c r="B225" s="1556"/>
      <c r="C225" s="1556"/>
      <c r="D225" s="272"/>
      <c r="K225" s="1065"/>
      <c r="L225" s="1556"/>
      <c r="M225" s="1556"/>
      <c r="N225" s="1065"/>
      <c r="O225" s="1065"/>
      <c r="P225" s="1065"/>
      <c r="Q225" s="1065"/>
      <c r="R225" s="1556"/>
      <c r="S225" s="1065"/>
      <c r="T225" s="1065"/>
      <c r="U225" s="467"/>
      <c r="V225" s="1065"/>
      <c r="W225" s="1065"/>
      <c r="X225" s="1065"/>
      <c r="Y225" s="1065"/>
      <c r="Z225" s="1065"/>
      <c r="AA225" s="1552"/>
      <c r="AB225" s="489"/>
      <c r="AC225" s="489"/>
      <c r="AD225" s="489"/>
      <c r="AE225" s="489"/>
    </row>
    <row r="226" spans="1:31" s="1561" customFormat="1" ht="11.25" customHeight="1">
      <c r="A226" s="898"/>
      <c r="B226" s="1556"/>
      <c r="C226" s="1556"/>
      <c r="D226" s="272"/>
      <c r="K226" s="1065"/>
      <c r="L226" s="1556"/>
      <c r="M226" s="1556"/>
      <c r="N226" s="1065"/>
      <c r="O226" s="1065"/>
      <c r="P226" s="1065"/>
      <c r="Q226" s="1065"/>
      <c r="R226" s="1556"/>
      <c r="S226" s="1065"/>
      <c r="T226" s="1065"/>
      <c r="U226" s="467"/>
      <c r="V226" s="1065"/>
      <c r="W226" s="1065"/>
      <c r="X226" s="1065"/>
      <c r="Y226" s="1065"/>
      <c r="Z226" s="1065"/>
      <c r="AA226" s="1552"/>
      <c r="AB226" s="489"/>
      <c r="AC226" s="489"/>
      <c r="AD226" s="489"/>
      <c r="AE226" s="489"/>
    </row>
    <row r="227" spans="1:31" s="1561" customFormat="1" ht="11.25" customHeight="1">
      <c r="A227" s="898"/>
      <c r="B227" s="1556"/>
      <c r="C227" s="1556"/>
      <c r="D227" s="272"/>
      <c r="K227" s="1065"/>
      <c r="L227" s="1556"/>
      <c r="M227" s="1556"/>
      <c r="N227" s="1065"/>
      <c r="O227" s="1065"/>
      <c r="P227" s="1065"/>
      <c r="Q227" s="1065"/>
      <c r="R227" s="1556"/>
      <c r="S227" s="1065"/>
      <c r="T227" s="1065"/>
      <c r="U227" s="467"/>
      <c r="V227" s="1065"/>
      <c r="W227" s="1065"/>
      <c r="X227" s="1065"/>
      <c r="Y227" s="1065"/>
      <c r="Z227" s="1065"/>
      <c r="AA227" s="1552"/>
      <c r="AB227" s="489"/>
      <c r="AC227" s="489"/>
      <c r="AD227" s="489"/>
      <c r="AE227" s="489"/>
    </row>
    <row r="228" spans="1:31" s="1561" customFormat="1" ht="11.25" customHeight="1">
      <c r="A228" s="898"/>
      <c r="B228" s="1556"/>
      <c r="C228" s="1556"/>
      <c r="D228" s="272"/>
      <c r="K228" s="1065"/>
      <c r="L228" s="1556"/>
      <c r="M228" s="1556"/>
      <c r="N228" s="1065"/>
      <c r="O228" s="1065"/>
      <c r="P228" s="1065"/>
      <c r="Q228" s="1065"/>
      <c r="R228" s="1556"/>
      <c r="S228" s="1065"/>
      <c r="T228" s="1065"/>
      <c r="U228" s="467"/>
      <c r="V228" s="1065"/>
      <c r="W228" s="1065"/>
      <c r="X228" s="1065"/>
      <c r="Y228" s="1065"/>
      <c r="Z228" s="1065"/>
      <c r="AA228" s="1552"/>
      <c r="AB228" s="489"/>
      <c r="AC228" s="489"/>
      <c r="AD228" s="489"/>
      <c r="AE228" s="489"/>
    </row>
    <row r="229" spans="1:31" s="1561" customFormat="1" ht="11.25" customHeight="1">
      <c r="A229" s="898"/>
      <c r="B229" s="1556"/>
      <c r="C229" s="1556"/>
      <c r="D229" s="272"/>
      <c r="K229" s="1065"/>
      <c r="L229" s="1556"/>
      <c r="M229" s="1556"/>
      <c r="N229" s="1065"/>
      <c r="O229" s="1065"/>
      <c r="P229" s="1065"/>
      <c r="Q229" s="1065"/>
      <c r="R229" s="1556"/>
      <c r="S229" s="1065"/>
      <c r="T229" s="1065"/>
      <c r="U229" s="467"/>
      <c r="V229" s="1065"/>
      <c r="W229" s="1065"/>
      <c r="X229" s="1065"/>
      <c r="Y229" s="1065"/>
      <c r="Z229" s="1065"/>
      <c r="AA229" s="1552"/>
      <c r="AB229" s="489"/>
      <c r="AC229" s="489"/>
      <c r="AD229" s="489"/>
      <c r="AE229" s="489"/>
    </row>
    <row r="230" spans="1:31" s="1561" customFormat="1" ht="11.25" customHeight="1">
      <c r="A230" s="898"/>
      <c r="B230" s="1556"/>
      <c r="C230" s="1556"/>
      <c r="D230" s="272"/>
      <c r="K230" s="1065"/>
      <c r="L230" s="1556"/>
      <c r="M230" s="1556"/>
      <c r="N230" s="1065"/>
      <c r="O230" s="1065"/>
      <c r="P230" s="1065"/>
      <c r="Q230" s="1065"/>
      <c r="R230" s="1556"/>
      <c r="S230" s="1065"/>
      <c r="T230" s="1065"/>
      <c r="U230" s="467"/>
      <c r="V230" s="1065"/>
      <c r="W230" s="1065"/>
      <c r="X230" s="1065"/>
      <c r="Y230" s="1065"/>
      <c r="Z230" s="1065"/>
      <c r="AA230" s="1552"/>
      <c r="AB230" s="489"/>
      <c r="AC230" s="489"/>
      <c r="AD230" s="489"/>
      <c r="AE230" s="489"/>
    </row>
    <row r="231" spans="1:31" s="1561" customFormat="1" ht="11.25" customHeight="1">
      <c r="A231" s="898"/>
      <c r="B231" s="1556"/>
      <c r="C231" s="1556"/>
      <c r="D231" s="272"/>
      <c r="K231" s="1065"/>
      <c r="L231" s="1556"/>
      <c r="M231" s="1556"/>
      <c r="N231" s="1065"/>
      <c r="O231" s="1065"/>
      <c r="P231" s="1065"/>
      <c r="Q231" s="1065"/>
      <c r="R231" s="1556"/>
      <c r="S231" s="1065"/>
      <c r="T231" s="1065"/>
      <c r="U231" s="467"/>
      <c r="V231" s="1065"/>
      <c r="W231" s="1065"/>
      <c r="X231" s="1065"/>
      <c r="Y231" s="1065"/>
      <c r="Z231" s="1065"/>
      <c r="AA231" s="1552"/>
      <c r="AB231" s="489"/>
      <c r="AC231" s="489"/>
      <c r="AD231" s="489"/>
      <c r="AE231" s="489"/>
    </row>
    <row r="232" spans="1:31" s="1561" customFormat="1" ht="11.25" customHeight="1">
      <c r="A232" s="898"/>
      <c r="B232" s="1556"/>
      <c r="C232" s="1556"/>
      <c r="D232" s="272"/>
      <c r="K232" s="1065"/>
      <c r="L232" s="1556"/>
      <c r="M232" s="1556"/>
      <c r="N232" s="1065"/>
      <c r="O232" s="1065"/>
      <c r="P232" s="1065"/>
      <c r="Q232" s="1065"/>
      <c r="R232" s="1556"/>
      <c r="S232" s="1065"/>
      <c r="T232" s="1065"/>
      <c r="U232" s="467"/>
      <c r="V232" s="1065"/>
      <c r="W232" s="1065"/>
      <c r="X232" s="1065"/>
      <c r="Y232" s="1065"/>
      <c r="Z232" s="1065"/>
      <c r="AA232" s="1552"/>
      <c r="AB232" s="489"/>
      <c r="AC232" s="489"/>
      <c r="AD232" s="489"/>
      <c r="AE232" s="489"/>
    </row>
    <row r="233" spans="1:31" s="1561" customFormat="1" ht="11.25" customHeight="1">
      <c r="A233" s="898"/>
      <c r="B233" s="1556"/>
      <c r="C233" s="1556"/>
      <c r="D233" s="272"/>
      <c r="K233" s="1065"/>
      <c r="L233" s="1556"/>
      <c r="M233" s="1556"/>
      <c r="N233" s="1065"/>
      <c r="O233" s="1065"/>
      <c r="P233" s="1065"/>
      <c r="Q233" s="1065"/>
      <c r="R233" s="1556"/>
      <c r="S233" s="1065"/>
      <c r="T233" s="1065"/>
      <c r="U233" s="467"/>
      <c r="V233" s="1065"/>
      <c r="W233" s="1065"/>
      <c r="X233" s="1065"/>
      <c r="Y233" s="1065"/>
      <c r="Z233" s="1065"/>
      <c r="AA233" s="1552"/>
      <c r="AB233" s="489"/>
      <c r="AC233" s="489"/>
      <c r="AD233" s="489"/>
      <c r="AE233" s="489"/>
    </row>
    <row r="234" spans="1:31" s="1561" customFormat="1" ht="11.25" customHeight="1">
      <c r="A234" s="898"/>
      <c r="B234" s="1556"/>
      <c r="C234" s="1556"/>
      <c r="D234" s="272"/>
      <c r="K234" s="1065"/>
      <c r="L234" s="1556"/>
      <c r="M234" s="1556"/>
      <c r="N234" s="1065"/>
      <c r="O234" s="1065"/>
      <c r="P234" s="1065"/>
      <c r="Q234" s="1065"/>
      <c r="R234" s="1556"/>
      <c r="S234" s="1065"/>
      <c r="T234" s="1065"/>
      <c r="U234" s="467"/>
      <c r="V234" s="1065"/>
      <c r="W234" s="1065"/>
      <c r="X234" s="1065"/>
      <c r="Y234" s="1065"/>
      <c r="Z234" s="1065"/>
      <c r="AA234" s="1552"/>
      <c r="AB234" s="489"/>
      <c r="AC234" s="489"/>
      <c r="AD234" s="489"/>
      <c r="AE234" s="489"/>
    </row>
    <row r="235" spans="1:31" s="1561" customFormat="1" ht="11.25" customHeight="1">
      <c r="A235" s="898"/>
      <c r="B235" s="1556"/>
      <c r="C235" s="1556"/>
      <c r="D235" s="272"/>
      <c r="K235" s="1065"/>
      <c r="L235" s="1556"/>
      <c r="M235" s="1556"/>
      <c r="N235" s="1065"/>
      <c r="O235" s="1065"/>
      <c r="P235" s="1065"/>
      <c r="Q235" s="1065"/>
      <c r="R235" s="1556"/>
      <c r="S235" s="1065"/>
      <c r="T235" s="1065"/>
      <c r="U235" s="467"/>
      <c r="V235" s="1065"/>
      <c r="W235" s="1065"/>
      <c r="X235" s="1065"/>
      <c r="Y235" s="1065"/>
      <c r="Z235" s="1065"/>
      <c r="AA235" s="1552"/>
      <c r="AB235" s="489"/>
      <c r="AC235" s="489"/>
      <c r="AD235" s="489"/>
      <c r="AE235" s="489"/>
    </row>
    <row r="236" spans="1:31" s="1561" customFormat="1" ht="11.25" customHeight="1">
      <c r="A236" s="898"/>
      <c r="B236" s="1556"/>
      <c r="C236" s="1556"/>
      <c r="D236" s="272"/>
      <c r="K236" s="1065"/>
      <c r="L236" s="1556"/>
      <c r="M236" s="1556"/>
      <c r="N236" s="1065"/>
      <c r="O236" s="1065"/>
      <c r="P236" s="1065"/>
      <c r="Q236" s="1065"/>
      <c r="R236" s="1556"/>
      <c r="S236" s="1065"/>
      <c r="T236" s="1065"/>
      <c r="U236" s="467"/>
      <c r="V236" s="1065"/>
      <c r="W236" s="1065"/>
      <c r="X236" s="1065"/>
      <c r="Y236" s="1065"/>
      <c r="Z236" s="1065"/>
      <c r="AA236" s="1552"/>
      <c r="AB236" s="489"/>
      <c r="AC236" s="489"/>
      <c r="AD236" s="489"/>
      <c r="AE236" s="489"/>
    </row>
    <row r="237" spans="1:31" s="1561" customFormat="1" ht="11.25" customHeight="1">
      <c r="A237" s="898"/>
      <c r="B237" s="1556"/>
      <c r="C237" s="1556"/>
      <c r="D237" s="272"/>
      <c r="K237" s="1065"/>
      <c r="L237" s="1556"/>
      <c r="M237" s="1556"/>
      <c r="N237" s="1065"/>
      <c r="O237" s="1065"/>
      <c r="P237" s="1065"/>
      <c r="Q237" s="1065"/>
      <c r="R237" s="1556"/>
      <c r="S237" s="1065"/>
      <c r="T237" s="1065"/>
      <c r="U237" s="467"/>
      <c r="V237" s="1065"/>
      <c r="W237" s="1065"/>
      <c r="X237" s="1065"/>
      <c r="Y237" s="1065"/>
      <c r="Z237" s="1065"/>
      <c r="AA237" s="1552"/>
      <c r="AB237" s="489"/>
      <c r="AC237" s="489"/>
      <c r="AD237" s="489"/>
      <c r="AE237" s="489"/>
    </row>
    <row r="238" spans="1:31" s="1561" customFormat="1" ht="11.25" customHeight="1">
      <c r="A238" s="898"/>
      <c r="B238" s="1556"/>
      <c r="C238" s="1556"/>
      <c r="D238" s="272"/>
      <c r="K238" s="1065"/>
      <c r="L238" s="1556"/>
      <c r="M238" s="1556"/>
      <c r="N238" s="1065"/>
      <c r="O238" s="1065"/>
      <c r="P238" s="1065"/>
      <c r="Q238" s="1065"/>
      <c r="R238" s="1556"/>
      <c r="S238" s="1065"/>
      <c r="T238" s="1065"/>
      <c r="U238" s="467"/>
      <c r="V238" s="1065"/>
      <c r="W238" s="1065"/>
      <c r="X238" s="1065"/>
      <c r="Y238" s="1065"/>
      <c r="Z238" s="1065"/>
      <c r="AA238" s="1552"/>
      <c r="AB238" s="489"/>
      <c r="AC238" s="489"/>
      <c r="AD238" s="489"/>
      <c r="AE238" s="489"/>
    </row>
    <row r="239" spans="1:31" s="1561" customFormat="1" ht="11.25" customHeight="1">
      <c r="A239" s="898"/>
      <c r="B239" s="1556"/>
      <c r="C239" s="1556"/>
      <c r="D239" s="272"/>
      <c r="K239" s="1065"/>
      <c r="L239" s="1556"/>
      <c r="M239" s="1556"/>
      <c r="N239" s="1065"/>
      <c r="O239" s="1065"/>
      <c r="P239" s="1065"/>
      <c r="Q239" s="1065"/>
      <c r="R239" s="1556"/>
      <c r="S239" s="1065"/>
      <c r="T239" s="1065"/>
      <c r="U239" s="467"/>
      <c r="V239" s="1065"/>
      <c r="W239" s="1065"/>
      <c r="X239" s="1065"/>
      <c r="Y239" s="1065"/>
      <c r="Z239" s="1065"/>
      <c r="AA239" s="1552"/>
      <c r="AB239" s="489"/>
      <c r="AC239" s="489"/>
      <c r="AD239" s="489"/>
      <c r="AE239" s="489"/>
    </row>
    <row r="240" spans="1:31" s="1561" customFormat="1" ht="11.25" customHeight="1">
      <c r="A240" s="898"/>
      <c r="B240" s="1556"/>
      <c r="C240" s="1556"/>
      <c r="D240" s="272"/>
      <c r="K240" s="1065"/>
      <c r="L240" s="1556"/>
      <c r="M240" s="1556"/>
      <c r="N240" s="1065"/>
      <c r="O240" s="1065"/>
      <c r="P240" s="1065"/>
      <c r="Q240" s="1065"/>
      <c r="R240" s="1556"/>
      <c r="S240" s="1065"/>
      <c r="T240" s="1065"/>
      <c r="U240" s="467"/>
      <c r="V240" s="1065"/>
      <c r="W240" s="1065"/>
      <c r="X240" s="1065"/>
      <c r="Y240" s="1065"/>
      <c r="Z240" s="1065"/>
      <c r="AA240" s="1552"/>
      <c r="AB240" s="489"/>
      <c r="AC240" s="489"/>
      <c r="AD240" s="489"/>
      <c r="AE240" s="489"/>
    </row>
    <row r="241" spans="1:31" s="1561" customFormat="1" ht="11.25" customHeight="1">
      <c r="A241" s="898"/>
      <c r="B241" s="1556"/>
      <c r="C241" s="1556"/>
      <c r="D241" s="272"/>
      <c r="K241" s="1065"/>
      <c r="L241" s="1556"/>
      <c r="M241" s="1556"/>
      <c r="N241" s="1065"/>
      <c r="O241" s="1065"/>
      <c r="P241" s="1065"/>
      <c r="Q241" s="1065"/>
      <c r="R241" s="1556"/>
      <c r="S241" s="1065"/>
      <c r="T241" s="1065"/>
      <c r="U241" s="467"/>
      <c r="V241" s="1065"/>
      <c r="W241" s="1065"/>
      <c r="X241" s="1065"/>
      <c r="Y241" s="1065"/>
      <c r="Z241" s="1065"/>
      <c r="AA241" s="1552"/>
      <c r="AB241" s="489"/>
      <c r="AC241" s="489"/>
      <c r="AD241" s="489"/>
      <c r="AE241" s="489"/>
    </row>
    <row r="242" spans="1:31" s="1561" customFormat="1" ht="11.25" customHeight="1">
      <c r="A242" s="898"/>
      <c r="B242" s="1556"/>
      <c r="C242" s="1556"/>
      <c r="D242" s="272"/>
      <c r="K242" s="1065"/>
      <c r="L242" s="1556"/>
      <c r="M242" s="1556"/>
      <c r="N242" s="1065"/>
      <c r="O242" s="1065"/>
      <c r="P242" s="1065"/>
      <c r="Q242" s="1065"/>
      <c r="R242" s="1556"/>
      <c r="S242" s="1065"/>
      <c r="T242" s="1065"/>
      <c r="U242" s="467"/>
      <c r="V242" s="1065"/>
      <c r="W242" s="1065"/>
      <c r="X242" s="1065"/>
      <c r="Y242" s="1065"/>
      <c r="Z242" s="1065"/>
      <c r="AA242" s="1552"/>
      <c r="AB242" s="489"/>
      <c r="AC242" s="489"/>
      <c r="AD242" s="489"/>
      <c r="AE242" s="489"/>
    </row>
    <row r="243" spans="1:31" s="1561" customFormat="1" ht="11.25" customHeight="1">
      <c r="A243" s="898"/>
      <c r="B243" s="1556"/>
      <c r="C243" s="1556"/>
      <c r="D243" s="272"/>
      <c r="K243" s="1065"/>
      <c r="L243" s="1556"/>
      <c r="M243" s="1556"/>
      <c r="N243" s="1065"/>
      <c r="O243" s="1065"/>
      <c r="P243" s="1065"/>
      <c r="Q243" s="1065"/>
      <c r="R243" s="1556"/>
      <c r="S243" s="1065"/>
      <c r="T243" s="1065"/>
      <c r="U243" s="467"/>
      <c r="V243" s="1065"/>
      <c r="W243" s="1065"/>
      <c r="X243" s="1065"/>
      <c r="Y243" s="1065"/>
      <c r="Z243" s="1065"/>
      <c r="AA243" s="1552"/>
      <c r="AB243" s="489"/>
      <c r="AC243" s="489"/>
      <c r="AD243" s="489"/>
      <c r="AE243" s="489"/>
    </row>
    <row r="244" spans="1:31" s="1561" customFormat="1" ht="11.25" customHeight="1">
      <c r="A244" s="898"/>
      <c r="B244" s="1556"/>
      <c r="C244" s="1556"/>
      <c r="D244" s="272"/>
      <c r="K244" s="1065"/>
      <c r="L244" s="1556"/>
      <c r="M244" s="1556"/>
      <c r="N244" s="1065"/>
      <c r="O244" s="1065"/>
      <c r="P244" s="1065"/>
      <c r="Q244" s="1065"/>
      <c r="R244" s="1556"/>
      <c r="S244" s="1065"/>
      <c r="T244" s="1065"/>
      <c r="U244" s="467"/>
      <c r="V244" s="1065"/>
      <c r="W244" s="1065"/>
      <c r="X244" s="1065"/>
      <c r="Y244" s="1065"/>
      <c r="Z244" s="1065"/>
      <c r="AA244" s="1552"/>
      <c r="AB244" s="489"/>
      <c r="AC244" s="489"/>
      <c r="AD244" s="489"/>
      <c r="AE244" s="489"/>
    </row>
    <row r="245" spans="1:31" s="1561" customFormat="1" ht="11.25" customHeight="1">
      <c r="A245" s="898"/>
      <c r="B245" s="1556"/>
      <c r="C245" s="1556"/>
      <c r="D245" s="272"/>
      <c r="K245" s="1065"/>
      <c r="L245" s="1556"/>
      <c r="M245" s="1556"/>
      <c r="N245" s="1065"/>
      <c r="O245" s="1065"/>
      <c r="P245" s="1065"/>
      <c r="Q245" s="1065"/>
      <c r="R245" s="1556"/>
      <c r="S245" s="1065"/>
      <c r="T245" s="1065"/>
      <c r="U245" s="467"/>
      <c r="V245" s="1065"/>
      <c r="W245" s="1065"/>
      <c r="X245" s="1065"/>
      <c r="Y245" s="1065"/>
      <c r="Z245" s="1065"/>
      <c r="AA245" s="1552"/>
      <c r="AB245" s="489"/>
      <c r="AC245" s="489"/>
      <c r="AD245" s="489"/>
      <c r="AE245" s="489"/>
    </row>
    <row r="246" spans="1:31" s="1561" customFormat="1" ht="11.25" customHeight="1">
      <c r="A246" s="898"/>
      <c r="B246" s="1556"/>
      <c r="C246" s="1556"/>
      <c r="D246" s="272"/>
      <c r="K246" s="1065"/>
      <c r="L246" s="1556"/>
      <c r="M246" s="1556"/>
      <c r="N246" s="1065"/>
      <c r="O246" s="1065"/>
      <c r="P246" s="1065"/>
      <c r="Q246" s="1065"/>
      <c r="R246" s="1556"/>
      <c r="S246" s="1065"/>
      <c r="T246" s="1065"/>
      <c r="U246" s="467"/>
      <c r="V246" s="1065"/>
      <c r="W246" s="1065"/>
      <c r="X246" s="1065"/>
      <c r="Y246" s="1065"/>
      <c r="Z246" s="1065"/>
      <c r="AA246" s="1552"/>
      <c r="AB246" s="489"/>
      <c r="AC246" s="489"/>
      <c r="AD246" s="489"/>
      <c r="AE246" s="489"/>
    </row>
    <row r="247" spans="1:31" s="1561" customFormat="1" ht="11.25" customHeight="1">
      <c r="A247" s="898"/>
      <c r="B247" s="1556"/>
      <c r="C247" s="1556"/>
      <c r="D247" s="272"/>
      <c r="K247" s="1065"/>
      <c r="L247" s="1556"/>
      <c r="M247" s="1556"/>
      <c r="N247" s="1065"/>
      <c r="O247" s="1065"/>
      <c r="P247" s="1065"/>
      <c r="Q247" s="1065"/>
      <c r="R247" s="1556"/>
      <c r="S247" s="1065"/>
      <c r="T247" s="1065"/>
      <c r="U247" s="467"/>
      <c r="V247" s="1065"/>
      <c r="W247" s="1065"/>
      <c r="X247" s="1065"/>
      <c r="Y247" s="1065"/>
      <c r="Z247" s="1065"/>
      <c r="AA247" s="1552"/>
      <c r="AB247" s="489"/>
      <c r="AC247" s="489"/>
      <c r="AD247" s="489"/>
      <c r="AE247" s="489"/>
    </row>
    <row r="248" spans="1:31" s="1561" customFormat="1" ht="11.25" customHeight="1">
      <c r="A248" s="898"/>
      <c r="B248" s="1556"/>
      <c r="C248" s="1556"/>
      <c r="D248" s="272"/>
      <c r="K248" s="1065"/>
      <c r="L248" s="1556"/>
      <c r="M248" s="1556"/>
      <c r="N248" s="1065"/>
      <c r="O248" s="1065"/>
      <c r="P248" s="1065"/>
      <c r="Q248" s="1065"/>
      <c r="R248" s="1556"/>
      <c r="S248" s="1065"/>
      <c r="T248" s="1065"/>
      <c r="U248" s="467"/>
      <c r="V248" s="1065"/>
      <c r="W248" s="1065"/>
      <c r="X248" s="1065"/>
      <c r="Y248" s="1065"/>
      <c r="Z248" s="1065"/>
      <c r="AA248" s="1552"/>
      <c r="AB248" s="489"/>
      <c r="AC248" s="489"/>
      <c r="AD248" s="489"/>
      <c r="AE248" s="489"/>
    </row>
    <row r="249" spans="1:31" s="1561" customFormat="1" ht="11.25" customHeight="1">
      <c r="A249" s="898"/>
      <c r="B249" s="1556"/>
      <c r="C249" s="1556"/>
      <c r="D249" s="272"/>
      <c r="K249" s="1065"/>
      <c r="L249" s="1556"/>
      <c r="M249" s="1556"/>
      <c r="N249" s="1065"/>
      <c r="O249" s="1065"/>
      <c r="P249" s="1065"/>
      <c r="Q249" s="1065"/>
      <c r="R249" s="1556"/>
      <c r="S249" s="1065"/>
      <c r="T249" s="1065"/>
      <c r="U249" s="467"/>
      <c r="V249" s="1065"/>
      <c r="W249" s="1065"/>
      <c r="X249" s="1065"/>
      <c r="Y249" s="1065"/>
      <c r="Z249" s="1065"/>
      <c r="AA249" s="1552"/>
      <c r="AB249" s="489"/>
      <c r="AC249" s="489"/>
      <c r="AD249" s="489"/>
      <c r="AE249" s="489"/>
    </row>
    <row r="250" spans="1:31" s="1561" customFormat="1" ht="11.25" customHeight="1">
      <c r="A250" s="898"/>
      <c r="B250" s="1556"/>
      <c r="C250" s="1556"/>
      <c r="D250" s="272"/>
      <c r="K250" s="1065"/>
      <c r="L250" s="1556"/>
      <c r="M250" s="1556"/>
      <c r="N250" s="1065"/>
      <c r="O250" s="1065"/>
      <c r="P250" s="1065"/>
      <c r="Q250" s="1065"/>
      <c r="R250" s="1556"/>
      <c r="S250" s="1065"/>
      <c r="T250" s="1065"/>
      <c r="U250" s="467"/>
      <c r="V250" s="1065"/>
      <c r="W250" s="1065"/>
      <c r="X250" s="1065"/>
      <c r="Y250" s="1065"/>
      <c r="Z250" s="1065"/>
      <c r="AA250" s="1552"/>
      <c r="AB250" s="489"/>
      <c r="AC250" s="489"/>
      <c r="AD250" s="489"/>
      <c r="AE250" s="489"/>
    </row>
    <row r="251" spans="1:31" s="1561" customFormat="1" ht="11.25" customHeight="1">
      <c r="A251" s="898"/>
      <c r="B251" s="1556"/>
      <c r="C251" s="1556"/>
      <c r="D251" s="272"/>
      <c r="K251" s="1065"/>
      <c r="L251" s="1556"/>
      <c r="M251" s="1556"/>
      <c r="N251" s="1065"/>
      <c r="O251" s="1065"/>
      <c r="P251" s="1065"/>
      <c r="Q251" s="1065"/>
      <c r="R251" s="1556"/>
      <c r="S251" s="1065"/>
      <c r="T251" s="1065"/>
      <c r="U251" s="467"/>
      <c r="V251" s="1065"/>
      <c r="W251" s="1065"/>
      <c r="X251" s="1065"/>
      <c r="Y251" s="1065"/>
      <c r="Z251" s="1065"/>
      <c r="AA251" s="1552"/>
      <c r="AB251" s="489"/>
      <c r="AC251" s="489"/>
      <c r="AD251" s="489"/>
      <c r="AE251" s="489"/>
    </row>
    <row r="252" spans="1:31" s="1561" customFormat="1" ht="11.25" customHeight="1">
      <c r="A252" s="898"/>
      <c r="B252" s="1556"/>
      <c r="C252" s="1556"/>
      <c r="D252" s="272"/>
      <c r="K252" s="1065"/>
      <c r="L252" s="1556"/>
      <c r="M252" s="1556"/>
      <c r="N252" s="1065"/>
      <c r="O252" s="1065"/>
      <c r="P252" s="1065"/>
      <c r="Q252" s="1065"/>
      <c r="R252" s="1556"/>
      <c r="S252" s="1065"/>
      <c r="T252" s="1065"/>
      <c r="U252" s="467"/>
      <c r="V252" s="1065"/>
      <c r="W252" s="1065"/>
      <c r="X252" s="1065"/>
      <c r="Y252" s="1065"/>
      <c r="Z252" s="1065"/>
      <c r="AA252" s="1552"/>
      <c r="AB252" s="489"/>
      <c r="AC252" s="489"/>
      <c r="AD252" s="489"/>
      <c r="AE252" s="489"/>
    </row>
    <row r="253" spans="1:31" s="1561" customFormat="1" ht="11.25" customHeight="1">
      <c r="A253" s="898"/>
      <c r="B253" s="1556"/>
      <c r="C253" s="1556"/>
      <c r="D253" s="272"/>
      <c r="K253" s="1065"/>
      <c r="L253" s="1556"/>
      <c r="M253" s="1556"/>
      <c r="N253" s="1065"/>
      <c r="O253" s="1065"/>
      <c r="P253" s="1065"/>
      <c r="Q253" s="1065"/>
      <c r="R253" s="1556"/>
      <c r="S253" s="1065"/>
      <c r="T253" s="1065"/>
      <c r="U253" s="467"/>
      <c r="V253" s="1065"/>
      <c r="W253" s="1065"/>
      <c r="X253" s="1065"/>
      <c r="Y253" s="1065"/>
      <c r="Z253" s="1065"/>
      <c r="AA253" s="1552"/>
      <c r="AB253" s="489"/>
      <c r="AC253" s="489"/>
      <c r="AD253" s="489"/>
      <c r="AE253" s="489"/>
    </row>
    <row r="254" spans="1:31" s="1561" customFormat="1" ht="11.25" customHeight="1">
      <c r="A254" s="898"/>
      <c r="B254" s="1556"/>
      <c r="C254" s="1556"/>
      <c r="D254" s="272"/>
      <c r="K254" s="1065"/>
      <c r="L254" s="1556"/>
      <c r="M254" s="1556"/>
      <c r="N254" s="1065"/>
      <c r="O254" s="1065"/>
      <c r="P254" s="1065"/>
      <c r="Q254" s="1065"/>
      <c r="R254" s="1556"/>
      <c r="S254" s="1065"/>
      <c r="T254" s="1065"/>
      <c r="U254" s="467"/>
      <c r="V254" s="1065"/>
      <c r="W254" s="1065"/>
      <c r="X254" s="1065"/>
      <c r="Y254" s="1065"/>
      <c r="Z254" s="1065"/>
      <c r="AA254" s="1552"/>
      <c r="AB254" s="489"/>
      <c r="AC254" s="489"/>
      <c r="AD254" s="489"/>
      <c r="AE254" s="489"/>
    </row>
    <row r="255" spans="1:31" s="1561" customFormat="1" ht="11.25" customHeight="1">
      <c r="A255" s="898"/>
      <c r="B255" s="1556"/>
      <c r="C255" s="1556"/>
      <c r="D255" s="272"/>
      <c r="K255" s="1065"/>
      <c r="L255" s="1556"/>
      <c r="M255" s="1556"/>
      <c r="N255" s="1065"/>
      <c r="O255" s="1065"/>
      <c r="P255" s="1065"/>
      <c r="Q255" s="1065"/>
      <c r="R255" s="1556"/>
      <c r="S255" s="1065"/>
      <c r="T255" s="1065"/>
      <c r="U255" s="467"/>
      <c r="V255" s="1065"/>
      <c r="W255" s="1065"/>
      <c r="X255" s="1065"/>
      <c r="Y255" s="1065"/>
      <c r="Z255" s="1065"/>
      <c r="AA255" s="1552"/>
      <c r="AB255" s="489"/>
      <c r="AC255" s="489"/>
      <c r="AD255" s="489"/>
      <c r="AE255" s="489"/>
    </row>
    <row r="256" spans="1:31" s="1561" customFormat="1" ht="11.25" customHeight="1">
      <c r="A256" s="898"/>
      <c r="B256" s="1556"/>
      <c r="C256" s="1556"/>
      <c r="D256" s="272"/>
      <c r="K256" s="1065"/>
      <c r="L256" s="1556"/>
      <c r="M256" s="1556"/>
      <c r="N256" s="1065"/>
      <c r="O256" s="1065"/>
      <c r="P256" s="1065"/>
      <c r="Q256" s="1065"/>
      <c r="R256" s="1556"/>
      <c r="S256" s="1065"/>
      <c r="T256" s="1065"/>
      <c r="U256" s="467"/>
      <c r="V256" s="1065"/>
      <c r="W256" s="1065"/>
      <c r="X256" s="1065"/>
      <c r="Y256" s="1065"/>
      <c r="Z256" s="1065"/>
      <c r="AA256" s="1552"/>
      <c r="AB256" s="489"/>
      <c r="AC256" s="489"/>
      <c r="AD256" s="489"/>
      <c r="AE256" s="489"/>
    </row>
    <row r="257" spans="1:31" s="1561" customFormat="1" ht="11.25" customHeight="1">
      <c r="A257" s="898"/>
      <c r="B257" s="1556"/>
      <c r="C257" s="1556"/>
      <c r="D257" s="272"/>
      <c r="K257" s="1065"/>
      <c r="L257" s="1556"/>
      <c r="M257" s="1556"/>
      <c r="N257" s="1065"/>
      <c r="O257" s="1065"/>
      <c r="P257" s="1065"/>
      <c r="Q257" s="1065"/>
      <c r="R257" s="1556"/>
      <c r="S257" s="1065"/>
      <c r="T257" s="1065"/>
      <c r="U257" s="467"/>
      <c r="V257" s="1065"/>
      <c r="W257" s="1065"/>
      <c r="X257" s="1065"/>
      <c r="Y257" s="1065"/>
      <c r="Z257" s="1065"/>
      <c r="AA257" s="1552"/>
      <c r="AB257" s="489"/>
      <c r="AC257" s="489"/>
      <c r="AD257" s="489"/>
      <c r="AE257" s="489"/>
    </row>
    <row r="258" spans="1:31" s="1561" customFormat="1" ht="11.25" customHeight="1">
      <c r="A258" s="898"/>
      <c r="B258" s="1556"/>
      <c r="C258" s="1556"/>
      <c r="D258" s="272"/>
      <c r="K258" s="1065"/>
      <c r="L258" s="1556"/>
      <c r="M258" s="1556"/>
      <c r="N258" s="1065"/>
      <c r="O258" s="1065"/>
      <c r="P258" s="1065"/>
      <c r="Q258" s="1065"/>
      <c r="R258" s="1556"/>
      <c r="S258" s="1065"/>
      <c r="T258" s="1065"/>
      <c r="U258" s="467"/>
      <c r="V258" s="1065"/>
      <c r="W258" s="1065"/>
      <c r="X258" s="1065"/>
      <c r="Y258" s="1065"/>
      <c r="Z258" s="1065"/>
      <c r="AA258" s="1552"/>
      <c r="AB258" s="489"/>
      <c r="AC258" s="489"/>
      <c r="AD258" s="489"/>
      <c r="AE258" s="489"/>
    </row>
    <row r="259" spans="1:31" s="1561" customFormat="1" ht="11.25" customHeight="1">
      <c r="A259" s="898"/>
      <c r="B259" s="1556"/>
      <c r="C259" s="1556"/>
      <c r="D259" s="272"/>
      <c r="K259" s="1065"/>
      <c r="L259" s="1556"/>
      <c r="M259" s="1556"/>
      <c r="N259" s="1065"/>
      <c r="O259" s="1065"/>
      <c r="P259" s="1065"/>
      <c r="Q259" s="1065"/>
      <c r="R259" s="1556"/>
      <c r="S259" s="1065"/>
      <c r="T259" s="1065"/>
      <c r="U259" s="467"/>
      <c r="V259" s="1065"/>
      <c r="W259" s="1065"/>
      <c r="X259" s="1065"/>
      <c r="Y259" s="1065"/>
      <c r="Z259" s="1065"/>
      <c r="AA259" s="1552"/>
      <c r="AB259" s="489"/>
      <c r="AC259" s="489"/>
      <c r="AD259" s="489"/>
      <c r="AE259" s="489"/>
    </row>
    <row r="260" spans="1:31" s="1561" customFormat="1" ht="11.25" customHeight="1">
      <c r="A260" s="898"/>
      <c r="B260" s="1556"/>
      <c r="C260" s="1556"/>
      <c r="D260" s="272"/>
      <c r="K260" s="1065"/>
      <c r="L260" s="1556"/>
      <c r="M260" s="1556"/>
      <c r="N260" s="1065"/>
      <c r="O260" s="1065"/>
      <c r="P260" s="1065"/>
      <c r="Q260" s="1065"/>
      <c r="R260" s="1556"/>
      <c r="S260" s="1065"/>
      <c r="T260" s="1065"/>
      <c r="U260" s="467"/>
      <c r="V260" s="1065"/>
      <c r="W260" s="1065"/>
      <c r="X260" s="1065"/>
      <c r="Y260" s="1065"/>
      <c r="Z260" s="1065"/>
      <c r="AA260" s="1552"/>
      <c r="AB260" s="489"/>
      <c r="AC260" s="489"/>
      <c r="AD260" s="489"/>
      <c r="AE260" s="489"/>
    </row>
    <row r="261" spans="1:31" s="1561" customFormat="1" ht="11.25" customHeight="1">
      <c r="A261" s="898"/>
      <c r="B261" s="1556"/>
      <c r="C261" s="1556"/>
      <c r="D261" s="272"/>
      <c r="K261" s="1065"/>
      <c r="L261" s="1556"/>
      <c r="M261" s="1556"/>
      <c r="N261" s="1065"/>
      <c r="O261" s="1065"/>
      <c r="P261" s="1065"/>
      <c r="Q261" s="1065"/>
      <c r="R261" s="1556"/>
      <c r="S261" s="1065"/>
      <c r="T261" s="1065"/>
      <c r="U261" s="467"/>
      <c r="V261" s="1065"/>
      <c r="W261" s="1065"/>
      <c r="X261" s="1065"/>
      <c r="Y261" s="1065"/>
      <c r="Z261" s="1065"/>
      <c r="AA261" s="1552"/>
      <c r="AB261" s="489"/>
      <c r="AC261" s="489"/>
      <c r="AD261" s="489"/>
      <c r="AE261" s="489"/>
    </row>
    <row r="262" spans="1:31" s="1561" customFormat="1" ht="11.25" customHeight="1">
      <c r="A262" s="898"/>
      <c r="B262" s="1556"/>
      <c r="C262" s="1556"/>
      <c r="D262" s="272"/>
      <c r="K262" s="1065"/>
      <c r="L262" s="1556"/>
      <c r="M262" s="1556"/>
      <c r="N262" s="1065"/>
      <c r="O262" s="1065"/>
      <c r="P262" s="1065"/>
      <c r="Q262" s="1065"/>
      <c r="R262" s="1556"/>
      <c r="S262" s="1065"/>
      <c r="T262" s="1065"/>
      <c r="U262" s="467"/>
      <c r="V262" s="1065"/>
      <c r="W262" s="1065"/>
      <c r="X262" s="1065"/>
      <c r="Y262" s="1065"/>
      <c r="Z262" s="1065"/>
      <c r="AA262" s="1552"/>
      <c r="AB262" s="489"/>
      <c r="AC262" s="489"/>
      <c r="AD262" s="489"/>
      <c r="AE262" s="489"/>
    </row>
    <row r="263" spans="1:31" s="1561" customFormat="1" ht="11.25" customHeight="1">
      <c r="A263" s="898"/>
      <c r="B263" s="1556"/>
      <c r="C263" s="1556"/>
      <c r="D263" s="272"/>
      <c r="K263" s="1065"/>
      <c r="L263" s="1556"/>
      <c r="M263" s="1556"/>
      <c r="N263" s="1065"/>
      <c r="O263" s="1065"/>
      <c r="P263" s="1065"/>
      <c r="Q263" s="1065"/>
      <c r="R263" s="1556"/>
      <c r="S263" s="1065"/>
      <c r="T263" s="1065"/>
      <c r="U263" s="467"/>
      <c r="V263" s="1065"/>
      <c r="W263" s="1065"/>
      <c r="X263" s="1065"/>
      <c r="Y263" s="1065"/>
      <c r="Z263" s="1065"/>
      <c r="AA263" s="1552"/>
      <c r="AB263" s="489"/>
      <c r="AC263" s="489"/>
      <c r="AD263" s="489"/>
      <c r="AE263" s="489"/>
    </row>
    <row r="264" spans="1:31" s="1561" customFormat="1" ht="11.25" customHeight="1">
      <c r="A264" s="898"/>
      <c r="B264" s="1556"/>
      <c r="C264" s="1556"/>
      <c r="D264" s="272"/>
      <c r="K264" s="1065"/>
      <c r="L264" s="1556"/>
      <c r="M264" s="1556"/>
      <c r="N264" s="1065"/>
      <c r="O264" s="1065"/>
      <c r="P264" s="1065"/>
      <c r="Q264" s="1065"/>
      <c r="R264" s="1556"/>
      <c r="S264" s="1065"/>
      <c r="T264" s="1065"/>
      <c r="U264" s="467"/>
      <c r="V264" s="1065"/>
      <c r="W264" s="1065"/>
      <c r="X264" s="1065"/>
      <c r="Y264" s="1065"/>
      <c r="Z264" s="1065"/>
      <c r="AA264" s="1552"/>
      <c r="AB264" s="489"/>
      <c r="AC264" s="489"/>
      <c r="AD264" s="489"/>
      <c r="AE264" s="489"/>
    </row>
    <row r="265" spans="1:31" s="1561" customFormat="1" ht="11.25" customHeight="1">
      <c r="A265" s="898"/>
      <c r="B265" s="1556"/>
      <c r="C265" s="1556"/>
      <c r="D265" s="272"/>
      <c r="K265" s="1065"/>
      <c r="L265" s="1556"/>
      <c r="M265" s="1556"/>
      <c r="N265" s="1065"/>
      <c r="O265" s="1065"/>
      <c r="P265" s="1065"/>
      <c r="Q265" s="1065"/>
      <c r="R265" s="1556"/>
      <c r="S265" s="1065"/>
      <c r="T265" s="1065"/>
      <c r="U265" s="467"/>
      <c r="V265" s="1065"/>
      <c r="W265" s="1065"/>
      <c r="X265" s="1065"/>
      <c r="Y265" s="1065"/>
      <c r="Z265" s="1065"/>
      <c r="AA265" s="1552"/>
      <c r="AB265" s="489"/>
      <c r="AC265" s="489"/>
      <c r="AD265" s="489"/>
      <c r="AE265" s="489"/>
    </row>
    <row r="266" spans="1:31" s="1561" customFormat="1" ht="11.25" customHeight="1">
      <c r="A266" s="898"/>
      <c r="B266" s="1556"/>
      <c r="C266" s="1556"/>
      <c r="D266" s="272"/>
      <c r="K266" s="1065"/>
      <c r="L266" s="1556"/>
      <c r="M266" s="1556"/>
      <c r="N266" s="1065"/>
      <c r="O266" s="1065"/>
      <c r="P266" s="1065"/>
      <c r="Q266" s="1065"/>
      <c r="R266" s="1556"/>
      <c r="S266" s="1065"/>
      <c r="T266" s="1065"/>
      <c r="U266" s="467"/>
      <c r="V266" s="1065"/>
      <c r="W266" s="1065"/>
      <c r="X266" s="1065"/>
      <c r="Y266" s="1065"/>
      <c r="Z266" s="1065"/>
      <c r="AA266" s="1552"/>
      <c r="AB266" s="489"/>
      <c r="AC266" s="489"/>
      <c r="AD266" s="489"/>
      <c r="AE266" s="489"/>
    </row>
    <row r="267" spans="1:31" s="1561" customFormat="1" ht="11.25" customHeight="1">
      <c r="A267" s="898"/>
      <c r="B267" s="1556"/>
      <c r="C267" s="1556"/>
      <c r="D267" s="272"/>
      <c r="K267" s="1065"/>
      <c r="L267" s="1556"/>
      <c r="M267" s="1556"/>
      <c r="N267" s="1065"/>
      <c r="O267" s="1065"/>
      <c r="P267" s="1065"/>
      <c r="Q267" s="1065"/>
      <c r="R267" s="1556"/>
      <c r="S267" s="1065"/>
      <c r="T267" s="1065"/>
      <c r="U267" s="467"/>
      <c r="V267" s="1065"/>
      <c r="W267" s="1065"/>
      <c r="X267" s="1065"/>
      <c r="Y267" s="1065"/>
      <c r="Z267" s="1065"/>
      <c r="AA267" s="1552"/>
      <c r="AB267" s="489"/>
      <c r="AC267" s="489"/>
      <c r="AD267" s="489"/>
      <c r="AE267" s="489"/>
    </row>
    <row r="268" spans="1:31" s="1561" customFormat="1" ht="11.25" customHeight="1">
      <c r="A268" s="898"/>
      <c r="B268" s="1556"/>
      <c r="C268" s="1556"/>
      <c r="D268" s="272"/>
      <c r="K268" s="1065"/>
      <c r="L268" s="1556"/>
      <c r="M268" s="1556"/>
      <c r="N268" s="1065"/>
      <c r="O268" s="1065"/>
      <c r="P268" s="1065"/>
      <c r="Q268" s="1065"/>
      <c r="R268" s="1556"/>
      <c r="S268" s="1065"/>
      <c r="T268" s="1065"/>
      <c r="U268" s="467"/>
      <c r="V268" s="1065"/>
      <c r="W268" s="1065"/>
      <c r="X268" s="1065"/>
      <c r="Y268" s="1065"/>
      <c r="Z268" s="1065"/>
      <c r="AA268" s="1552"/>
      <c r="AB268" s="489"/>
      <c r="AC268" s="489"/>
      <c r="AD268" s="489"/>
      <c r="AE268" s="489"/>
    </row>
    <row r="269" spans="1:31" s="1561" customFormat="1" ht="11.25" customHeight="1">
      <c r="A269" s="898"/>
      <c r="B269" s="1556"/>
      <c r="C269" s="1556"/>
      <c r="D269" s="272"/>
      <c r="K269" s="1065"/>
      <c r="L269" s="1556"/>
      <c r="M269" s="1556"/>
      <c r="N269" s="1065"/>
      <c r="O269" s="1065"/>
      <c r="P269" s="1065"/>
      <c r="Q269" s="1065"/>
      <c r="R269" s="1556"/>
      <c r="S269" s="1065"/>
      <c r="T269" s="1065"/>
      <c r="U269" s="467"/>
      <c r="V269" s="1065"/>
      <c r="W269" s="1065"/>
      <c r="X269" s="1065"/>
      <c r="Y269" s="1065"/>
      <c r="Z269" s="1065"/>
      <c r="AA269" s="1552"/>
      <c r="AB269" s="489"/>
      <c r="AC269" s="489"/>
      <c r="AD269" s="489"/>
      <c r="AE269" s="489"/>
    </row>
    <row r="270" spans="1:31" s="1561" customFormat="1" ht="11.25" customHeight="1">
      <c r="A270" s="898"/>
      <c r="B270" s="1556"/>
      <c r="C270" s="1556"/>
      <c r="D270" s="272"/>
      <c r="K270" s="1065"/>
      <c r="L270" s="1556"/>
      <c r="M270" s="1556"/>
      <c r="N270" s="1065"/>
      <c r="O270" s="1065"/>
      <c r="P270" s="1065"/>
      <c r="Q270" s="1065"/>
      <c r="R270" s="1556"/>
      <c r="S270" s="1065"/>
      <c r="T270" s="1065"/>
      <c r="U270" s="467"/>
      <c r="V270" s="1065"/>
      <c r="W270" s="1065"/>
      <c r="X270" s="1065"/>
      <c r="Y270" s="1065"/>
      <c r="Z270" s="1065"/>
      <c r="AA270" s="1552"/>
      <c r="AB270" s="489"/>
      <c r="AC270" s="489"/>
      <c r="AD270" s="489"/>
      <c r="AE270" s="489"/>
    </row>
    <row r="271" spans="1:31" s="1561" customFormat="1" ht="11.25" customHeight="1">
      <c r="A271" s="898"/>
      <c r="B271" s="1556"/>
      <c r="C271" s="1556"/>
      <c r="D271" s="272"/>
      <c r="K271" s="1065"/>
      <c r="L271" s="1556"/>
      <c r="M271" s="1556"/>
      <c r="N271" s="1065"/>
      <c r="O271" s="1065"/>
      <c r="P271" s="1065"/>
      <c r="Q271" s="1065"/>
      <c r="R271" s="1556"/>
      <c r="S271" s="1065"/>
      <c r="T271" s="1065"/>
      <c r="U271" s="467"/>
      <c r="V271" s="1065"/>
      <c r="W271" s="1065"/>
      <c r="X271" s="1065"/>
      <c r="Y271" s="1065"/>
      <c r="Z271" s="1065"/>
      <c r="AA271" s="1552"/>
      <c r="AB271" s="489"/>
      <c r="AC271" s="489"/>
      <c r="AD271" s="489"/>
      <c r="AE271" s="489"/>
    </row>
    <row r="272" spans="1:31" s="1561" customFormat="1" ht="11.25" customHeight="1">
      <c r="A272" s="898"/>
      <c r="B272" s="1556"/>
      <c r="C272" s="1556"/>
      <c r="D272" s="272"/>
      <c r="K272" s="1065"/>
      <c r="L272" s="1556"/>
      <c r="M272" s="1556"/>
      <c r="N272" s="1065"/>
      <c r="O272" s="1065"/>
      <c r="P272" s="1065"/>
      <c r="Q272" s="1065"/>
      <c r="R272" s="1556"/>
      <c r="S272" s="1065"/>
      <c r="T272" s="1065"/>
      <c r="U272" s="467"/>
      <c r="V272" s="1065"/>
      <c r="W272" s="1065"/>
      <c r="X272" s="1065"/>
      <c r="Y272" s="1065"/>
      <c r="Z272" s="1065"/>
      <c r="AA272" s="1552"/>
      <c r="AB272" s="489"/>
      <c r="AC272" s="489"/>
      <c r="AD272" s="489"/>
      <c r="AE272" s="489"/>
    </row>
    <row r="273" spans="1:31" s="1561" customFormat="1" ht="11.25" customHeight="1">
      <c r="A273" s="898"/>
      <c r="B273" s="1556"/>
      <c r="C273" s="1556"/>
      <c r="D273" s="272"/>
      <c r="K273" s="1065"/>
      <c r="L273" s="1556"/>
      <c r="M273" s="1556"/>
      <c r="N273" s="1065"/>
      <c r="O273" s="1065"/>
      <c r="P273" s="1065"/>
      <c r="Q273" s="1065"/>
      <c r="R273" s="1556"/>
      <c r="S273" s="1065"/>
      <c r="T273" s="1065"/>
      <c r="U273" s="467"/>
      <c r="V273" s="1065"/>
      <c r="W273" s="1065"/>
      <c r="X273" s="1065"/>
      <c r="Y273" s="1065"/>
      <c r="Z273" s="1065"/>
      <c r="AA273" s="1552"/>
      <c r="AB273" s="489"/>
      <c r="AC273" s="489"/>
      <c r="AD273" s="489"/>
      <c r="AE273" s="489"/>
    </row>
    <row r="274" spans="1:31" s="1561" customFormat="1" ht="11.25" customHeight="1">
      <c r="A274" s="898"/>
      <c r="B274" s="1556"/>
      <c r="C274" s="1556"/>
      <c r="D274" s="272"/>
      <c r="K274" s="1065"/>
      <c r="L274" s="1556"/>
      <c r="M274" s="1556"/>
      <c r="N274" s="1065"/>
      <c r="O274" s="1065"/>
      <c r="P274" s="1065"/>
      <c r="Q274" s="1065"/>
      <c r="R274" s="1556"/>
      <c r="S274" s="1065"/>
      <c r="T274" s="1065"/>
      <c r="U274" s="467"/>
      <c r="V274" s="1065"/>
      <c r="W274" s="1065"/>
      <c r="X274" s="1065"/>
      <c r="Y274" s="1065"/>
      <c r="Z274" s="1065"/>
      <c r="AA274" s="1552"/>
      <c r="AB274" s="489"/>
      <c r="AC274" s="489"/>
      <c r="AD274" s="489"/>
      <c r="AE274" s="489"/>
    </row>
    <row r="275" spans="1:31" s="1561" customFormat="1" ht="11.25" customHeight="1">
      <c r="A275" s="898"/>
      <c r="B275" s="1556"/>
      <c r="C275" s="1556"/>
      <c r="D275" s="272"/>
      <c r="K275" s="1065"/>
      <c r="L275" s="1556"/>
      <c r="M275" s="1556"/>
      <c r="N275" s="1065"/>
      <c r="O275" s="1065"/>
      <c r="P275" s="1065"/>
      <c r="Q275" s="1065"/>
      <c r="R275" s="1556"/>
      <c r="S275" s="1065"/>
      <c r="T275" s="1065"/>
      <c r="U275" s="467"/>
      <c r="V275" s="1065"/>
      <c r="W275" s="1065"/>
      <c r="X275" s="1065"/>
      <c r="Y275" s="1065"/>
      <c r="Z275" s="1065"/>
      <c r="AA275" s="1552"/>
      <c r="AB275" s="489"/>
      <c r="AC275" s="489"/>
      <c r="AD275" s="489"/>
      <c r="AE275" s="489"/>
    </row>
    <row r="276" spans="1:31" s="1561" customFormat="1" ht="11.25" customHeight="1">
      <c r="A276" s="898"/>
      <c r="B276" s="1556"/>
      <c r="C276" s="1556"/>
      <c r="D276" s="272"/>
      <c r="K276" s="1065"/>
      <c r="L276" s="1556"/>
      <c r="M276" s="1556"/>
      <c r="N276" s="1065"/>
      <c r="O276" s="1065"/>
      <c r="P276" s="1065"/>
      <c r="Q276" s="1065"/>
      <c r="R276" s="1556"/>
      <c r="S276" s="1065"/>
      <c r="T276" s="1065"/>
      <c r="U276" s="467"/>
      <c r="V276" s="1065"/>
      <c r="W276" s="1065"/>
      <c r="X276" s="1065"/>
      <c r="Y276" s="1065"/>
      <c r="Z276" s="1065"/>
      <c r="AA276" s="1552"/>
      <c r="AB276" s="489"/>
      <c r="AC276" s="489"/>
      <c r="AD276" s="489"/>
      <c r="AE276" s="489"/>
    </row>
    <row r="277" spans="1:31" s="1561" customFormat="1" ht="11.25" customHeight="1">
      <c r="A277" s="898"/>
      <c r="B277" s="1556"/>
      <c r="C277" s="1556"/>
      <c r="D277" s="272"/>
      <c r="K277" s="1065"/>
      <c r="L277" s="1556"/>
      <c r="M277" s="1556"/>
      <c r="N277" s="1065"/>
      <c r="O277" s="1065"/>
      <c r="P277" s="1065"/>
      <c r="Q277" s="1065"/>
      <c r="R277" s="1556"/>
      <c r="S277" s="1065"/>
      <c r="T277" s="1065"/>
      <c r="U277" s="467"/>
      <c r="V277" s="1065"/>
      <c r="W277" s="1065"/>
      <c r="X277" s="1065"/>
      <c r="Y277" s="1065"/>
      <c r="Z277" s="1065"/>
      <c r="AA277" s="1552"/>
      <c r="AB277" s="489"/>
      <c r="AC277" s="489"/>
      <c r="AD277" s="489"/>
      <c r="AE277" s="489"/>
    </row>
    <row r="278" spans="1:31" s="1561" customFormat="1" ht="11.25" customHeight="1">
      <c r="A278" s="898"/>
      <c r="B278" s="1556"/>
      <c r="C278" s="1556"/>
      <c r="D278" s="272"/>
      <c r="K278" s="1065"/>
      <c r="L278" s="1556"/>
      <c r="M278" s="1556"/>
      <c r="N278" s="1065"/>
      <c r="O278" s="1065"/>
      <c r="P278" s="1065"/>
      <c r="Q278" s="1065"/>
      <c r="R278" s="1556"/>
      <c r="S278" s="1065"/>
      <c r="T278" s="1065"/>
      <c r="U278" s="467"/>
      <c r="V278" s="1065"/>
      <c r="W278" s="1065"/>
      <c r="X278" s="1065"/>
      <c r="Y278" s="1065"/>
      <c r="Z278" s="1065"/>
      <c r="AA278" s="1552"/>
      <c r="AB278" s="489"/>
      <c r="AC278" s="489"/>
      <c r="AD278" s="489"/>
      <c r="AE278" s="489"/>
    </row>
    <row r="279" spans="1:31" s="1561" customFormat="1" ht="11.25" customHeight="1">
      <c r="A279" s="898"/>
      <c r="B279" s="1556"/>
      <c r="C279" s="1556"/>
      <c r="D279" s="272"/>
      <c r="K279" s="1065"/>
      <c r="L279" s="1556"/>
      <c r="M279" s="1556"/>
      <c r="N279" s="1065"/>
      <c r="O279" s="1065"/>
      <c r="P279" s="1065"/>
      <c r="Q279" s="1065"/>
      <c r="R279" s="1556"/>
      <c r="S279" s="1065"/>
      <c r="T279" s="1065"/>
      <c r="U279" s="467"/>
      <c r="V279" s="1065"/>
      <c r="W279" s="1065"/>
      <c r="X279" s="1065"/>
      <c r="Y279" s="1065"/>
      <c r="Z279" s="1065"/>
      <c r="AA279" s="1552"/>
      <c r="AB279" s="489"/>
      <c r="AC279" s="489"/>
      <c r="AD279" s="489"/>
      <c r="AE279" s="489"/>
    </row>
    <row r="280" spans="1:31" s="1561" customFormat="1" ht="11.25" customHeight="1">
      <c r="A280" s="898"/>
      <c r="B280" s="1556"/>
      <c r="C280" s="1556"/>
      <c r="D280" s="272"/>
      <c r="K280" s="1065"/>
      <c r="L280" s="1556"/>
      <c r="M280" s="1556"/>
      <c r="N280" s="1065"/>
      <c r="O280" s="1065"/>
      <c r="P280" s="1065"/>
      <c r="Q280" s="1065"/>
      <c r="R280" s="1556"/>
      <c r="S280" s="1065"/>
      <c r="T280" s="1065"/>
      <c r="U280" s="467"/>
      <c r="V280" s="1065"/>
      <c r="W280" s="1065"/>
      <c r="X280" s="1065"/>
      <c r="Y280" s="1065"/>
      <c r="Z280" s="1065"/>
      <c r="AA280" s="1552"/>
      <c r="AB280" s="489"/>
      <c r="AC280" s="489"/>
      <c r="AD280" s="489"/>
      <c r="AE280" s="489"/>
    </row>
    <row r="281" spans="1:31" s="1561" customFormat="1" ht="11.25" customHeight="1">
      <c r="A281" s="898"/>
      <c r="B281" s="1556"/>
      <c r="C281" s="1556"/>
      <c r="D281" s="272"/>
      <c r="K281" s="1065"/>
      <c r="L281" s="1556"/>
      <c r="M281" s="1556"/>
      <c r="N281" s="1065"/>
      <c r="O281" s="1065"/>
      <c r="P281" s="1065"/>
      <c r="Q281" s="1065"/>
      <c r="R281" s="1556"/>
      <c r="S281" s="1065"/>
      <c r="T281" s="1065"/>
      <c r="U281" s="467"/>
      <c r="V281" s="1065"/>
      <c r="W281" s="1065"/>
      <c r="X281" s="1065"/>
      <c r="Y281" s="1065"/>
      <c r="Z281" s="1065"/>
      <c r="AA281" s="1552"/>
      <c r="AB281" s="489"/>
      <c r="AC281" s="489"/>
      <c r="AD281" s="489"/>
      <c r="AE281" s="489"/>
    </row>
    <row r="282" spans="1:31" s="1561" customFormat="1" ht="11.25" customHeight="1">
      <c r="A282" s="898"/>
      <c r="B282" s="1556"/>
      <c r="C282" s="1556"/>
      <c r="D282" s="272"/>
      <c r="K282" s="1065"/>
      <c r="L282" s="1556"/>
      <c r="M282" s="1556"/>
      <c r="N282" s="1065"/>
      <c r="O282" s="1065"/>
      <c r="P282" s="1065"/>
      <c r="Q282" s="1065"/>
      <c r="R282" s="1556"/>
      <c r="S282" s="1065"/>
      <c r="T282" s="1065"/>
      <c r="U282" s="467"/>
      <c r="V282" s="1065"/>
      <c r="W282" s="1065"/>
      <c r="X282" s="1065"/>
      <c r="Y282" s="1065"/>
      <c r="Z282" s="1065"/>
      <c r="AA282" s="1552"/>
      <c r="AB282" s="489"/>
      <c r="AC282" s="489"/>
      <c r="AD282" s="489"/>
      <c r="AE282" s="489"/>
    </row>
    <row r="283" spans="1:31" s="1561" customFormat="1" ht="11.25" customHeight="1">
      <c r="A283" s="898"/>
      <c r="B283" s="1556"/>
      <c r="C283" s="1556"/>
      <c r="D283" s="272"/>
      <c r="K283" s="1065"/>
      <c r="L283" s="1556"/>
      <c r="M283" s="1556"/>
      <c r="N283" s="1065"/>
      <c r="O283" s="1065"/>
      <c r="P283" s="1065"/>
      <c r="Q283" s="1065"/>
      <c r="R283" s="1556"/>
      <c r="S283" s="1065"/>
      <c r="T283" s="1065"/>
      <c r="U283" s="467"/>
      <c r="V283" s="1065"/>
      <c r="W283" s="1065"/>
      <c r="X283" s="1065"/>
      <c r="Y283" s="1065"/>
      <c r="Z283" s="1065"/>
      <c r="AA283" s="1552"/>
      <c r="AB283" s="489"/>
      <c r="AC283" s="489"/>
      <c r="AD283" s="489"/>
      <c r="AE283" s="489"/>
    </row>
    <row r="284" spans="1:31" s="1561" customFormat="1" ht="11.25" customHeight="1">
      <c r="A284" s="898"/>
      <c r="B284" s="1556"/>
      <c r="C284" s="1556"/>
      <c r="D284" s="272"/>
      <c r="K284" s="1065"/>
      <c r="L284" s="1556"/>
      <c r="M284" s="1556"/>
      <c r="N284" s="1065"/>
      <c r="O284" s="1065"/>
      <c r="P284" s="1065"/>
      <c r="Q284" s="1065"/>
      <c r="R284" s="1556"/>
      <c r="S284" s="1065"/>
      <c r="T284" s="1065"/>
      <c r="U284" s="467"/>
      <c r="V284" s="1065"/>
      <c r="W284" s="1065"/>
      <c r="X284" s="1065"/>
      <c r="Y284" s="1065"/>
      <c r="Z284" s="1065"/>
      <c r="AA284" s="1552"/>
      <c r="AB284" s="489"/>
      <c r="AC284" s="489"/>
      <c r="AD284" s="489"/>
      <c r="AE284" s="489"/>
    </row>
    <row r="285" spans="1:31" s="1561" customFormat="1" ht="11.25" customHeight="1">
      <c r="A285" s="898"/>
      <c r="B285" s="1556"/>
      <c r="C285" s="1556"/>
      <c r="D285" s="272"/>
      <c r="K285" s="1065"/>
      <c r="L285" s="1556"/>
      <c r="M285" s="1556"/>
      <c r="N285" s="1065"/>
      <c r="O285" s="1065"/>
      <c r="P285" s="1065"/>
      <c r="Q285" s="1065"/>
      <c r="R285" s="1556"/>
      <c r="S285" s="1065"/>
      <c r="T285" s="1065"/>
      <c r="U285" s="467"/>
      <c r="V285" s="1065"/>
      <c r="W285" s="1065"/>
      <c r="X285" s="1065"/>
      <c r="Y285" s="1065"/>
      <c r="Z285" s="1065"/>
      <c r="AA285" s="1552"/>
      <c r="AB285" s="489"/>
      <c r="AC285" s="489"/>
      <c r="AD285" s="489"/>
      <c r="AE285" s="489"/>
    </row>
    <row r="286" spans="1:31" s="1561" customFormat="1" ht="11.25" customHeight="1">
      <c r="A286" s="898"/>
      <c r="B286" s="1556"/>
      <c r="C286" s="1556"/>
      <c r="D286" s="272"/>
      <c r="K286" s="1065"/>
      <c r="L286" s="1556"/>
      <c r="M286" s="1556"/>
      <c r="N286" s="1065"/>
      <c r="O286" s="1065"/>
      <c r="P286" s="1065"/>
      <c r="Q286" s="1065"/>
      <c r="R286" s="1556"/>
      <c r="S286" s="1065"/>
      <c r="T286" s="1065"/>
      <c r="U286" s="467"/>
      <c r="V286" s="1065"/>
      <c r="W286" s="1065"/>
      <c r="X286" s="1065"/>
      <c r="Y286" s="1065"/>
      <c r="Z286" s="1065"/>
      <c r="AA286" s="1552"/>
      <c r="AB286" s="489"/>
      <c r="AC286" s="489"/>
      <c r="AD286" s="489"/>
      <c r="AE286" s="489"/>
    </row>
    <row r="287" spans="1:31" s="1561" customFormat="1" ht="11.25" customHeight="1">
      <c r="A287" s="898"/>
      <c r="B287" s="1556"/>
      <c r="C287" s="1556"/>
      <c r="D287" s="272"/>
      <c r="K287" s="1065"/>
      <c r="L287" s="1556"/>
      <c r="M287" s="1556"/>
      <c r="N287" s="1065"/>
      <c r="O287" s="1065"/>
      <c r="P287" s="1065"/>
      <c r="Q287" s="1065"/>
      <c r="R287" s="1556"/>
      <c r="S287" s="1065"/>
      <c r="T287" s="1065"/>
      <c r="U287" s="467"/>
      <c r="V287" s="1065"/>
      <c r="W287" s="1065"/>
      <c r="X287" s="1065"/>
      <c r="Y287" s="1065"/>
      <c r="Z287" s="1065"/>
      <c r="AA287" s="1552"/>
      <c r="AB287" s="489"/>
      <c r="AC287" s="489"/>
      <c r="AD287" s="489"/>
      <c r="AE287" s="489"/>
    </row>
    <row r="288" spans="1:31" s="1561" customFormat="1" ht="11.25" customHeight="1">
      <c r="A288" s="898"/>
      <c r="B288" s="1556"/>
      <c r="C288" s="1556"/>
      <c r="D288" s="272"/>
      <c r="K288" s="1065"/>
      <c r="L288" s="1556"/>
      <c r="M288" s="1556"/>
      <c r="N288" s="1065"/>
      <c r="O288" s="1065"/>
      <c r="P288" s="1065"/>
      <c r="Q288" s="1065"/>
      <c r="R288" s="1556"/>
      <c r="S288" s="1065"/>
      <c r="T288" s="1065"/>
      <c r="U288" s="467"/>
      <c r="V288" s="1065"/>
      <c r="W288" s="1065"/>
      <c r="X288" s="1065"/>
      <c r="Y288" s="1065"/>
      <c r="Z288" s="1065"/>
      <c r="AA288" s="1552"/>
      <c r="AB288" s="489"/>
      <c r="AC288" s="489"/>
      <c r="AD288" s="489"/>
      <c r="AE288" s="489"/>
    </row>
    <row r="292" spans="1:31" ht="11.25" customHeight="1">
      <c r="A292" s="901"/>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row>
    <row r="293" spans="1:31" ht="11.25" customHeight="1">
      <c r="A293" s="901"/>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row>
    <row r="294" spans="1:31" ht="11.25" customHeight="1">
      <c r="A294" s="901"/>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row>
    <row r="295" spans="1:31" ht="11.25" customHeight="1">
      <c r="A295" s="901"/>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row>
    <row r="296" spans="1:31" ht="11.25" customHeight="1">
      <c r="A296" s="901"/>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row>
    <row r="297" spans="1:31" ht="11.25" customHeight="1">
      <c r="A297" s="901"/>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row>
    <row r="298" spans="1:31" ht="11.25" customHeight="1">
      <c r="A298" s="901"/>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row>
    <row r="299" spans="1:31" ht="11.25" customHeight="1">
      <c r="A299" s="901"/>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row>
    <row r="300" spans="1:31" ht="11.25" customHeight="1">
      <c r="A300" s="901"/>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row>
    <row r="301" spans="1:31" ht="11.25" customHeight="1">
      <c r="A301" s="901"/>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row>
    <row r="302" spans="1:31" ht="11.25" customHeight="1">
      <c r="A302" s="901"/>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5" hidden="1" customWidth="1"/>
    <col min="2" max="2" width="17" style="1552" hidden="1" customWidth="1"/>
    <col min="3" max="3" width="3.7109375" style="1555" customWidth="1"/>
    <col min="4" max="4" width="1.85546875" style="1555" hidden="1" customWidth="1"/>
    <col min="5" max="6" width="7.7109375" style="1555" customWidth="1"/>
    <col min="7" max="7" width="29.7109375" style="1555" customWidth="1"/>
    <col min="8" max="8" width="3.7109375" style="1555" customWidth="1"/>
    <col min="9" max="9" width="5.42578125" style="1555" customWidth="1"/>
    <col min="10" max="10" width="24.5703125" style="1555" customWidth="1"/>
    <col min="11" max="11" width="24.42578125" style="1555" customWidth="1"/>
    <col min="12" max="12" width="3.7109375" style="1555" customWidth="1"/>
    <col min="13" max="13" width="6.28515625" style="1555" customWidth="1"/>
    <col min="14" max="14" width="25.85546875" style="1555" customWidth="1"/>
    <col min="15" max="18" width="18.7109375" style="1555" customWidth="1"/>
    <col min="19" max="19" width="93.42578125" style="1555" customWidth="1"/>
    <col min="20" max="20" width="10.5703125" style="1555" customWidth="1"/>
    <col min="21" max="21" width="10.5703125" style="1562" customWidth="1"/>
    <col min="22" max="22" width="11.7109375" style="1562" customWidth="1"/>
    <col min="23" max="27" width="10.5703125" style="1552" customWidth="1"/>
    <col min="28" max="83" width="9.140625" style="1555"/>
  </cols>
  <sheetData>
    <row r="1" spans="1:83" ht="11.25" hidden="1" customHeight="1"/>
    <row r="2" spans="1:83" ht="11.25" hidden="1" customHeight="1"/>
    <row r="3" spans="1:83" ht="11.25" hidden="1" customHeight="1"/>
    <row r="4" spans="1:83" ht="3" customHeight="1">
      <c r="C4" s="433"/>
      <c r="D4" s="433"/>
      <c r="E4" s="433"/>
      <c r="F4" s="433"/>
      <c r="G4" s="433"/>
      <c r="H4" s="433"/>
      <c r="I4" s="433"/>
      <c r="J4" s="433"/>
      <c r="K4" s="84"/>
      <c r="L4" s="84"/>
      <c r="M4" s="84"/>
    </row>
    <row r="5" spans="1:83" ht="28.5" customHeight="1">
      <c r="C5" s="433"/>
      <c r="D5" s="968"/>
      <c r="E5" s="886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8867"/>
      <c r="G5" s="8867"/>
      <c r="H5" s="8867"/>
      <c r="I5" s="8867"/>
      <c r="J5" s="8867"/>
      <c r="K5" s="8867"/>
      <c r="L5" s="532"/>
      <c r="M5" s="532"/>
    </row>
    <row r="6" spans="1:83" s="1555" customFormat="1" ht="16.5" customHeight="1">
      <c r="A6" s="529"/>
      <c r="B6" s="674"/>
      <c r="C6" s="433"/>
      <c r="D6" s="969"/>
      <c r="E6" s="8814" t="str">
        <f>IF(org=0,"Не определено",org)</f>
        <v>ГУП СК "Ставрополькрайводоканал"</v>
      </c>
      <c r="F6" s="8814"/>
      <c r="G6" s="8814"/>
      <c r="H6" s="8814"/>
      <c r="I6" s="8814"/>
      <c r="J6" s="8814"/>
      <c r="K6" s="8814"/>
      <c r="L6" s="532"/>
      <c r="M6" s="532"/>
      <c r="U6" s="530"/>
      <c r="V6" s="530"/>
      <c r="W6" s="531"/>
      <c r="X6" s="674"/>
      <c r="Y6" s="674"/>
      <c r="Z6" s="674"/>
      <c r="AA6" s="674"/>
    </row>
    <row r="7" spans="1:83" ht="11.25" customHeight="1">
      <c r="C7" s="433"/>
      <c r="D7" s="433"/>
      <c r="E7" s="433"/>
      <c r="F7" s="433"/>
      <c r="G7" s="446"/>
      <c r="H7" s="446"/>
      <c r="I7" s="446"/>
      <c r="J7" s="446"/>
      <c r="K7" s="533"/>
      <c r="L7" s="533"/>
      <c r="M7" s="533"/>
      <c r="R7" s="667"/>
    </row>
    <row r="8" spans="1:83" s="1561" customFormat="1" ht="5.25" customHeight="1">
      <c r="A8" s="540"/>
      <c r="B8" s="489"/>
      <c r="C8" s="272"/>
      <c r="D8" s="272"/>
      <c r="E8" s="272"/>
      <c r="F8" s="272"/>
      <c r="G8" s="886"/>
      <c r="H8" s="886"/>
      <c r="I8" s="886"/>
      <c r="J8" s="886"/>
      <c r="K8" s="929"/>
      <c r="L8" s="929"/>
      <c r="M8" s="929"/>
      <c r="R8" s="930"/>
      <c r="U8" s="530"/>
      <c r="V8" s="530"/>
      <c r="W8" s="541"/>
      <c r="X8" s="489"/>
      <c r="Y8" s="489"/>
      <c r="Z8" s="489"/>
      <c r="AA8" s="489"/>
    </row>
    <row r="9" spans="1:83" ht="18.75" customHeight="1">
      <c r="D9" s="204"/>
      <c r="E9" s="8724" t="s">
        <v>763</v>
      </c>
      <c r="F9" s="8729"/>
      <c r="G9" s="8729"/>
      <c r="H9" s="8729"/>
      <c r="I9" s="8729"/>
      <c r="J9" s="8729"/>
      <c r="K9" s="8729"/>
      <c r="L9" s="8729"/>
      <c r="M9" s="8729"/>
      <c r="N9" s="8729"/>
      <c r="O9" s="8729"/>
      <c r="P9" s="8729"/>
      <c r="Q9" s="8729"/>
      <c r="R9" s="8723"/>
      <c r="S9" s="8753" t="s">
        <v>764</v>
      </c>
      <c r="T9" s="256"/>
    </row>
    <row r="10" spans="1:83" ht="33.75" customHeight="1">
      <c r="D10" s="474" t="s">
        <v>84</v>
      </c>
      <c r="E10" s="8753" t="s">
        <v>84</v>
      </c>
      <c r="F10" s="8753"/>
      <c r="G10" s="445" t="s">
        <v>765</v>
      </c>
      <c r="H10" s="8753" t="s">
        <v>84</v>
      </c>
      <c r="I10" s="8753"/>
      <c r="J10" s="445" t="s">
        <v>1060</v>
      </c>
      <c r="K10" s="445" t="s">
        <v>1061</v>
      </c>
      <c r="L10" s="8753" t="s">
        <v>84</v>
      </c>
      <c r="M10" s="8753"/>
      <c r="N10" s="445" t="s">
        <v>1062</v>
      </c>
      <c r="O10" s="445" t="s">
        <v>1063</v>
      </c>
      <c r="P10" s="445" t="s">
        <v>1064</v>
      </c>
      <c r="Q10" s="445" t="s">
        <v>1065</v>
      </c>
      <c r="R10" s="445" t="s">
        <v>1066</v>
      </c>
      <c r="S10" s="8753"/>
      <c r="T10" s="256"/>
    </row>
    <row r="11" spans="1:83" s="1562" customFormat="1" ht="15" hidden="1" customHeight="1">
      <c r="A11" s="963"/>
      <c r="D11" s="936" t="s">
        <v>95</v>
      </c>
      <c r="E11" s="936"/>
      <c r="F11" s="936" t="s">
        <v>99</v>
      </c>
      <c r="G11" s="936" t="s">
        <v>86</v>
      </c>
      <c r="H11" s="936"/>
      <c r="I11" s="936" t="s">
        <v>87</v>
      </c>
      <c r="J11" s="936" t="s">
        <v>113</v>
      </c>
      <c r="K11" s="936" t="s">
        <v>88</v>
      </c>
      <c r="L11" s="936"/>
      <c r="M11" s="936" t="s">
        <v>89</v>
      </c>
      <c r="N11" s="936" t="s">
        <v>126</v>
      </c>
      <c r="O11" s="936" t="s">
        <v>131</v>
      </c>
      <c r="P11" s="936" t="s">
        <v>136</v>
      </c>
      <c r="Q11" s="936" t="s">
        <v>102</v>
      </c>
      <c r="R11" s="936" t="s">
        <v>145</v>
      </c>
      <c r="S11" s="936" t="s">
        <v>150</v>
      </c>
      <c r="U11" s="530"/>
      <c r="V11" s="530"/>
      <c r="W11" s="530"/>
    </row>
    <row r="12" spans="1:83" s="1555" customFormat="1" ht="0.75" customHeight="1">
      <c r="A12" s="534"/>
      <c r="B12" s="285"/>
      <c r="D12" s="471"/>
      <c r="E12" s="267"/>
      <c r="F12" s="267"/>
      <c r="Q12" s="535"/>
      <c r="R12" s="536"/>
      <c r="T12" s="537"/>
      <c r="U12" s="538"/>
      <c r="V12" s="538"/>
      <c r="W12" s="539"/>
      <c r="X12" s="285"/>
      <c r="Y12" s="285"/>
      <c r="Z12" s="285"/>
      <c r="AA12" s="285"/>
    </row>
    <row r="13" spans="1:83" s="1561" customFormat="1" ht="0.75" customHeight="1">
      <c r="A13" s="540"/>
      <c r="B13" s="489"/>
      <c r="D13" s="471" t="s">
        <v>841</v>
      </c>
      <c r="E13" s="483"/>
      <c r="F13" s="483"/>
      <c r="G13" s="483"/>
      <c r="H13" s="483"/>
      <c r="I13" s="483"/>
      <c r="J13" s="483"/>
      <c r="K13" s="483"/>
      <c r="L13" s="483"/>
      <c r="M13" s="483"/>
      <c r="N13" s="483"/>
      <c r="O13" s="483"/>
      <c r="P13" s="483"/>
      <c r="Q13" s="483"/>
      <c r="R13" s="483"/>
      <c r="T13" s="256"/>
      <c r="U13" s="530"/>
      <c r="V13" s="530"/>
      <c r="W13" s="541"/>
      <c r="X13" s="489"/>
      <c r="Y13" s="489"/>
      <c r="Z13" s="489"/>
      <c r="AA13" s="489"/>
    </row>
    <row r="14" spans="1:83" s="1818" customFormat="1" ht="15" hidden="1" customHeight="1">
      <c r="A14" s="542" t="s">
        <v>205</v>
      </c>
      <c r="B14"/>
      <c r="C14"/>
      <c r="D14" s="8969" t="s">
        <v>95</v>
      </c>
      <c r="E14" s="8966" t="s">
        <v>197</v>
      </c>
      <c r="F14" s="8967"/>
      <c r="G14" s="8968"/>
      <c r="H14" s="8972">
        <f>IF(A14="","",INDEX(DIFFERENTIATION_UNMERGE_VD,MATCH(A14,DIFFERENTIATION_ID_DIFF,0)))</f>
        <v>0</v>
      </c>
      <c r="I14" s="8972"/>
      <c r="J14" s="8972"/>
      <c r="K14" s="8972"/>
      <c r="L14" s="8972"/>
      <c r="M14" s="8972"/>
      <c r="N14" s="8972"/>
      <c r="O14" s="8972"/>
      <c r="P14" s="8972"/>
      <c r="Q14" s="8972"/>
      <c r="R14" s="8972"/>
      <c r="S14" s="636"/>
      <c r="T14" s="633"/>
      <c r="U14" s="543"/>
      <c r="V14" s="543"/>
      <c r="W14" s="544"/>
      <c r="X14" s="544"/>
      <c r="Y14" s="544"/>
      <c r="Z14" s="544"/>
      <c r="AA14" s="545"/>
      <c r="AB14" s="546"/>
      <c r="AC14" s="8964"/>
      <c r="AD14" s="547"/>
      <c r="AE14" s="548" t="s">
        <v>24</v>
      </c>
      <c r="AF14" s="548"/>
      <c r="AG14" s="549" t="s">
        <v>1067</v>
      </c>
      <c r="AH14" s="550">
        <v>3</v>
      </c>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4"/>
      <c r="BW14" s="544"/>
      <c r="BX14" s="544"/>
      <c r="BY14" s="544"/>
      <c r="BZ14" s="544"/>
      <c r="CA14" s="544"/>
      <c r="CB14" s="544"/>
      <c r="CC14" s="544"/>
      <c r="CD14" s="544"/>
      <c r="CE14" s="544"/>
    </row>
    <row r="15" spans="1:83" s="1818" customFormat="1" ht="15" hidden="1" customHeight="1">
      <c r="A15" s="542"/>
      <c r="B15"/>
      <c r="C15"/>
      <c r="D15" s="8970"/>
      <c r="E15" s="8966" t="s">
        <v>1022</v>
      </c>
      <c r="F15" s="8967"/>
      <c r="G15" s="8968"/>
      <c r="H15" s="8972" t="str">
        <f>IF(A14="","",INDEX(DIFFERENTIATION_UNMERGE_AREA,MATCH(A14,DIFFERENTIATION_ID_DIFF,0)))</f>
        <v/>
      </c>
      <c r="I15" s="8972"/>
      <c r="J15" s="8972"/>
      <c r="K15" s="8972"/>
      <c r="L15" s="8972"/>
      <c r="M15" s="8972"/>
      <c r="N15" s="8972"/>
      <c r="O15" s="8972"/>
      <c r="P15" s="8972"/>
      <c r="Q15" s="8972"/>
      <c r="R15" s="8972"/>
      <c r="S15" s="636"/>
      <c r="T15" s="633"/>
      <c r="U15" s="543"/>
      <c r="V15" s="543"/>
      <c r="W15" s="544"/>
      <c r="X15" s="544"/>
      <c r="Y15" s="544"/>
      <c r="Z15" s="544"/>
      <c r="AA15" s="545"/>
      <c r="AB15" s="546"/>
      <c r="AC15" s="8964"/>
      <c r="AD15" s="547"/>
      <c r="AE15" s="548"/>
      <c r="AF15" s="548"/>
      <c r="AG15" s="549"/>
      <c r="AH15" s="550"/>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4"/>
      <c r="BW15" s="544"/>
      <c r="BX15" s="544"/>
      <c r="BY15" s="544"/>
      <c r="BZ15" s="544"/>
      <c r="CA15" s="544"/>
      <c r="CB15" s="544"/>
      <c r="CC15" s="544"/>
      <c r="CD15" s="544"/>
      <c r="CE15" s="544"/>
    </row>
    <row r="16" spans="1:83" s="1818" customFormat="1" ht="15" hidden="1" customHeight="1">
      <c r="A16" s="542"/>
      <c r="B16"/>
      <c r="C16"/>
      <c r="D16" s="8970"/>
      <c r="E16" s="8966" t="s">
        <v>1023</v>
      </c>
      <c r="F16" s="8967"/>
      <c r="G16" s="8968"/>
      <c r="H16" s="8972" t="str">
        <f>IF(A14="","",INDEX(DIFFERENTIATION_UNMERGE_SYSTEM,MATCH(A14,DIFFERENTIATION_ID_DIFF,0)))</f>
        <v>без дифференциации</v>
      </c>
      <c r="I16" s="8972"/>
      <c r="J16" s="8972"/>
      <c r="K16" s="8972"/>
      <c r="L16" s="8972"/>
      <c r="M16" s="8972"/>
      <c r="N16" s="8972"/>
      <c r="O16" s="8972"/>
      <c r="P16" s="8972"/>
      <c r="Q16" s="8972"/>
      <c r="R16" s="8972"/>
      <c r="S16" s="636"/>
      <c r="T16" s="633"/>
      <c r="U16" s="543"/>
      <c r="V16" s="543"/>
      <c r="W16" s="544"/>
      <c r="X16" s="544"/>
      <c r="Y16" s="544"/>
      <c r="Z16" s="544"/>
      <c r="AA16" s="545"/>
      <c r="AB16" s="546"/>
      <c r="AC16" s="8964"/>
      <c r="AD16" s="547"/>
      <c r="AE16" s="548"/>
      <c r="AF16" s="548"/>
      <c r="AG16" s="549"/>
      <c r="AH16" s="550"/>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4"/>
      <c r="BW16" s="544"/>
      <c r="BX16" s="544"/>
      <c r="BY16" s="544"/>
      <c r="BZ16" s="544"/>
      <c r="CA16" s="544"/>
      <c r="CB16" s="544"/>
      <c r="CC16" s="544"/>
      <c r="CD16" s="544"/>
      <c r="CE16" s="544"/>
    </row>
    <row r="17" spans="1:83" s="1818" customFormat="1" ht="22.5" hidden="1" customHeight="1">
      <c r="A17" s="551"/>
      <c r="B17" s="346"/>
      <c r="C17" s="341"/>
      <c r="D17" s="8970"/>
      <c r="E17" s="8965" t="s">
        <v>1068</v>
      </c>
      <c r="F17" s="8965"/>
      <c r="G17" s="8965"/>
      <c r="H17" s="8965"/>
      <c r="I17" s="8965"/>
      <c r="J17" s="8965"/>
      <c r="K17" s="8965"/>
      <c r="L17" s="8965"/>
      <c r="M17" s="8965"/>
      <c r="N17" s="8965"/>
      <c r="O17" s="8965"/>
      <c r="P17" s="8965"/>
      <c r="Q17" s="481">
        <f>SUMIF(T18:T19,"i",Q18:Q19)</f>
        <v>0</v>
      </c>
      <c r="R17" s="928"/>
      <c r="S17" s="811" t="s">
        <v>1069</v>
      </c>
      <c r="T17" s="634" t="s">
        <v>1070</v>
      </c>
      <c r="U17" s="8882">
        <v>1</v>
      </c>
      <c r="V17" s="8882" t="str">
        <f>INDEX(B_FHD_FLAG_INDEX_1,1,MATCH(A14,B_FHD_FLAG_DIFFERENTIATION,0))</f>
        <v>отсутствует</v>
      </c>
      <c r="W17" s="346"/>
      <c r="X17" s="346"/>
      <c r="Y17" s="346"/>
      <c r="Z17" s="346"/>
      <c r="AA17" s="435"/>
      <c r="AB17" s="346"/>
      <c r="AC17" s="8964"/>
      <c r="AD17" s="547"/>
      <c r="AE17" s="346"/>
      <c r="AF17" s="346"/>
      <c r="AG17" s="435"/>
      <c r="AH17" s="435"/>
      <c r="AI17" s="435"/>
      <c r="AJ17" s="435"/>
      <c r="AK17" s="435"/>
      <c r="AL17" s="435"/>
      <c r="AM17" s="435"/>
      <c r="AN17" s="435"/>
      <c r="AO17" s="435"/>
      <c r="AP17" s="435"/>
      <c r="AQ17" s="435"/>
      <c r="AR17" s="435"/>
      <c r="AS17" s="435"/>
      <c r="AT17" s="435"/>
      <c r="AU17" s="435"/>
      <c r="AV17" s="435"/>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346"/>
      <c r="BW17" s="346"/>
      <c r="BX17" s="346"/>
      <c r="BY17" s="346"/>
      <c r="BZ17" s="346"/>
      <c r="CA17" s="346"/>
      <c r="CB17" s="346"/>
      <c r="CC17" s="346"/>
      <c r="CD17" s="346"/>
      <c r="CE17" s="346"/>
    </row>
    <row r="18" spans="1:83" s="1818" customFormat="1" ht="11.25" hidden="1" customHeight="1">
      <c r="A18" s="552"/>
      <c r="B18" s="435"/>
      <c r="C18" s="435"/>
      <c r="D18" s="8970"/>
      <c r="E18" s="553"/>
      <c r="F18" s="553">
        <v>0</v>
      </c>
      <c r="G18" s="553"/>
      <c r="H18" s="553"/>
      <c r="I18" s="553"/>
      <c r="J18" s="553"/>
      <c r="K18" s="553"/>
      <c r="L18" s="553"/>
      <c r="M18" s="553"/>
      <c r="N18" s="553"/>
      <c r="O18" s="553"/>
      <c r="P18" s="553"/>
      <c r="Q18" s="553"/>
      <c r="R18" s="553"/>
      <c r="S18" s="554"/>
      <c r="T18" s="635"/>
      <c r="U18" s="8882"/>
      <c r="V18" s="8882"/>
      <c r="W18" s="435"/>
      <c r="X18" s="435"/>
      <c r="Y18" s="435"/>
      <c r="Z18" s="435"/>
      <c r="AA18" s="435"/>
      <c r="AB18" s="346"/>
      <c r="AC18" s="8964"/>
      <c r="AD18" s="547"/>
      <c r="AE18" s="346"/>
      <c r="AF18" s="346"/>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c r="CB18" s="435"/>
      <c r="CC18" s="435"/>
      <c r="CD18" s="435"/>
      <c r="CE18" s="435"/>
    </row>
    <row r="19" spans="1:83" s="1818" customFormat="1" ht="11.25" hidden="1" customHeight="1">
      <c r="A19" s="551"/>
      <c r="B19" s="346"/>
      <c r="C19" s="341"/>
      <c r="D19" s="8970"/>
      <c r="E19" s="567" t="s">
        <v>24</v>
      </c>
      <c r="F19" s="568" t="s">
        <v>24</v>
      </c>
      <c r="G19" s="568" t="s">
        <v>24</v>
      </c>
      <c r="H19" s="569" t="s">
        <v>24</v>
      </c>
      <c r="I19" s="569"/>
      <c r="J19" s="569"/>
      <c r="K19" s="569"/>
      <c r="L19" s="569"/>
      <c r="M19" s="569"/>
      <c r="N19" s="569"/>
      <c r="O19" s="569"/>
      <c r="P19" s="569"/>
      <c r="Q19" s="569"/>
      <c r="R19" s="570"/>
      <c r="S19" s="931"/>
      <c r="T19" s="635"/>
      <c r="U19" s="8882"/>
      <c r="V19" s="8882"/>
      <c r="W19" s="346"/>
      <c r="X19" s="346"/>
      <c r="Y19" s="346"/>
      <c r="Z19" s="346"/>
      <c r="AA19" s="435"/>
      <c r="AB19" s="346"/>
      <c r="AC19" s="8964"/>
      <c r="AD19" s="547"/>
      <c r="AE19" s="346"/>
      <c r="AF19" s="346"/>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346"/>
      <c r="BW19" s="346"/>
      <c r="BX19" s="346"/>
      <c r="BY19" s="346"/>
      <c r="BZ19" s="346"/>
      <c r="CA19" s="346"/>
      <c r="CB19" s="346"/>
      <c r="CC19" s="346"/>
      <c r="CD19" s="346"/>
      <c r="CE19" s="346"/>
    </row>
    <row r="20" spans="1:83" s="1818" customFormat="1" ht="22.5" hidden="1" customHeight="1">
      <c r="A20" s="551"/>
      <c r="B20" s="346"/>
      <c r="C20" s="341"/>
      <c r="D20" s="8970"/>
      <c r="E20" s="8965" t="s">
        <v>1071</v>
      </c>
      <c r="F20" s="8965"/>
      <c r="G20" s="8965"/>
      <c r="H20" s="8965"/>
      <c r="I20" s="8965"/>
      <c r="J20" s="8965"/>
      <c r="K20" s="8965"/>
      <c r="L20" s="8965"/>
      <c r="M20" s="8965"/>
      <c r="N20" s="8965"/>
      <c r="O20" s="8965"/>
      <c r="P20" s="8965"/>
      <c r="Q20" s="481">
        <f>SUMIF(T21:T22,"i",Q21:Q22)</f>
        <v>0</v>
      </c>
      <c r="R20" s="928"/>
      <c r="S20" s="626" t="s">
        <v>1072</v>
      </c>
      <c r="T20" s="634" t="s">
        <v>1070</v>
      </c>
      <c r="U20" s="8882">
        <v>2</v>
      </c>
      <c r="V20" s="8882" t="str">
        <f>INDEX(B_FHD_FLAG_INDEX_2,1,MATCH(A14,B_FHD_FLAG_DIFFERENTIATION,0))</f>
        <v>отсутствует</v>
      </c>
      <c r="W20" s="346"/>
      <c r="X20" s="346"/>
      <c r="Y20" s="346"/>
      <c r="Z20" s="346"/>
      <c r="AA20" s="435"/>
      <c r="AB20" s="346"/>
      <c r="AC20" s="623"/>
      <c r="AD20" s="547"/>
      <c r="AE20" s="346"/>
      <c r="AF20" s="346"/>
      <c r="AG20" s="435"/>
      <c r="AH20" s="435"/>
      <c r="AI20" s="435"/>
      <c r="AJ20" s="435"/>
      <c r="AK20" s="435"/>
      <c r="AL20" s="435"/>
      <c r="AM20" s="435"/>
      <c r="AN20" s="435"/>
      <c r="AO20" s="435"/>
      <c r="AP20" s="435"/>
      <c r="AQ20" s="435"/>
      <c r="AR20" s="435"/>
      <c r="AS20" s="435"/>
      <c r="AT20" s="435"/>
      <c r="AU20" s="435"/>
      <c r="AV20" s="435"/>
      <c r="AW20" s="435"/>
      <c r="AX20" s="435"/>
      <c r="AY20" s="435"/>
      <c r="AZ20" s="435"/>
      <c r="BA20" s="435"/>
      <c r="BB20" s="435"/>
      <c r="BC20" s="435"/>
      <c r="BD20" s="435"/>
      <c r="BE20" s="435"/>
      <c r="BF20" s="435"/>
      <c r="BG20" s="435"/>
      <c r="BH20" s="435"/>
      <c r="BI20" s="435"/>
      <c r="BJ20" s="435"/>
      <c r="BK20" s="435"/>
      <c r="BL20" s="435"/>
      <c r="BM20" s="435"/>
      <c r="BN20" s="435"/>
      <c r="BO20" s="435"/>
      <c r="BP20" s="435"/>
      <c r="BQ20" s="435"/>
      <c r="BR20" s="435"/>
      <c r="BS20" s="435"/>
      <c r="BT20" s="435"/>
      <c r="BU20" s="435"/>
      <c r="BV20" s="346"/>
      <c r="BW20" s="346"/>
      <c r="BX20" s="346"/>
      <c r="BY20" s="346"/>
      <c r="BZ20" s="346"/>
      <c r="CA20" s="346"/>
      <c r="CB20" s="346"/>
      <c r="CC20" s="346"/>
      <c r="CD20" s="346"/>
      <c r="CE20" s="346"/>
    </row>
    <row r="21" spans="1:83" s="1818" customFormat="1" ht="11.25" hidden="1" customHeight="1">
      <c r="A21" s="625"/>
      <c r="B21" s="435"/>
      <c r="C21" s="435"/>
      <c r="D21" s="8970"/>
      <c r="E21" s="553"/>
      <c r="F21" s="553">
        <v>0</v>
      </c>
      <c r="G21" s="553"/>
      <c r="H21" s="553"/>
      <c r="I21" s="553"/>
      <c r="J21" s="553"/>
      <c r="K21" s="553"/>
      <c r="L21" s="553"/>
      <c r="M21" s="553"/>
      <c r="N21" s="553"/>
      <c r="O21" s="553"/>
      <c r="P21" s="553"/>
      <c r="Q21" s="553"/>
      <c r="R21" s="553"/>
      <c r="S21" s="554"/>
      <c r="T21" s="635"/>
      <c r="U21" s="8882"/>
      <c r="V21" s="8882"/>
      <c r="W21" s="435"/>
      <c r="X21" s="435"/>
      <c r="Y21" s="435"/>
      <c r="Z21" s="435"/>
      <c r="AA21" s="435"/>
      <c r="AB21" s="346"/>
      <c r="AC21" s="623"/>
      <c r="AD21" s="547"/>
      <c r="AE21" s="346"/>
      <c r="AF21" s="346"/>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35"/>
      <c r="CC21" s="435"/>
      <c r="CD21" s="435"/>
      <c r="CE21" s="435"/>
    </row>
    <row r="22" spans="1:83" s="1818" customFormat="1" ht="11.25" hidden="1" customHeight="1">
      <c r="A22" s="551"/>
      <c r="B22" s="346"/>
      <c r="C22" s="341"/>
      <c r="D22" s="8971"/>
      <c r="E22" s="567" t="s">
        <v>24</v>
      </c>
      <c r="F22" s="568" t="s">
        <v>24</v>
      </c>
      <c r="G22" s="568" t="s">
        <v>24</v>
      </c>
      <c r="H22" s="569" t="s">
        <v>24</v>
      </c>
      <c r="I22" s="569"/>
      <c r="J22" s="569"/>
      <c r="K22" s="569"/>
      <c r="L22" s="569"/>
      <c r="M22" s="569"/>
      <c r="N22" s="569"/>
      <c r="O22" s="569"/>
      <c r="P22" s="569"/>
      <c r="Q22" s="569"/>
      <c r="R22" s="570"/>
      <c r="S22" s="931"/>
      <c r="T22" s="635"/>
      <c r="U22" s="8882"/>
      <c r="V22" s="8882"/>
      <c r="W22" s="346"/>
      <c r="X22" s="346"/>
      <c r="Y22" s="346"/>
      <c r="Z22" s="346"/>
      <c r="AA22" s="435"/>
      <c r="AB22" s="346"/>
      <c r="AC22" s="623"/>
      <c r="AD22" s="547"/>
      <c r="AE22" s="346"/>
      <c r="AF22" s="346"/>
      <c r="AG22" s="435"/>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346"/>
      <c r="BW22" s="346"/>
      <c r="BX22" s="346"/>
      <c r="BY22" s="346"/>
      <c r="BZ22" s="346"/>
      <c r="CA22" s="346"/>
      <c r="CB22" s="346"/>
      <c r="CC22" s="346"/>
      <c r="CD22" s="346"/>
      <c r="CE22" s="346"/>
    </row>
    <row r="23" spans="1:83" ht="18.75" customHeight="1">
      <c r="D23" s="958"/>
      <c r="E23" s="958"/>
      <c r="F23" s="958"/>
      <c r="G23" s="958"/>
      <c r="H23" s="958"/>
      <c r="I23" s="958"/>
      <c r="J23" s="958"/>
      <c r="K23" s="958"/>
      <c r="L23" s="958"/>
      <c r="M23" s="958"/>
      <c r="N23" s="958"/>
      <c r="O23" s="958"/>
      <c r="P23" s="958"/>
      <c r="Q23" s="958"/>
      <c r="R23" s="958"/>
      <c r="S23" s="958"/>
      <c r="T23" s="256"/>
    </row>
    <row r="24" spans="1:83" ht="11.25" customHeight="1">
      <c r="D24" s="433"/>
    </row>
    <row r="25" spans="1:83" ht="11.25" customHeight="1">
      <c r="D25" s="572"/>
      <c r="E25" s="572"/>
      <c r="F25" s="572"/>
      <c r="G25" s="573"/>
    </row>
    <row r="27" spans="1:83" ht="11.25" customHeight="1">
      <c r="D27" s="574"/>
      <c r="E27" s="8973"/>
      <c r="F27" s="8973"/>
      <c r="G27" s="8973"/>
      <c r="H27" s="8973"/>
      <c r="I27" s="8973"/>
      <c r="J27" s="8973"/>
      <c r="K27" s="8973"/>
      <c r="L27" s="8973"/>
      <c r="M27" s="8973"/>
      <c r="N27" s="8973"/>
      <c r="O27" s="8973"/>
      <c r="P27" s="8973"/>
      <c r="Q27" s="8973"/>
      <c r="R27" s="8973"/>
    </row>
    <row r="28" spans="1:83" ht="11.25" customHeight="1">
      <c r="F28" s="673"/>
      <c r="G28" s="673"/>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6.1406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s="1287" customFormat="1" ht="11.25" hidden="1" customHeight="1">
      <c r="A1" s="898"/>
      <c r="C1" s="1556"/>
      <c r="D1" s="460"/>
      <c r="H1" s="1065">
        <v>4</v>
      </c>
      <c r="I1" s="1065">
        <v>4</v>
      </c>
      <c r="L1" s="1556"/>
      <c r="M1" s="1556"/>
      <c r="R1" s="1556"/>
    </row>
    <row r="2" spans="1:31" s="1287" customFormat="1" ht="22.5" hidden="1" customHeight="1">
      <c r="A2" s="898"/>
      <c r="C2" s="1556"/>
      <c r="D2" s="461"/>
      <c r="E2" s="1557"/>
      <c r="F2" s="463"/>
      <c r="G2" s="1559" t="s">
        <v>1010</v>
      </c>
      <c r="H2" s="464"/>
      <c r="I2" s="464"/>
      <c r="J2" s="465" t="s">
        <v>1073</v>
      </c>
      <c r="K2" s="466"/>
      <c r="L2" s="1556"/>
      <c r="M2" s="1556"/>
      <c r="R2" s="1556"/>
      <c r="U2" s="467"/>
      <c r="AA2" s="1552"/>
      <c r="AB2" s="1552"/>
      <c r="AC2" s="1552"/>
      <c r="AD2" s="1552"/>
      <c r="AE2" s="1552"/>
    </row>
    <row r="3" spans="1:31" ht="11.25" hidden="1" customHeight="1"/>
    <row r="4" spans="1:31" s="1552" customFormat="1" ht="11.25" hidden="1" customHeight="1">
      <c r="A4" s="898"/>
      <c r="B4" s="1065"/>
      <c r="C4" s="1556"/>
      <c r="D4" s="285"/>
      <c r="J4" s="1552">
        <v>4</v>
      </c>
      <c r="K4" s="1065"/>
      <c r="L4" s="1556"/>
      <c r="M4" s="1556"/>
      <c r="N4" s="1065"/>
      <c r="O4" s="1065"/>
      <c r="P4" s="1065"/>
      <c r="Q4" s="1065"/>
      <c r="R4" s="1556"/>
      <c r="S4" s="1065"/>
      <c r="T4" s="1065"/>
      <c r="U4" s="467"/>
      <c r="V4" s="1065"/>
      <c r="W4" s="1065"/>
      <c r="X4" s="1065"/>
      <c r="Y4" s="1065"/>
      <c r="Z4" s="1065"/>
    </row>
    <row r="6" spans="1:31" ht="22.5" customHeight="1">
      <c r="E6" s="8827" t="s">
        <v>1074</v>
      </c>
      <c r="F6" s="8827"/>
      <c r="G6" s="8827"/>
      <c r="H6" s="8827"/>
      <c r="I6" s="8827"/>
      <c r="J6" s="479"/>
    </row>
    <row r="7" spans="1:31" ht="24" customHeight="1">
      <c r="E7" s="8814" t="str">
        <f>IF(org=0,"Не определено",org)</f>
        <v>ГУП СК "Ставрополькрайводоканал"</v>
      </c>
      <c r="F7" s="8814"/>
      <c r="G7" s="8814"/>
      <c r="H7" s="8814"/>
      <c r="I7" s="8814"/>
    </row>
    <row r="8" spans="1:31" ht="11.25" customHeight="1">
      <c r="E8" s="1042"/>
      <c r="F8" s="1042"/>
      <c r="G8" s="1042"/>
      <c r="H8" s="1042"/>
      <c r="I8" s="1042"/>
    </row>
    <row r="9" spans="1:31" s="1562" customFormat="1" ht="0.75" customHeight="1">
      <c r="A9" s="1072"/>
      <c r="H9" s="803"/>
      <c r="I9" s="803" t="s">
        <v>205</v>
      </c>
    </row>
    <row r="10" spans="1:31" ht="11.25" customHeight="1">
      <c r="E10" s="628"/>
      <c r="F10" s="8958" t="s">
        <v>197</v>
      </c>
      <c r="G10" s="8959"/>
      <c r="H10" s="1477" t="str">
        <f>IF(H9="","",INDEX(DIFFERENTIATION_UNMERGE_VD,MATCH(H9,DIFFERENTIATION_ID_DIFF,0)))</f>
        <v/>
      </c>
      <c r="I10" s="1477">
        <f>IF(I9="","",INDEX(DIFFERENTIATION_UNMERGE_VD,MATCH(I9,DIFFERENTIATION_ID_DIFF,0)))</f>
        <v>0</v>
      </c>
      <c r="J10" s="8753"/>
    </row>
    <row r="11" spans="1:31" ht="11.25" customHeight="1">
      <c r="E11" s="628"/>
      <c r="F11" s="8958" t="s">
        <v>1022</v>
      </c>
      <c r="G11" s="8959"/>
      <c r="H11" s="1477" t="str">
        <f>IF(H9="","",INDEX(DIFFERENTIATION_UNMERGE_AREA,MATCH(H9,DIFFERENTIATION_ID_DIFF,0)))</f>
        <v/>
      </c>
      <c r="I11" s="1477" t="str">
        <f>IF(I9="","",INDEX(DIFFERENTIATION_UNMERGE_AREA,MATCH(I9,DIFFERENTIATION_ID_DIFF,0)))</f>
        <v/>
      </c>
      <c r="J11" s="8753"/>
    </row>
    <row r="12" spans="1:31" ht="11.25" hidden="1" customHeight="1">
      <c r="E12" s="1582"/>
      <c r="F12" s="8974" t="s">
        <v>1023</v>
      </c>
      <c r="G12" s="8975"/>
      <c r="H12" s="1583" t="str">
        <f>IF(H9="","",INDEX(DIFFERENTIATION_UNMERGE_SYSTEM,MATCH(H9,DIFFERENTIATION_ID_DIFF,0)))</f>
        <v/>
      </c>
      <c r="I12" s="1583" t="str">
        <f>IF(I9="","",INDEX(DIFFERENTIATION_UNMERGE_SYSTEM,MATCH(I9,DIFFERENTIATION_ID_DIFF,0)))</f>
        <v>без дифференциации</v>
      </c>
      <c r="J12" s="8753"/>
    </row>
    <row r="13" spans="1:31" ht="11.25" customHeight="1">
      <c r="E13" s="8960" t="s">
        <v>763</v>
      </c>
      <c r="F13" s="8961"/>
      <c r="G13" s="8961"/>
      <c r="H13" s="1476"/>
      <c r="I13" s="1476"/>
      <c r="J13" s="8753"/>
    </row>
    <row r="14" spans="1:31" ht="22.5" customHeight="1">
      <c r="E14" s="1559" t="s">
        <v>84</v>
      </c>
      <c r="F14" s="1554" t="s">
        <v>765</v>
      </c>
      <c r="G14" s="1554" t="s">
        <v>1024</v>
      </c>
      <c r="H14" s="1554" t="s">
        <v>766</v>
      </c>
      <c r="I14" s="1554" t="s">
        <v>766</v>
      </c>
      <c r="J14" s="8753"/>
    </row>
    <row r="15" spans="1:31" ht="18.75" customHeight="1">
      <c r="D15" s="1558"/>
      <c r="E15" s="1550" t="s">
        <v>95</v>
      </c>
      <c r="F15" s="624" t="s">
        <v>1075</v>
      </c>
      <c r="G15" s="1566" t="s">
        <v>1010</v>
      </c>
      <c r="H15" s="480"/>
      <c r="I15" s="480"/>
      <c r="J15" s="204" t="s">
        <v>1076</v>
      </c>
      <c r="K15" s="466" t="s">
        <v>1077</v>
      </c>
    </row>
    <row r="16" spans="1:31" ht="33.75" customHeight="1">
      <c r="D16" s="1558"/>
      <c r="E16" s="1550" t="s">
        <v>99</v>
      </c>
      <c r="F16" s="624" t="s">
        <v>1078</v>
      </c>
      <c r="G16" s="1566" t="s">
        <v>1010</v>
      </c>
      <c r="H16" s="481">
        <f>SUM(H17,H20:H32)</f>
        <v>0</v>
      </c>
      <c r="I16" s="481">
        <f>SUM(I17,I20:I32)</f>
        <v>0</v>
      </c>
      <c r="J16" s="204" t="s">
        <v>1079</v>
      </c>
      <c r="K16" s="466" t="s">
        <v>1077</v>
      </c>
    </row>
    <row r="17" spans="1:31" ht="18.75" customHeight="1">
      <c r="D17" s="1558"/>
      <c r="E17" s="1584" t="s">
        <v>1080</v>
      </c>
      <c r="F17" s="865" t="s">
        <v>1081</v>
      </c>
      <c r="G17" s="1563" t="s">
        <v>1010</v>
      </c>
      <c r="H17" s="480"/>
      <c r="I17" s="480"/>
      <c r="J17" s="204" t="s">
        <v>1082</v>
      </c>
      <c r="K17" s="466"/>
    </row>
    <row r="18" spans="1:31" ht="22.5" customHeight="1">
      <c r="D18" s="1558"/>
      <c r="E18" s="1584" t="s">
        <v>1083</v>
      </c>
      <c r="F18" s="1570" t="s">
        <v>1084</v>
      </c>
      <c r="G18" s="1563" t="s">
        <v>1010</v>
      </c>
      <c r="H18" s="480"/>
      <c r="I18" s="480"/>
      <c r="J18" s="204" t="s">
        <v>1085</v>
      </c>
      <c r="K18" s="466"/>
    </row>
    <row r="19" spans="1:31" ht="33.75" customHeight="1">
      <c r="D19" s="1558"/>
      <c r="E19" s="1584" t="s">
        <v>1086</v>
      </c>
      <c r="F19" s="1570" t="s">
        <v>1087</v>
      </c>
      <c r="G19" s="1563" t="s">
        <v>1010</v>
      </c>
      <c r="H19" s="480"/>
      <c r="I19" s="480"/>
      <c r="J19" s="204"/>
      <c r="K19" s="466"/>
    </row>
    <row r="20" spans="1:31" ht="18.75" customHeight="1">
      <c r="D20" s="1558"/>
      <c r="E20" s="1584" t="s">
        <v>770</v>
      </c>
      <c r="F20" s="865" t="s">
        <v>1088</v>
      </c>
      <c r="G20" s="1563" t="s">
        <v>1010</v>
      </c>
      <c r="H20" s="480"/>
      <c r="I20" s="480"/>
      <c r="J20" s="204" t="s">
        <v>1089</v>
      </c>
      <c r="K20" s="466"/>
    </row>
    <row r="21" spans="1:31" ht="18.75" customHeight="1">
      <c r="D21" s="1558"/>
      <c r="E21" s="1584" t="s">
        <v>1090</v>
      </c>
      <c r="F21" s="1570" t="s">
        <v>1091</v>
      </c>
      <c r="G21" s="1563" t="s">
        <v>1010</v>
      </c>
      <c r="H21" s="480"/>
      <c r="I21" s="480"/>
      <c r="J21" s="204"/>
      <c r="K21" s="466"/>
    </row>
    <row r="22" spans="1:31" ht="18.75" customHeight="1">
      <c r="D22" s="1558"/>
      <c r="E22" s="1584" t="s">
        <v>1092</v>
      </c>
      <c r="F22" s="1570" t="s">
        <v>1093</v>
      </c>
      <c r="G22" s="1563" t="s">
        <v>1010</v>
      </c>
      <c r="H22" s="480"/>
      <c r="I22" s="480"/>
      <c r="J22" s="204"/>
      <c r="K22" s="466"/>
    </row>
    <row r="23" spans="1:31" ht="22.5" customHeight="1">
      <c r="D23" s="1558"/>
      <c r="E23" s="1584" t="s">
        <v>773</v>
      </c>
      <c r="F23" s="865" t="s">
        <v>1094</v>
      </c>
      <c r="G23" s="1563" t="s">
        <v>1010</v>
      </c>
      <c r="H23" s="480"/>
      <c r="I23" s="480"/>
      <c r="J23" s="204" t="s">
        <v>1095</v>
      </c>
      <c r="K23" s="466"/>
    </row>
    <row r="24" spans="1:31" ht="18.75" customHeight="1">
      <c r="D24" s="1558"/>
      <c r="E24" s="1584" t="s">
        <v>1096</v>
      </c>
      <c r="F24" s="1570" t="s">
        <v>1097</v>
      </c>
      <c r="G24" s="1563" t="s">
        <v>1010</v>
      </c>
      <c r="H24" s="480"/>
      <c r="I24" s="480"/>
      <c r="J24" s="204"/>
      <c r="K24" s="466"/>
    </row>
    <row r="25" spans="1:31" ht="33.75" customHeight="1">
      <c r="D25" s="1558"/>
      <c r="E25" s="1584" t="s">
        <v>1098</v>
      </c>
      <c r="F25" s="1570" t="s">
        <v>1099</v>
      </c>
      <c r="G25" s="1563" t="s">
        <v>1010</v>
      </c>
      <c r="H25" s="480"/>
      <c r="I25" s="480"/>
      <c r="J25" s="204"/>
      <c r="K25" s="466"/>
    </row>
    <row r="26" spans="1:31" ht="22.5" customHeight="1">
      <c r="D26" s="1558"/>
      <c r="E26" s="1584" t="s">
        <v>1100</v>
      </c>
      <c r="F26" s="865" t="s">
        <v>1101</v>
      </c>
      <c r="G26" s="1563" t="s">
        <v>1010</v>
      </c>
      <c r="H26" s="480"/>
      <c r="I26" s="480"/>
      <c r="J26" s="204" t="s">
        <v>1102</v>
      </c>
      <c r="K26" s="466"/>
    </row>
    <row r="27" spans="1:31" ht="18.75" customHeight="1">
      <c r="D27" s="1558"/>
      <c r="E27" s="1595" t="s">
        <v>1103</v>
      </c>
      <c r="F27" s="1570" t="s">
        <v>1104</v>
      </c>
      <c r="G27" s="1574" t="s">
        <v>1010</v>
      </c>
      <c r="H27" s="1596"/>
      <c r="I27" s="1596"/>
      <c r="J27" s="204"/>
      <c r="K27" s="466"/>
    </row>
    <row r="28" spans="1:31" ht="18.75" customHeight="1">
      <c r="D28" s="1558"/>
      <c r="E28" s="1595" t="s">
        <v>1105</v>
      </c>
      <c r="F28" s="1570" t="s">
        <v>1106</v>
      </c>
      <c r="G28" s="1574" t="s">
        <v>1010</v>
      </c>
      <c r="H28" s="1596"/>
      <c r="I28" s="1596"/>
      <c r="J28" s="204"/>
      <c r="K28" s="466"/>
    </row>
    <row r="29" spans="1:31" ht="18.75" customHeight="1">
      <c r="D29" s="1558"/>
      <c r="E29" s="1595" t="s">
        <v>1107</v>
      </c>
      <c r="F29" s="865" t="s">
        <v>1108</v>
      </c>
      <c r="G29" s="1574" t="s">
        <v>1010</v>
      </c>
      <c r="H29" s="1596"/>
      <c r="I29" s="1596"/>
      <c r="J29" s="204"/>
      <c r="K29" s="466"/>
    </row>
    <row r="30" spans="1:31" ht="18.75" customHeight="1">
      <c r="D30" s="1558"/>
      <c r="E30" s="1595" t="s">
        <v>1109</v>
      </c>
      <c r="F30" s="865" t="s">
        <v>1110</v>
      </c>
      <c r="G30" s="1574" t="s">
        <v>1010</v>
      </c>
      <c r="H30" s="1596"/>
      <c r="I30" s="1596"/>
      <c r="J30" s="204"/>
      <c r="K30" s="466"/>
    </row>
    <row r="31" spans="1:31" ht="18.75" customHeight="1">
      <c r="D31" s="1558"/>
      <c r="E31" s="1595" t="s">
        <v>1111</v>
      </c>
      <c r="F31" s="865" t="s">
        <v>1112</v>
      </c>
      <c r="G31" s="1574" t="s">
        <v>1010</v>
      </c>
      <c r="H31" s="1596"/>
      <c r="I31" s="1596"/>
      <c r="J31" s="204"/>
      <c r="K31" s="466"/>
    </row>
    <row r="32" spans="1:31" s="1287" customFormat="1" ht="22.5" customHeight="1">
      <c r="A32" s="898"/>
      <c r="C32" s="1556"/>
      <c r="D32" s="1558"/>
      <c r="E32" s="1595" t="s">
        <v>1113</v>
      </c>
      <c r="F32" s="865" t="s">
        <v>1114</v>
      </c>
      <c r="G32" s="1564" t="s">
        <v>1010</v>
      </c>
      <c r="H32" s="502">
        <f>SUM(H33:H34)</f>
        <v>0</v>
      </c>
      <c r="I32" s="502">
        <f>SUM(I33:I34)</f>
        <v>0</v>
      </c>
      <c r="J32" s="204" t="s">
        <v>1115</v>
      </c>
      <c r="K32" s="466"/>
      <c r="L32" s="1556"/>
      <c r="M32" s="1556"/>
      <c r="R32" s="1556"/>
      <c r="U32" s="467"/>
      <c r="AA32" s="1552"/>
      <c r="AB32" s="1552"/>
      <c r="AC32" s="1552"/>
      <c r="AD32" s="1552"/>
      <c r="AE32" s="1552"/>
    </row>
    <row r="33" spans="1:31" s="1562" customFormat="1" ht="0.75" customHeight="1">
      <c r="A33" s="1072"/>
      <c r="D33" s="471"/>
      <c r="E33" s="716" t="str">
        <f>E32&amp;".0"</f>
        <v>2.8.0</v>
      </c>
      <c r="F33" s="902"/>
      <c r="G33" s="474"/>
      <c r="H33" s="903"/>
      <c r="I33" s="903"/>
      <c r="J33" s="904"/>
    </row>
    <row r="34" spans="1:31" s="1287" customFormat="1" ht="18.75" customHeight="1">
      <c r="A34" s="898"/>
      <c r="C34" s="1556"/>
      <c r="D34" s="1553"/>
      <c r="E34" s="493"/>
      <c r="F34" s="1586" t="s">
        <v>1035</v>
      </c>
      <c r="G34" s="495"/>
      <c r="H34" s="496"/>
      <c r="I34" s="496"/>
      <c r="J34" s="215" t="s">
        <v>1116</v>
      </c>
      <c r="K34" s="466"/>
      <c r="L34" s="1556"/>
      <c r="M34" s="1556"/>
      <c r="R34" s="1556"/>
      <c r="U34" s="467"/>
      <c r="AA34" s="1552"/>
      <c r="AB34" s="1552"/>
      <c r="AC34" s="1552"/>
      <c r="AD34" s="1552"/>
      <c r="AE34" s="1552"/>
    </row>
    <row r="35" spans="1:31" ht="56.25" customHeight="1">
      <c r="D35" s="1558"/>
      <c r="E35" s="1595" t="s">
        <v>1117</v>
      </c>
      <c r="F35" s="865" t="s">
        <v>1118</v>
      </c>
      <c r="G35" s="1574" t="s">
        <v>1010</v>
      </c>
      <c r="H35" s="1596"/>
      <c r="I35" s="1596"/>
      <c r="J35" s="204" t="s">
        <v>1119</v>
      </c>
      <c r="K35" s="466"/>
    </row>
    <row r="36" spans="1:31" s="1287" customFormat="1" ht="22.5" customHeight="1">
      <c r="A36" s="900" t="s">
        <v>1036</v>
      </c>
      <c r="C36" s="1556"/>
      <c r="D36" s="1558"/>
      <c r="E36" s="1584" t="s">
        <v>86</v>
      </c>
      <c r="F36" s="624" t="s">
        <v>1120</v>
      </c>
      <c r="G36" s="1563" t="s">
        <v>1010</v>
      </c>
      <c r="H36" s="480"/>
      <c r="I36" s="480"/>
      <c r="J36" s="204" t="s">
        <v>1121</v>
      </c>
      <c r="K36" s="466"/>
      <c r="L36" s="1556"/>
      <c r="M36" s="1556"/>
      <c r="R36" s="1556"/>
      <c r="U36" s="467"/>
      <c r="AA36" s="1552"/>
      <c r="AB36" s="1552"/>
      <c r="AC36" s="1552"/>
      <c r="AD36" s="1552"/>
      <c r="AE36" s="1552"/>
    </row>
    <row r="37" spans="1:31" s="1287" customFormat="1" ht="22.5" customHeight="1">
      <c r="A37" s="900"/>
      <c r="C37" s="1556"/>
      <c r="D37" s="1558"/>
      <c r="E37" s="1584" t="s">
        <v>789</v>
      </c>
      <c r="F37" s="865" t="s">
        <v>1122</v>
      </c>
      <c r="G37" s="1574"/>
      <c r="H37" s="480"/>
      <c r="I37" s="480"/>
      <c r="J37" s="204"/>
      <c r="K37" s="466"/>
      <c r="L37" s="1556"/>
      <c r="M37" s="1556"/>
      <c r="R37" s="1556"/>
      <c r="U37" s="467"/>
      <c r="AA37" s="1552"/>
      <c r="AB37" s="1552"/>
      <c r="AC37" s="1552"/>
      <c r="AD37" s="1552"/>
      <c r="AE37" s="1552"/>
    </row>
    <row r="38" spans="1:31" s="1287" customFormat="1" ht="18.75" customHeight="1">
      <c r="A38" s="898"/>
      <c r="C38" s="1556"/>
      <c r="D38" s="498"/>
      <c r="E38" s="1584" t="s">
        <v>87</v>
      </c>
      <c r="F38" s="624" t="s">
        <v>1123</v>
      </c>
      <c r="G38" s="1563" t="s">
        <v>1010</v>
      </c>
      <c r="H38" s="480"/>
      <c r="I38" s="480"/>
      <c r="J38" s="204" t="s">
        <v>1124</v>
      </c>
      <c r="K38" s="466"/>
      <c r="L38" s="1556"/>
      <c r="M38" s="1556"/>
      <c r="R38" s="1556"/>
      <c r="U38" s="467"/>
      <c r="AA38" s="1552"/>
      <c r="AB38" s="1552"/>
      <c r="AC38" s="1552"/>
      <c r="AD38" s="1552"/>
      <c r="AE38" s="1552"/>
    </row>
    <row r="39" spans="1:31" s="1287" customFormat="1" ht="22.5" customHeight="1">
      <c r="A39" s="898"/>
      <c r="C39" s="1556"/>
      <c r="D39" s="498"/>
      <c r="E39" s="1584" t="s">
        <v>1125</v>
      </c>
      <c r="F39" s="865" t="s">
        <v>1126</v>
      </c>
      <c r="G39" s="1574" t="s">
        <v>1010</v>
      </c>
      <c r="H39" s="480"/>
      <c r="I39" s="480"/>
      <c r="J39" s="204" t="s">
        <v>1127</v>
      </c>
      <c r="K39" s="466"/>
      <c r="L39" s="1556"/>
      <c r="M39" s="1556"/>
      <c r="R39" s="1556"/>
      <c r="U39" s="467"/>
      <c r="AA39" s="1552"/>
      <c r="AB39" s="1552"/>
      <c r="AC39" s="1552"/>
      <c r="AD39" s="1552"/>
      <c r="AE39" s="1552"/>
    </row>
    <row r="40" spans="1:31" s="1287" customFormat="1" ht="22.5" customHeight="1">
      <c r="A40" s="898"/>
      <c r="C40" s="1556"/>
      <c r="D40" s="1558"/>
      <c r="E40" s="1584" t="s">
        <v>1128</v>
      </c>
      <c r="F40" s="1570" t="s">
        <v>1129</v>
      </c>
      <c r="G40" s="1563" t="s">
        <v>1010</v>
      </c>
      <c r="H40" s="480"/>
      <c r="I40" s="480"/>
      <c r="J40" s="204" t="s">
        <v>1130</v>
      </c>
      <c r="K40" s="466"/>
      <c r="L40" s="1556"/>
      <c r="M40" s="1556"/>
      <c r="R40" s="1556"/>
      <c r="U40" s="467"/>
      <c r="AA40" s="1552"/>
      <c r="AB40" s="1552"/>
      <c r="AC40" s="1552"/>
      <c r="AD40" s="1552"/>
      <c r="AE40" s="1552"/>
    </row>
    <row r="41" spans="1:31" s="1287" customFormat="1" ht="22.5" customHeight="1">
      <c r="A41" s="898"/>
      <c r="C41" s="1556"/>
      <c r="D41" s="1558"/>
      <c r="E41" s="1584" t="s">
        <v>1131</v>
      </c>
      <c r="F41" s="1570" t="s">
        <v>1132</v>
      </c>
      <c r="G41" s="1563" t="s">
        <v>1010</v>
      </c>
      <c r="H41" s="480"/>
      <c r="I41" s="480"/>
      <c r="J41" s="204" t="s">
        <v>1133</v>
      </c>
      <c r="K41" s="466"/>
      <c r="L41" s="1556"/>
      <c r="M41" s="1556"/>
      <c r="R41" s="1556"/>
      <c r="U41" s="467"/>
      <c r="AA41" s="1552"/>
      <c r="AB41" s="1552"/>
      <c r="AC41" s="1552"/>
      <c r="AD41" s="1552"/>
      <c r="AE41" s="1552"/>
    </row>
    <row r="42" spans="1:31" s="1287" customFormat="1" ht="22.5" customHeight="1">
      <c r="A42" s="898"/>
      <c r="C42" s="1556"/>
      <c r="D42" s="1558"/>
      <c r="E42" s="1584" t="s">
        <v>1134</v>
      </c>
      <c r="F42" s="1570" t="s">
        <v>1135</v>
      </c>
      <c r="G42" s="1563" t="s">
        <v>1010</v>
      </c>
      <c r="H42" s="480"/>
      <c r="I42" s="480"/>
      <c r="J42" s="204" t="s">
        <v>1136</v>
      </c>
      <c r="K42" s="466"/>
      <c r="L42" s="1556"/>
      <c r="M42" s="1556"/>
      <c r="R42" s="1556"/>
      <c r="U42" s="467"/>
      <c r="AA42" s="1552"/>
      <c r="AB42" s="1552"/>
      <c r="AC42" s="1552"/>
      <c r="AD42" s="1552"/>
      <c r="AE42" s="1552"/>
    </row>
    <row r="43" spans="1:31" s="1287" customFormat="1" ht="33.75" customHeight="1">
      <c r="A43" s="898"/>
      <c r="C43" s="1556" t="s">
        <v>1046</v>
      </c>
      <c r="D43" s="1558"/>
      <c r="E43" s="1584" t="s">
        <v>113</v>
      </c>
      <c r="F43" s="624" t="s">
        <v>1137</v>
      </c>
      <c r="G43" s="1566" t="s">
        <v>1138</v>
      </c>
      <c r="H43" s="330"/>
      <c r="I43" s="330"/>
      <c r="J43" s="204" t="s">
        <v>1139</v>
      </c>
      <c r="K43" s="466"/>
      <c r="L43" s="1556"/>
      <c r="M43" s="1556"/>
      <c r="R43" s="1556"/>
      <c r="U43" s="467"/>
      <c r="AA43" s="1552"/>
      <c r="AB43" s="1552"/>
      <c r="AC43" s="1552"/>
      <c r="AD43" s="1552"/>
      <c r="AE43" s="1552"/>
    </row>
    <row r="44" spans="1:31" s="1287" customFormat="1" ht="22.5" customHeight="1">
      <c r="A44" s="898"/>
      <c r="C44" s="1556"/>
      <c r="D44" s="1558"/>
      <c r="E44" s="1584" t="s">
        <v>88</v>
      </c>
      <c r="F44" s="624" t="s">
        <v>1140</v>
      </c>
      <c r="G44" s="1563" t="s">
        <v>1141</v>
      </c>
      <c r="H44" s="468"/>
      <c r="I44" s="468"/>
      <c r="J44" s="204" t="s">
        <v>1142</v>
      </c>
      <c r="K44" s="466"/>
      <c r="L44" s="1556"/>
      <c r="M44" s="1556"/>
      <c r="R44" s="1556"/>
      <c r="U44" s="467"/>
      <c r="AA44" s="1552"/>
      <c r="AB44" s="1552"/>
      <c r="AC44" s="1552"/>
      <c r="AD44" s="1552"/>
      <c r="AE44" s="1552"/>
    </row>
    <row r="45" spans="1:31" s="1287" customFormat="1" ht="22.5" customHeight="1">
      <c r="A45" s="898"/>
      <c r="C45" s="1556"/>
      <c r="D45" s="1558"/>
      <c r="E45" s="1584" t="s">
        <v>89</v>
      </c>
      <c r="F45" s="624" t="s">
        <v>1143</v>
      </c>
      <c r="G45" s="1574" t="s">
        <v>1144</v>
      </c>
      <c r="H45" s="468"/>
      <c r="I45" s="468"/>
      <c r="J45" s="204" t="s">
        <v>1145</v>
      </c>
      <c r="K45" s="466"/>
      <c r="L45" s="1556"/>
      <c r="M45" s="1556"/>
      <c r="R45" s="1556"/>
      <c r="U45" s="467"/>
      <c r="AA45" s="1552"/>
      <c r="AB45" s="1552"/>
      <c r="AC45" s="1552"/>
      <c r="AD45" s="1552"/>
      <c r="AE45" s="1552"/>
    </row>
    <row r="46" spans="1:31" s="1287" customFormat="1" ht="18.75" customHeight="1">
      <c r="A46" s="898"/>
      <c r="C46" s="1556"/>
      <c r="D46" s="1558"/>
      <c r="E46" s="1584" t="s">
        <v>126</v>
      </c>
      <c r="F46" s="624" t="s">
        <v>1146</v>
      </c>
      <c r="G46" s="1563" t="s">
        <v>1048</v>
      </c>
      <c r="H46" s="500"/>
      <c r="I46" s="500"/>
      <c r="J46" s="204"/>
      <c r="K46" s="466"/>
      <c r="L46" s="1556"/>
      <c r="M46" s="1556"/>
      <c r="R46" s="1556"/>
      <c r="U46" s="467"/>
      <c r="AA46" s="1552"/>
      <c r="AB46" s="1552"/>
      <c r="AC46" s="1552"/>
      <c r="AD46" s="1552"/>
      <c r="AE46" s="1552"/>
    </row>
    <row r="47" spans="1:31" ht="11.25" customHeight="1">
      <c r="D47" s="1558"/>
    </row>
    <row r="48" spans="1:31" ht="26.25" customHeight="1">
      <c r="D48" s="1558"/>
      <c r="E48" s="1169"/>
      <c r="F48" s="8903"/>
      <c r="G48" s="8903"/>
      <c r="H48" s="8903"/>
      <c r="I48" s="8903"/>
      <c r="J48" s="8903"/>
    </row>
    <row r="49" spans="1:31" s="1561" customFormat="1" ht="37.5" customHeight="1">
      <c r="A49" s="898"/>
      <c r="B49" s="1556"/>
      <c r="C49" s="1556"/>
      <c r="D49" s="272"/>
      <c r="F49" s="8903"/>
      <c r="G49" s="8903"/>
      <c r="H49" s="8903"/>
      <c r="I49" s="8903"/>
      <c r="J49" s="8903"/>
      <c r="K49" s="1065"/>
      <c r="L49" s="1556"/>
      <c r="M49" s="1556"/>
      <c r="N49" s="1065"/>
      <c r="O49" s="1065"/>
      <c r="P49" s="1065"/>
      <c r="Q49" s="1065"/>
      <c r="R49" s="1556"/>
      <c r="S49" s="1065"/>
      <c r="T49" s="1065"/>
      <c r="U49" s="467"/>
      <c r="V49" s="1065"/>
      <c r="W49" s="1065"/>
      <c r="X49" s="1065"/>
      <c r="Y49" s="1065"/>
      <c r="Z49" s="1065"/>
      <c r="AA49" s="1552"/>
      <c r="AB49" s="489"/>
      <c r="AC49" s="489"/>
      <c r="AD49" s="489"/>
      <c r="AE49" s="489"/>
    </row>
    <row r="50" spans="1:31" s="1561" customFormat="1" ht="11.25" customHeight="1">
      <c r="A50" s="898"/>
      <c r="B50" s="1556"/>
      <c r="C50" s="1556"/>
      <c r="D50" s="272"/>
      <c r="K50" s="1065"/>
      <c r="L50" s="1556"/>
      <c r="M50" s="1556"/>
      <c r="N50" s="1065"/>
      <c r="O50" s="1065"/>
      <c r="P50" s="1065"/>
      <c r="Q50" s="1065"/>
      <c r="R50" s="1556"/>
      <c r="S50" s="1065"/>
      <c r="T50" s="1065"/>
      <c r="U50" s="467"/>
      <c r="V50" s="1065"/>
      <c r="W50" s="1065"/>
      <c r="X50" s="1065"/>
      <c r="Y50" s="1065"/>
      <c r="Z50" s="1065"/>
      <c r="AA50" s="1552"/>
      <c r="AB50" s="489"/>
      <c r="AC50" s="489"/>
      <c r="AD50" s="489"/>
      <c r="AE50" s="489"/>
    </row>
    <row r="51" spans="1:31" s="1561" customFormat="1" ht="11.25" customHeight="1">
      <c r="A51" s="898"/>
      <c r="B51" s="1556"/>
      <c r="C51" s="1556"/>
      <c r="D51" s="272"/>
      <c r="K51" s="1065"/>
      <c r="L51" s="1556"/>
      <c r="M51" s="1556"/>
      <c r="N51" s="1065"/>
      <c r="O51" s="1065"/>
      <c r="P51" s="1065"/>
      <c r="Q51" s="1065"/>
      <c r="R51" s="1556"/>
      <c r="S51" s="1065"/>
      <c r="T51" s="1065"/>
      <c r="U51" s="467"/>
      <c r="V51" s="1065"/>
      <c r="W51" s="1065"/>
      <c r="X51" s="1065"/>
      <c r="Y51" s="1065"/>
      <c r="Z51" s="1065"/>
      <c r="AA51" s="1552"/>
      <c r="AB51" s="489"/>
      <c r="AC51" s="489"/>
      <c r="AD51" s="489"/>
      <c r="AE51" s="489"/>
    </row>
    <row r="52" spans="1:31" s="1561" customFormat="1" ht="11.25" customHeight="1">
      <c r="A52" s="898"/>
      <c r="B52" s="1556"/>
      <c r="C52" s="1556"/>
      <c r="D52" s="272"/>
      <c r="H52" s="489"/>
      <c r="I52" s="489"/>
      <c r="K52" s="1065"/>
      <c r="L52" s="1556"/>
      <c r="M52" s="1556"/>
      <c r="N52" s="1065"/>
      <c r="O52" s="1065"/>
      <c r="P52" s="1065"/>
      <c r="Q52" s="1065"/>
      <c r="R52" s="1556"/>
      <c r="S52" s="1065"/>
      <c r="T52" s="1065"/>
      <c r="U52" s="467"/>
      <c r="V52" s="1065"/>
      <c r="W52" s="1065"/>
      <c r="X52" s="1065"/>
      <c r="Y52" s="1065"/>
      <c r="Z52" s="1065"/>
      <c r="AA52" s="1552"/>
      <c r="AB52" s="489"/>
      <c r="AC52" s="489"/>
      <c r="AD52" s="489"/>
      <c r="AE52" s="489"/>
    </row>
    <row r="53" spans="1:31" s="1561" customFormat="1" ht="11.25" customHeight="1">
      <c r="A53" s="898"/>
      <c r="B53" s="1556"/>
      <c r="C53" s="1556"/>
      <c r="D53" s="272"/>
      <c r="K53" s="1065"/>
      <c r="L53" s="1556"/>
      <c r="M53" s="1556"/>
      <c r="N53" s="1065"/>
      <c r="O53" s="1065"/>
      <c r="P53" s="1065"/>
      <c r="Q53" s="1065"/>
      <c r="R53" s="1556"/>
      <c r="S53" s="1065"/>
      <c r="T53" s="1065"/>
      <c r="U53" s="467"/>
      <c r="V53" s="1065"/>
      <c r="W53" s="1065"/>
      <c r="X53" s="1065"/>
      <c r="Y53" s="1065"/>
      <c r="Z53" s="1065"/>
      <c r="AA53" s="1552"/>
      <c r="AB53" s="489"/>
      <c r="AC53" s="489"/>
      <c r="AD53" s="489"/>
      <c r="AE53" s="489"/>
    </row>
    <row r="54" spans="1:31" s="1561" customFormat="1" ht="11.25" customHeight="1">
      <c r="A54" s="898"/>
      <c r="B54" s="1556"/>
      <c r="C54" s="1556"/>
      <c r="D54" s="272"/>
      <c r="K54" s="1065"/>
      <c r="L54" s="1556"/>
      <c r="M54" s="1556"/>
      <c r="N54" s="1065"/>
      <c r="O54" s="1065"/>
      <c r="P54" s="1065"/>
      <c r="Q54" s="1065"/>
      <c r="R54" s="1556"/>
      <c r="S54" s="1065"/>
      <c r="T54" s="1065"/>
      <c r="U54" s="467"/>
      <c r="V54" s="1065"/>
      <c r="W54" s="1065"/>
      <c r="X54" s="1065"/>
      <c r="Y54" s="1065"/>
      <c r="Z54" s="1065"/>
      <c r="AA54" s="1552"/>
      <c r="AB54" s="489"/>
      <c r="AC54" s="489"/>
      <c r="AD54" s="489"/>
      <c r="AE54" s="489"/>
    </row>
    <row r="55" spans="1:31" s="1561" customFormat="1" ht="11.25" customHeight="1">
      <c r="A55" s="898"/>
      <c r="B55" s="1556"/>
      <c r="C55" s="1556"/>
      <c r="D55" s="272"/>
      <c r="K55" s="1065"/>
      <c r="L55" s="1556"/>
      <c r="M55" s="1556"/>
      <c r="N55" s="1065"/>
      <c r="O55" s="1065"/>
      <c r="P55" s="1065"/>
      <c r="Q55" s="1065"/>
      <c r="R55" s="1556"/>
      <c r="S55" s="1065"/>
      <c r="T55" s="1065"/>
      <c r="U55" s="467"/>
      <c r="V55" s="1065"/>
      <c r="W55" s="1065"/>
      <c r="X55" s="1065"/>
      <c r="Y55" s="1065"/>
      <c r="Z55" s="1065"/>
      <c r="AA55" s="1552"/>
      <c r="AB55" s="489"/>
      <c r="AC55" s="489"/>
      <c r="AD55" s="489"/>
      <c r="AE55" s="489"/>
    </row>
    <row r="56" spans="1:31" s="1561" customFormat="1" ht="11.25" customHeight="1">
      <c r="A56" s="898"/>
      <c r="B56" s="1556"/>
      <c r="C56" s="1556"/>
      <c r="D56" s="272"/>
      <c r="K56" s="1065"/>
      <c r="L56" s="1556"/>
      <c r="M56" s="1556"/>
      <c r="N56" s="1065"/>
      <c r="O56" s="1065"/>
      <c r="P56" s="1065"/>
      <c r="Q56" s="1065"/>
      <c r="R56" s="1556"/>
      <c r="S56" s="1065"/>
      <c r="T56" s="1065"/>
      <c r="U56" s="467"/>
      <c r="V56" s="1065"/>
      <c r="W56" s="1065"/>
      <c r="X56" s="1065"/>
      <c r="Y56" s="1065"/>
      <c r="Z56" s="1065"/>
      <c r="AA56" s="1552"/>
      <c r="AB56" s="489"/>
      <c r="AC56" s="489"/>
      <c r="AD56" s="489"/>
      <c r="AE56" s="489"/>
    </row>
    <row r="57" spans="1:31" s="1561" customFormat="1" ht="11.25" customHeight="1">
      <c r="A57" s="898"/>
      <c r="B57" s="1556"/>
      <c r="C57" s="1556"/>
      <c r="D57" s="272"/>
      <c r="K57" s="1065"/>
      <c r="L57" s="1556"/>
      <c r="M57" s="1556"/>
      <c r="N57" s="1065"/>
      <c r="O57" s="1065"/>
      <c r="P57" s="1065"/>
      <c r="Q57" s="1065"/>
      <c r="R57" s="1556"/>
      <c r="S57" s="1065"/>
      <c r="T57" s="1065"/>
      <c r="U57" s="467"/>
      <c r="V57" s="1065"/>
      <c r="W57" s="1065"/>
      <c r="X57" s="1065"/>
      <c r="Y57" s="1065"/>
      <c r="Z57" s="1065"/>
      <c r="AA57" s="1552"/>
      <c r="AB57" s="489"/>
      <c r="AC57" s="489"/>
      <c r="AD57" s="489"/>
      <c r="AE57" s="489"/>
    </row>
    <row r="58" spans="1:31" s="1561" customFormat="1" ht="11.25" customHeight="1">
      <c r="A58" s="898"/>
      <c r="B58" s="1556"/>
      <c r="C58" s="1556"/>
      <c r="D58" s="272"/>
      <c r="K58" s="1065"/>
      <c r="L58" s="1556"/>
      <c r="M58" s="1556"/>
      <c r="N58" s="1065"/>
      <c r="O58" s="1065"/>
      <c r="P58" s="1065"/>
      <c r="Q58" s="1065"/>
      <c r="R58" s="1556"/>
      <c r="S58" s="1065"/>
      <c r="T58" s="1065"/>
      <c r="U58" s="467"/>
      <c r="V58" s="1065"/>
      <c r="W58" s="1065"/>
      <c r="X58" s="1065"/>
      <c r="Y58" s="1065"/>
      <c r="Z58" s="1065"/>
      <c r="AA58" s="1552"/>
      <c r="AB58" s="489"/>
      <c r="AC58" s="489"/>
      <c r="AD58" s="489"/>
      <c r="AE58" s="489"/>
    </row>
    <row r="59" spans="1:31" s="1561" customFormat="1" ht="11.25" customHeight="1">
      <c r="A59" s="898"/>
      <c r="B59" s="1556"/>
      <c r="C59" s="1556"/>
      <c r="D59" s="272"/>
      <c r="K59" s="1065"/>
      <c r="L59" s="1556"/>
      <c r="M59" s="1556"/>
      <c r="N59" s="1065"/>
      <c r="O59" s="1065"/>
      <c r="P59" s="1065"/>
      <c r="Q59" s="1065"/>
      <c r="R59" s="1556"/>
      <c r="S59" s="1065"/>
      <c r="T59" s="1065"/>
      <c r="U59" s="467"/>
      <c r="V59" s="1065"/>
      <c r="W59" s="1065"/>
      <c r="X59" s="1065"/>
      <c r="Y59" s="1065"/>
      <c r="Z59" s="1065"/>
      <c r="AA59" s="1552"/>
      <c r="AB59" s="489"/>
      <c r="AC59" s="489"/>
      <c r="AD59" s="489"/>
      <c r="AE59" s="489"/>
    </row>
    <row r="60" spans="1:31" s="1561" customFormat="1" ht="11.25" customHeight="1">
      <c r="A60" s="898"/>
      <c r="B60" s="1556"/>
      <c r="C60" s="1556"/>
      <c r="D60" s="272"/>
      <c r="K60" s="1065"/>
      <c r="L60" s="1556"/>
      <c r="M60" s="1556"/>
      <c r="N60" s="1065"/>
      <c r="O60" s="1065"/>
      <c r="P60" s="1065"/>
      <c r="Q60" s="1065"/>
      <c r="R60" s="1556"/>
      <c r="S60" s="1065"/>
      <c r="T60" s="1065"/>
      <c r="U60" s="467"/>
      <c r="V60" s="1065"/>
      <c r="W60" s="1065"/>
      <c r="X60" s="1065"/>
      <c r="Y60" s="1065"/>
      <c r="Z60" s="1065"/>
      <c r="AA60" s="1552"/>
      <c r="AB60" s="489"/>
      <c r="AC60" s="489"/>
      <c r="AD60" s="489"/>
      <c r="AE60" s="489"/>
    </row>
    <row r="61" spans="1:31" s="1561" customFormat="1" ht="11.25" customHeight="1">
      <c r="A61" s="898"/>
      <c r="B61" s="1556"/>
      <c r="C61" s="1556"/>
      <c r="D61" s="272"/>
      <c r="K61" s="1065"/>
      <c r="L61" s="1556"/>
      <c r="M61" s="1556"/>
      <c r="N61" s="1065"/>
      <c r="O61" s="1065"/>
      <c r="P61" s="1065"/>
      <c r="Q61" s="1065"/>
      <c r="R61" s="1556"/>
      <c r="S61" s="1065"/>
      <c r="T61" s="1065"/>
      <c r="U61" s="467"/>
      <c r="V61" s="1065"/>
      <c r="W61" s="1065"/>
      <c r="X61" s="1065"/>
      <c r="Y61" s="1065"/>
      <c r="Z61" s="1065"/>
      <c r="AA61" s="1552"/>
      <c r="AB61" s="489"/>
      <c r="AC61" s="489"/>
      <c r="AD61" s="489"/>
      <c r="AE61" s="489"/>
    </row>
    <row r="62" spans="1:31" s="1561" customFormat="1" ht="11.25" customHeight="1">
      <c r="A62" s="898"/>
      <c r="B62" s="1556"/>
      <c r="C62" s="1556"/>
      <c r="D62" s="272"/>
      <c r="K62" s="1065"/>
      <c r="L62" s="1556"/>
      <c r="M62" s="1556"/>
      <c r="N62" s="1065"/>
      <c r="O62" s="1065"/>
      <c r="P62" s="1065"/>
      <c r="Q62" s="1065"/>
      <c r="R62" s="1556"/>
      <c r="S62" s="1065"/>
      <c r="T62" s="1065"/>
      <c r="U62" s="467"/>
      <c r="V62" s="1065"/>
      <c r="W62" s="1065"/>
      <c r="X62" s="1065"/>
      <c r="Y62" s="1065"/>
      <c r="Z62" s="1065"/>
      <c r="AA62" s="1552"/>
      <c r="AB62" s="489"/>
      <c r="AC62" s="489"/>
      <c r="AD62" s="489"/>
      <c r="AE62" s="489"/>
    </row>
    <row r="63" spans="1:31" s="1561" customFormat="1" ht="11.25" customHeight="1">
      <c r="A63" s="898"/>
      <c r="B63" s="1556"/>
      <c r="C63" s="1556"/>
      <c r="D63" s="272"/>
      <c r="K63" s="1065"/>
      <c r="L63" s="1556"/>
      <c r="M63" s="1556"/>
      <c r="N63" s="1065"/>
      <c r="O63" s="1065"/>
      <c r="P63" s="1065"/>
      <c r="Q63" s="1065"/>
      <c r="R63" s="1556"/>
      <c r="S63" s="1065"/>
      <c r="T63" s="1065"/>
      <c r="U63" s="467"/>
      <c r="V63" s="1065"/>
      <c r="W63" s="1065"/>
      <c r="X63" s="1065"/>
      <c r="Y63" s="1065"/>
      <c r="Z63" s="1065"/>
      <c r="AA63" s="1552"/>
      <c r="AB63" s="489"/>
      <c r="AC63" s="489"/>
      <c r="AD63" s="489"/>
      <c r="AE63" s="489"/>
    </row>
    <row r="64" spans="1:31" s="1561" customFormat="1" ht="11.25" customHeight="1">
      <c r="A64" s="898"/>
      <c r="B64" s="1556"/>
      <c r="C64" s="1556"/>
      <c r="D64" s="272"/>
      <c r="K64" s="1065"/>
      <c r="L64" s="1556"/>
      <c r="M64" s="1556"/>
      <c r="N64" s="1065"/>
      <c r="O64" s="1065"/>
      <c r="P64" s="1065"/>
      <c r="Q64" s="1065"/>
      <c r="R64" s="1556"/>
      <c r="S64" s="1065"/>
      <c r="T64" s="1065"/>
      <c r="U64" s="467"/>
      <c r="V64" s="1065"/>
      <c r="W64" s="1065"/>
      <c r="X64" s="1065"/>
      <c r="Y64" s="1065"/>
      <c r="Z64" s="1065"/>
      <c r="AA64" s="1552"/>
      <c r="AB64" s="489"/>
      <c r="AC64" s="489"/>
      <c r="AD64" s="489"/>
      <c r="AE64" s="489"/>
    </row>
    <row r="65" spans="1:31" s="1561" customFormat="1" ht="11.25" customHeight="1">
      <c r="A65" s="898"/>
      <c r="B65" s="1556"/>
      <c r="C65" s="1556"/>
      <c r="D65" s="272"/>
      <c r="K65" s="1065"/>
      <c r="L65" s="1556"/>
      <c r="M65" s="1556"/>
      <c r="N65" s="1065"/>
      <c r="O65" s="1065"/>
      <c r="P65" s="1065"/>
      <c r="Q65" s="1065"/>
      <c r="R65" s="1556"/>
      <c r="S65" s="1065"/>
      <c r="T65" s="1065"/>
      <c r="U65" s="467"/>
      <c r="V65" s="1065"/>
      <c r="W65" s="1065"/>
      <c r="X65" s="1065"/>
      <c r="Y65" s="1065"/>
      <c r="Z65" s="1065"/>
      <c r="AA65" s="1552"/>
      <c r="AB65" s="489"/>
      <c r="AC65" s="489"/>
      <c r="AD65" s="489"/>
      <c r="AE65" s="489"/>
    </row>
    <row r="66" spans="1:31" s="1561" customFormat="1" ht="11.25" customHeight="1">
      <c r="A66" s="898"/>
      <c r="B66" s="1556"/>
      <c r="C66" s="1556"/>
      <c r="D66" s="272"/>
      <c r="K66" s="1065"/>
      <c r="L66" s="1556"/>
      <c r="M66" s="1556"/>
      <c r="N66" s="1065"/>
      <c r="O66" s="1065"/>
      <c r="P66" s="1065"/>
      <c r="Q66" s="1065"/>
      <c r="R66" s="1556"/>
      <c r="S66" s="1065"/>
      <c r="T66" s="1065"/>
      <c r="U66" s="467"/>
      <c r="V66" s="1065"/>
      <c r="W66" s="1065"/>
      <c r="X66" s="1065"/>
      <c r="Y66" s="1065"/>
      <c r="Z66" s="1065"/>
      <c r="AA66" s="1552"/>
      <c r="AB66" s="489"/>
      <c r="AC66" s="489"/>
      <c r="AD66" s="489"/>
      <c r="AE66" s="489"/>
    </row>
    <row r="67" spans="1:31" s="1561" customFormat="1" ht="11.25" customHeight="1">
      <c r="A67" s="898"/>
      <c r="B67" s="1556"/>
      <c r="C67" s="1556"/>
      <c r="D67" s="272"/>
      <c r="K67" s="1065"/>
      <c r="L67" s="1556"/>
      <c r="M67" s="1556"/>
      <c r="N67" s="1065"/>
      <c r="O67" s="1065"/>
      <c r="P67" s="1065"/>
      <c r="Q67" s="1065"/>
      <c r="R67" s="1556"/>
      <c r="S67" s="1065"/>
      <c r="T67" s="1065"/>
      <c r="U67" s="467"/>
      <c r="V67" s="1065"/>
      <c r="W67" s="1065"/>
      <c r="X67" s="1065"/>
      <c r="Y67" s="1065"/>
      <c r="Z67" s="1065"/>
      <c r="AA67" s="1552"/>
      <c r="AB67" s="489"/>
      <c r="AC67" s="489"/>
      <c r="AD67" s="489"/>
      <c r="AE67" s="489"/>
    </row>
    <row r="68" spans="1:31" s="1561" customFormat="1" ht="11.25" customHeight="1">
      <c r="A68" s="898"/>
      <c r="B68" s="1556"/>
      <c r="C68" s="1556"/>
      <c r="D68" s="272"/>
      <c r="K68" s="1065"/>
      <c r="L68" s="1556"/>
      <c r="M68" s="1556"/>
      <c r="N68" s="1065"/>
      <c r="O68" s="1065"/>
      <c r="P68" s="1065"/>
      <c r="Q68" s="1065"/>
      <c r="R68" s="1556"/>
      <c r="S68" s="1065"/>
      <c r="T68" s="1065"/>
      <c r="U68" s="467"/>
      <c r="V68" s="1065"/>
      <c r="W68" s="1065"/>
      <c r="X68" s="1065"/>
      <c r="Y68" s="1065"/>
      <c r="Z68" s="1065"/>
      <c r="AA68" s="1552"/>
      <c r="AB68" s="489"/>
      <c r="AC68" s="489"/>
      <c r="AD68" s="489"/>
      <c r="AE68" s="489"/>
    </row>
    <row r="69" spans="1:31" s="1561" customFormat="1" ht="11.25" customHeight="1">
      <c r="A69" s="898"/>
      <c r="B69" s="1556"/>
      <c r="C69" s="1556"/>
      <c r="D69" s="272"/>
      <c r="K69" s="1065"/>
      <c r="L69" s="1556"/>
      <c r="M69" s="1556"/>
      <c r="N69" s="1065"/>
      <c r="O69" s="1065"/>
      <c r="P69" s="1065"/>
      <c r="Q69" s="1065"/>
      <c r="R69" s="1556"/>
      <c r="S69" s="1065"/>
      <c r="T69" s="1065"/>
      <c r="U69" s="467"/>
      <c r="V69" s="1065"/>
      <c r="W69" s="1065"/>
      <c r="X69" s="1065"/>
      <c r="Y69" s="1065"/>
      <c r="Z69" s="1065"/>
      <c r="AA69" s="1552"/>
      <c r="AB69" s="489"/>
      <c r="AC69" s="489"/>
      <c r="AD69" s="489"/>
      <c r="AE69" s="489"/>
    </row>
    <row r="70" spans="1:31" s="1561" customFormat="1" ht="11.25" customHeight="1">
      <c r="A70" s="898"/>
      <c r="B70" s="1556"/>
      <c r="C70" s="1556"/>
      <c r="D70" s="272"/>
      <c r="K70" s="1065"/>
      <c r="L70" s="1556"/>
      <c r="M70" s="1556"/>
      <c r="N70" s="1065"/>
      <c r="O70" s="1065"/>
      <c r="P70" s="1065"/>
      <c r="Q70" s="1065"/>
      <c r="R70" s="1556"/>
      <c r="S70" s="1065"/>
      <c r="T70" s="1065"/>
      <c r="U70" s="467"/>
      <c r="V70" s="1065"/>
      <c r="W70" s="1065"/>
      <c r="X70" s="1065"/>
      <c r="Y70" s="1065"/>
      <c r="Z70" s="1065"/>
      <c r="AA70" s="1552"/>
      <c r="AB70" s="489"/>
      <c r="AC70" s="489"/>
      <c r="AD70" s="489"/>
      <c r="AE70" s="489"/>
    </row>
    <row r="71" spans="1:31" s="1561" customFormat="1" ht="11.25" customHeight="1">
      <c r="A71" s="898"/>
      <c r="B71" s="1556"/>
      <c r="C71" s="1556"/>
      <c r="D71" s="272"/>
      <c r="K71" s="1065"/>
      <c r="L71" s="1556"/>
      <c r="M71" s="1556"/>
      <c r="N71" s="1065"/>
      <c r="O71" s="1065"/>
      <c r="P71" s="1065"/>
      <c r="Q71" s="1065"/>
      <c r="R71" s="1556"/>
      <c r="S71" s="1065"/>
      <c r="T71" s="1065"/>
      <c r="U71" s="467"/>
      <c r="V71" s="1065"/>
      <c r="W71" s="1065"/>
      <c r="X71" s="1065"/>
      <c r="Y71" s="1065"/>
      <c r="Z71" s="1065"/>
      <c r="AA71" s="1552"/>
      <c r="AB71" s="489"/>
      <c r="AC71" s="489"/>
      <c r="AD71" s="489"/>
      <c r="AE71" s="489"/>
    </row>
    <row r="72" spans="1:31" s="1561" customFormat="1" ht="11.25" customHeight="1">
      <c r="A72" s="898"/>
      <c r="B72" s="1556"/>
      <c r="C72" s="1556"/>
      <c r="D72" s="272"/>
      <c r="K72" s="1065"/>
      <c r="L72" s="1556"/>
      <c r="M72" s="1556"/>
      <c r="N72" s="1065"/>
      <c r="O72" s="1065"/>
      <c r="P72" s="1065"/>
      <c r="Q72" s="1065"/>
      <c r="R72" s="1556"/>
      <c r="S72" s="1065"/>
      <c r="T72" s="1065"/>
      <c r="U72" s="467"/>
      <c r="V72" s="1065"/>
      <c r="W72" s="1065"/>
      <c r="X72" s="1065"/>
      <c r="Y72" s="1065"/>
      <c r="Z72" s="1065"/>
      <c r="AA72" s="1552"/>
      <c r="AB72" s="489"/>
      <c r="AC72" s="489"/>
      <c r="AD72" s="489"/>
      <c r="AE72" s="489"/>
    </row>
    <row r="73" spans="1:31" s="1561" customFormat="1" ht="11.25" customHeight="1">
      <c r="A73" s="898"/>
      <c r="B73" s="1556"/>
      <c r="C73" s="1556"/>
      <c r="D73" s="272"/>
      <c r="K73" s="1065"/>
      <c r="L73" s="1556"/>
      <c r="M73" s="1556"/>
      <c r="N73" s="1065"/>
      <c r="O73" s="1065"/>
      <c r="P73" s="1065"/>
      <c r="Q73" s="1065"/>
      <c r="R73" s="1556"/>
      <c r="S73" s="1065"/>
      <c r="T73" s="1065"/>
      <c r="U73" s="467"/>
      <c r="V73" s="1065"/>
      <c r="W73" s="1065"/>
      <c r="X73" s="1065"/>
      <c r="Y73" s="1065"/>
      <c r="Z73" s="1065"/>
      <c r="AA73" s="1552"/>
      <c r="AB73" s="489"/>
      <c r="AC73" s="489"/>
      <c r="AD73" s="489"/>
      <c r="AE73" s="489"/>
    </row>
    <row r="74" spans="1:31" s="1561" customFormat="1" ht="11.25" customHeight="1">
      <c r="A74" s="898"/>
      <c r="B74" s="1556"/>
      <c r="C74" s="1556"/>
      <c r="D74" s="272"/>
      <c r="K74" s="1065"/>
      <c r="L74" s="1556"/>
      <c r="M74" s="1556"/>
      <c r="N74" s="1065"/>
      <c r="O74" s="1065"/>
      <c r="P74" s="1065"/>
      <c r="Q74" s="1065"/>
      <c r="R74" s="1556"/>
      <c r="S74" s="1065"/>
      <c r="T74" s="1065"/>
      <c r="U74" s="467"/>
      <c r="V74" s="1065"/>
      <c r="W74" s="1065"/>
      <c r="X74" s="1065"/>
      <c r="Y74" s="1065"/>
      <c r="Z74" s="1065"/>
      <c r="AA74" s="1552"/>
      <c r="AB74" s="489"/>
      <c r="AC74" s="489"/>
      <c r="AD74" s="489"/>
      <c r="AE74" s="489"/>
    </row>
    <row r="75" spans="1:31" s="1561" customFormat="1" ht="11.25" customHeight="1">
      <c r="A75" s="898"/>
      <c r="B75" s="1556"/>
      <c r="C75" s="1556"/>
      <c r="D75" s="272"/>
      <c r="K75" s="1065"/>
      <c r="L75" s="1556"/>
      <c r="M75" s="1556"/>
      <c r="N75" s="1065"/>
      <c r="O75" s="1065"/>
      <c r="P75" s="1065"/>
      <c r="Q75" s="1065"/>
      <c r="R75" s="1556"/>
      <c r="S75" s="1065"/>
      <c r="T75" s="1065"/>
      <c r="U75" s="467"/>
      <c r="V75" s="1065"/>
      <c r="W75" s="1065"/>
      <c r="X75" s="1065"/>
      <c r="Y75" s="1065"/>
      <c r="Z75" s="1065"/>
      <c r="AA75" s="1552"/>
      <c r="AB75" s="489"/>
      <c r="AC75" s="489"/>
      <c r="AD75" s="489"/>
      <c r="AE75" s="489"/>
    </row>
    <row r="76" spans="1:31" s="1561" customFormat="1" ht="11.25" customHeight="1">
      <c r="A76" s="898"/>
      <c r="B76" s="1556"/>
      <c r="C76" s="1556"/>
      <c r="D76" s="272"/>
      <c r="K76" s="1065"/>
      <c r="L76" s="1556"/>
      <c r="M76" s="1556"/>
      <c r="N76" s="1065"/>
      <c r="O76" s="1065"/>
      <c r="P76" s="1065"/>
      <c r="Q76" s="1065"/>
      <c r="R76" s="1556"/>
      <c r="S76" s="1065"/>
      <c r="T76" s="1065"/>
      <c r="U76" s="467"/>
      <c r="V76" s="1065"/>
      <c r="W76" s="1065"/>
      <c r="X76" s="1065"/>
      <c r="Y76" s="1065"/>
      <c r="Z76" s="1065"/>
      <c r="AA76" s="1552"/>
      <c r="AB76" s="489"/>
      <c r="AC76" s="489"/>
      <c r="AD76" s="489"/>
      <c r="AE76" s="489"/>
    </row>
    <row r="77" spans="1:31" s="1561" customFormat="1" ht="11.25" customHeight="1">
      <c r="A77" s="898"/>
      <c r="B77" s="1556"/>
      <c r="C77" s="1556"/>
      <c r="D77" s="272"/>
      <c r="K77" s="1065"/>
      <c r="L77" s="1556"/>
      <c r="M77" s="1556"/>
      <c r="N77" s="1065"/>
      <c r="O77" s="1065"/>
      <c r="P77" s="1065"/>
      <c r="Q77" s="1065"/>
      <c r="R77" s="1556"/>
      <c r="S77" s="1065"/>
      <c r="T77" s="1065"/>
      <c r="U77" s="467"/>
      <c r="V77" s="1065"/>
      <c r="W77" s="1065"/>
      <c r="X77" s="1065"/>
      <c r="Y77" s="1065"/>
      <c r="Z77" s="1065"/>
      <c r="AA77" s="1552"/>
      <c r="AB77" s="489"/>
      <c r="AC77" s="489"/>
      <c r="AD77" s="489"/>
      <c r="AE77" s="489"/>
    </row>
    <row r="78" spans="1:31" s="1561" customFormat="1" ht="11.25" customHeight="1">
      <c r="A78" s="898"/>
      <c r="B78" s="1556"/>
      <c r="C78" s="1556"/>
      <c r="D78" s="272"/>
      <c r="K78" s="1065"/>
      <c r="L78" s="1556"/>
      <c r="M78" s="1556"/>
      <c r="N78" s="1065"/>
      <c r="O78" s="1065"/>
      <c r="P78" s="1065"/>
      <c r="Q78" s="1065"/>
      <c r="R78" s="1556"/>
      <c r="S78" s="1065"/>
      <c r="T78" s="1065"/>
      <c r="U78" s="467"/>
      <c r="V78" s="1065"/>
      <c r="W78" s="1065"/>
      <c r="X78" s="1065"/>
      <c r="Y78" s="1065"/>
      <c r="Z78" s="1065"/>
      <c r="AA78" s="1552"/>
      <c r="AB78" s="489"/>
      <c r="AC78" s="489"/>
      <c r="AD78" s="489"/>
      <c r="AE78" s="489"/>
    </row>
    <row r="79" spans="1:31" s="1561" customFormat="1" ht="11.25" customHeight="1">
      <c r="A79" s="898"/>
      <c r="B79" s="1556"/>
      <c r="C79" s="1556"/>
      <c r="D79" s="272"/>
      <c r="K79" s="1065"/>
      <c r="L79" s="1556"/>
      <c r="M79" s="1556"/>
      <c r="N79" s="1065"/>
      <c r="O79" s="1065"/>
      <c r="P79" s="1065"/>
      <c r="Q79" s="1065"/>
      <c r="R79" s="1556"/>
      <c r="S79" s="1065"/>
      <c r="T79" s="1065"/>
      <c r="U79" s="467"/>
      <c r="V79" s="1065"/>
      <c r="W79" s="1065"/>
      <c r="X79" s="1065"/>
      <c r="Y79" s="1065"/>
      <c r="Z79" s="1065"/>
      <c r="AA79" s="1552"/>
      <c r="AB79" s="489"/>
      <c r="AC79" s="489"/>
      <c r="AD79" s="489"/>
      <c r="AE79" s="489"/>
    </row>
    <row r="80" spans="1:31" s="1561" customFormat="1" ht="11.25" customHeight="1">
      <c r="A80" s="898"/>
      <c r="B80" s="1556"/>
      <c r="C80" s="1556"/>
      <c r="D80" s="272"/>
      <c r="K80" s="1065"/>
      <c r="L80" s="1556"/>
      <c r="M80" s="1556"/>
      <c r="N80" s="1065"/>
      <c r="O80" s="1065"/>
      <c r="P80" s="1065"/>
      <c r="Q80" s="1065"/>
      <c r="R80" s="1556"/>
      <c r="S80" s="1065"/>
      <c r="T80" s="1065"/>
      <c r="U80" s="467"/>
      <c r="V80" s="1065"/>
      <c r="W80" s="1065"/>
      <c r="X80" s="1065"/>
      <c r="Y80" s="1065"/>
      <c r="Z80" s="1065"/>
      <c r="AA80" s="1552"/>
      <c r="AB80" s="489"/>
      <c r="AC80" s="489"/>
      <c r="AD80" s="489"/>
      <c r="AE80" s="489"/>
    </row>
    <row r="81" spans="1:31" s="1561" customFormat="1" ht="11.25" customHeight="1">
      <c r="A81" s="898"/>
      <c r="B81" s="1556"/>
      <c r="C81" s="1556"/>
      <c r="D81" s="272"/>
      <c r="K81" s="1065"/>
      <c r="L81" s="1556"/>
      <c r="M81" s="1556"/>
      <c r="N81" s="1065"/>
      <c r="O81" s="1065"/>
      <c r="P81" s="1065"/>
      <c r="Q81" s="1065"/>
      <c r="R81" s="1556"/>
      <c r="S81" s="1065"/>
      <c r="T81" s="1065"/>
      <c r="U81" s="467"/>
      <c r="V81" s="1065"/>
      <c r="W81" s="1065"/>
      <c r="X81" s="1065"/>
      <c r="Y81" s="1065"/>
      <c r="Z81" s="1065"/>
      <c r="AA81" s="1552"/>
      <c r="AB81" s="489"/>
      <c r="AC81" s="489"/>
      <c r="AD81" s="489"/>
      <c r="AE81" s="489"/>
    </row>
    <row r="82" spans="1:31" s="1561" customFormat="1" ht="11.25" customHeight="1">
      <c r="A82" s="898"/>
      <c r="B82" s="1556"/>
      <c r="C82" s="1556"/>
      <c r="D82" s="272"/>
      <c r="K82" s="1065"/>
      <c r="L82" s="1556"/>
      <c r="M82" s="1556"/>
      <c r="N82" s="1065"/>
      <c r="O82" s="1065"/>
      <c r="P82" s="1065"/>
      <c r="Q82" s="1065"/>
      <c r="R82" s="1556"/>
      <c r="S82" s="1065"/>
      <c r="T82" s="1065"/>
      <c r="U82" s="467"/>
      <c r="V82" s="1065"/>
      <c r="W82" s="1065"/>
      <c r="X82" s="1065"/>
      <c r="Y82" s="1065"/>
      <c r="Z82" s="1065"/>
      <c r="AA82" s="1552"/>
      <c r="AB82" s="489"/>
      <c r="AC82" s="489"/>
      <c r="AD82" s="489"/>
      <c r="AE82" s="489"/>
    </row>
    <row r="83" spans="1:31" s="1561" customFormat="1" ht="11.25" customHeight="1">
      <c r="A83" s="898"/>
      <c r="B83" s="1556"/>
      <c r="C83" s="1556"/>
      <c r="D83" s="272"/>
      <c r="K83" s="1065"/>
      <c r="L83" s="1556"/>
      <c r="M83" s="1556"/>
      <c r="N83" s="1065"/>
      <c r="O83" s="1065"/>
      <c r="P83" s="1065"/>
      <c r="Q83" s="1065"/>
      <c r="R83" s="1556"/>
      <c r="S83" s="1065"/>
      <c r="T83" s="1065"/>
      <c r="U83" s="467"/>
      <c r="V83" s="1065"/>
      <c r="W83" s="1065"/>
      <c r="X83" s="1065"/>
      <c r="Y83" s="1065"/>
      <c r="Z83" s="1065"/>
      <c r="AA83" s="1552"/>
      <c r="AB83" s="489"/>
      <c r="AC83" s="489"/>
      <c r="AD83" s="489"/>
      <c r="AE83" s="489"/>
    </row>
    <row r="84" spans="1:31" s="1561" customFormat="1" ht="11.25" customHeight="1">
      <c r="A84" s="898"/>
      <c r="B84" s="1556"/>
      <c r="C84" s="1556"/>
      <c r="D84" s="272"/>
      <c r="K84" s="1065"/>
      <c r="L84" s="1556"/>
      <c r="M84" s="1556"/>
      <c r="N84" s="1065"/>
      <c r="O84" s="1065"/>
      <c r="P84" s="1065"/>
      <c r="Q84" s="1065"/>
      <c r="R84" s="1556"/>
      <c r="S84" s="1065"/>
      <c r="T84" s="1065"/>
      <c r="U84" s="467"/>
      <c r="V84" s="1065"/>
      <c r="W84" s="1065"/>
      <c r="X84" s="1065"/>
      <c r="Y84" s="1065"/>
      <c r="Z84" s="1065"/>
      <c r="AA84" s="1552"/>
      <c r="AB84" s="489"/>
      <c r="AC84" s="489"/>
      <c r="AD84" s="489"/>
      <c r="AE84" s="489"/>
    </row>
    <row r="85" spans="1:31" s="1561" customFormat="1" ht="11.25" customHeight="1">
      <c r="A85" s="898"/>
      <c r="B85" s="1556"/>
      <c r="C85" s="1556"/>
      <c r="D85" s="272"/>
      <c r="K85" s="1065"/>
      <c r="L85" s="1556"/>
      <c r="M85" s="1556"/>
      <c r="N85" s="1065"/>
      <c r="O85" s="1065"/>
      <c r="P85" s="1065"/>
      <c r="Q85" s="1065"/>
      <c r="R85" s="1556"/>
      <c r="S85" s="1065"/>
      <c r="T85" s="1065"/>
      <c r="U85" s="467"/>
      <c r="V85" s="1065"/>
      <c r="W85" s="1065"/>
      <c r="X85" s="1065"/>
      <c r="Y85" s="1065"/>
      <c r="Z85" s="1065"/>
      <c r="AA85" s="1552"/>
      <c r="AB85" s="489"/>
      <c r="AC85" s="489"/>
      <c r="AD85" s="489"/>
      <c r="AE85" s="489"/>
    </row>
    <row r="86" spans="1:31" s="1561" customFormat="1" ht="11.25" customHeight="1">
      <c r="A86" s="898"/>
      <c r="B86" s="1556"/>
      <c r="C86" s="1556"/>
      <c r="D86" s="272"/>
      <c r="K86" s="1065"/>
      <c r="L86" s="1556"/>
      <c r="M86" s="1556"/>
      <c r="N86" s="1065"/>
      <c r="O86" s="1065"/>
      <c r="P86" s="1065"/>
      <c r="Q86" s="1065"/>
      <c r="R86" s="1556"/>
      <c r="S86" s="1065"/>
      <c r="T86" s="1065"/>
      <c r="U86" s="467"/>
      <c r="V86" s="1065"/>
      <c r="W86" s="1065"/>
      <c r="X86" s="1065"/>
      <c r="Y86" s="1065"/>
      <c r="Z86" s="1065"/>
      <c r="AA86" s="1552"/>
      <c r="AB86" s="489"/>
      <c r="AC86" s="489"/>
      <c r="AD86" s="489"/>
      <c r="AE86" s="489"/>
    </row>
    <row r="87" spans="1:31" s="1561" customFormat="1" ht="11.25" customHeight="1">
      <c r="A87" s="898"/>
      <c r="B87" s="1556"/>
      <c r="C87" s="1556"/>
      <c r="D87" s="272"/>
      <c r="K87" s="1065"/>
      <c r="L87" s="1556"/>
      <c r="M87" s="1556"/>
      <c r="N87" s="1065"/>
      <c r="O87" s="1065"/>
      <c r="P87" s="1065"/>
      <c r="Q87" s="1065"/>
      <c r="R87" s="1556"/>
      <c r="S87" s="1065"/>
      <c r="T87" s="1065"/>
      <c r="U87" s="467"/>
      <c r="V87" s="1065"/>
      <c r="W87" s="1065"/>
      <c r="X87" s="1065"/>
      <c r="Y87" s="1065"/>
      <c r="Z87" s="1065"/>
      <c r="AA87" s="1552"/>
      <c r="AB87" s="489"/>
      <c r="AC87" s="489"/>
      <c r="AD87" s="489"/>
      <c r="AE87" s="489"/>
    </row>
    <row r="88" spans="1:31" s="1561" customFormat="1" ht="11.25" customHeight="1">
      <c r="A88" s="898"/>
      <c r="B88" s="1556"/>
      <c r="C88" s="1556"/>
      <c r="D88" s="272"/>
      <c r="K88" s="1065"/>
      <c r="L88" s="1556"/>
      <c r="M88" s="1556"/>
      <c r="N88" s="1065"/>
      <c r="O88" s="1065"/>
      <c r="P88" s="1065"/>
      <c r="Q88" s="1065"/>
      <c r="R88" s="1556"/>
      <c r="S88" s="1065"/>
      <c r="T88" s="1065"/>
      <c r="U88" s="467"/>
      <c r="V88" s="1065"/>
      <c r="W88" s="1065"/>
      <c r="X88" s="1065"/>
      <c r="Y88" s="1065"/>
      <c r="Z88" s="1065"/>
      <c r="AA88" s="1552"/>
      <c r="AB88" s="489"/>
      <c r="AC88" s="489"/>
      <c r="AD88" s="489"/>
      <c r="AE88" s="489"/>
    </row>
    <row r="89" spans="1:31" s="1561" customFormat="1" ht="11.25" customHeight="1">
      <c r="A89" s="898"/>
      <c r="B89" s="1556"/>
      <c r="C89" s="1556"/>
      <c r="D89" s="272"/>
      <c r="K89" s="1065"/>
      <c r="L89" s="1556"/>
      <c r="M89" s="1556"/>
      <c r="N89" s="1065"/>
      <c r="O89" s="1065"/>
      <c r="P89" s="1065"/>
      <c r="Q89" s="1065"/>
      <c r="R89" s="1556"/>
      <c r="S89" s="1065"/>
      <c r="T89" s="1065"/>
      <c r="U89" s="467"/>
      <c r="V89" s="1065"/>
      <c r="W89" s="1065"/>
      <c r="X89" s="1065"/>
      <c r="Y89" s="1065"/>
      <c r="Z89" s="1065"/>
      <c r="AA89" s="1552"/>
      <c r="AB89" s="489"/>
      <c r="AC89" s="489"/>
      <c r="AD89" s="489"/>
      <c r="AE89" s="489"/>
    </row>
    <row r="90" spans="1:31" s="1561" customFormat="1" ht="11.25" customHeight="1">
      <c r="A90" s="898"/>
      <c r="B90" s="1556"/>
      <c r="C90" s="1556"/>
      <c r="D90" s="272"/>
      <c r="K90" s="1065"/>
      <c r="L90" s="1556"/>
      <c r="M90" s="1556"/>
      <c r="N90" s="1065"/>
      <c r="O90" s="1065"/>
      <c r="P90" s="1065"/>
      <c r="Q90" s="1065"/>
      <c r="R90" s="1556"/>
      <c r="S90" s="1065"/>
      <c r="T90" s="1065"/>
      <c r="U90" s="467"/>
      <c r="V90" s="1065"/>
      <c r="W90" s="1065"/>
      <c r="X90" s="1065"/>
      <c r="Y90" s="1065"/>
      <c r="Z90" s="1065"/>
      <c r="AA90" s="1552"/>
      <c r="AB90" s="489"/>
      <c r="AC90" s="489"/>
      <c r="AD90" s="489"/>
      <c r="AE90" s="489"/>
    </row>
    <row r="91" spans="1:31" s="1561" customFormat="1" ht="11.25" customHeight="1">
      <c r="A91" s="898"/>
      <c r="B91" s="1556"/>
      <c r="C91" s="1556"/>
      <c r="D91" s="272"/>
      <c r="K91" s="1065"/>
      <c r="L91" s="1556"/>
      <c r="M91" s="1556"/>
      <c r="N91" s="1065"/>
      <c r="O91" s="1065"/>
      <c r="P91" s="1065"/>
      <c r="Q91" s="1065"/>
      <c r="R91" s="1556"/>
      <c r="S91" s="1065"/>
      <c r="T91" s="1065"/>
      <c r="U91" s="467"/>
      <c r="V91" s="1065"/>
      <c r="W91" s="1065"/>
      <c r="X91" s="1065"/>
      <c r="Y91" s="1065"/>
      <c r="Z91" s="1065"/>
      <c r="AA91" s="1552"/>
      <c r="AB91" s="489"/>
      <c r="AC91" s="489"/>
      <c r="AD91" s="489"/>
      <c r="AE91" s="489"/>
    </row>
    <row r="92" spans="1:31" s="1561" customFormat="1" ht="11.25" customHeight="1">
      <c r="A92" s="898"/>
      <c r="B92" s="1556"/>
      <c r="C92" s="1556"/>
      <c r="D92" s="272"/>
      <c r="K92" s="1065"/>
      <c r="L92" s="1556"/>
      <c r="M92" s="1556"/>
      <c r="N92" s="1065"/>
      <c r="O92" s="1065"/>
      <c r="P92" s="1065"/>
      <c r="Q92" s="1065"/>
      <c r="R92" s="1556"/>
      <c r="S92" s="1065"/>
      <c r="T92" s="1065"/>
      <c r="U92" s="467"/>
      <c r="V92" s="1065"/>
      <c r="W92" s="1065"/>
      <c r="X92" s="1065"/>
      <c r="Y92" s="1065"/>
      <c r="Z92" s="1065"/>
      <c r="AA92" s="1552"/>
      <c r="AB92" s="489"/>
      <c r="AC92" s="489"/>
      <c r="AD92" s="489"/>
      <c r="AE92" s="489"/>
    </row>
    <row r="93" spans="1:31" s="1561" customFormat="1" ht="11.25" customHeight="1">
      <c r="A93" s="898"/>
      <c r="B93" s="1556"/>
      <c r="C93" s="1556"/>
      <c r="D93" s="272"/>
      <c r="K93" s="1065"/>
      <c r="L93" s="1556"/>
      <c r="M93" s="1556"/>
      <c r="N93" s="1065"/>
      <c r="O93" s="1065"/>
      <c r="P93" s="1065"/>
      <c r="Q93" s="1065"/>
      <c r="R93" s="1556"/>
      <c r="S93" s="1065"/>
      <c r="T93" s="1065"/>
      <c r="U93" s="467"/>
      <c r="V93" s="1065"/>
      <c r="W93" s="1065"/>
      <c r="X93" s="1065"/>
      <c r="Y93" s="1065"/>
      <c r="Z93" s="1065"/>
      <c r="AA93" s="1552"/>
      <c r="AB93" s="489"/>
      <c r="AC93" s="489"/>
      <c r="AD93" s="489"/>
      <c r="AE93" s="489"/>
    </row>
    <row r="94" spans="1:31" s="1561" customFormat="1" ht="11.25" customHeight="1">
      <c r="A94" s="898"/>
      <c r="B94" s="1556"/>
      <c r="C94" s="1556"/>
      <c r="D94" s="272"/>
      <c r="K94" s="1065"/>
      <c r="L94" s="1556"/>
      <c r="M94" s="1556"/>
      <c r="N94" s="1065"/>
      <c r="O94" s="1065"/>
      <c r="P94" s="1065"/>
      <c r="Q94" s="1065"/>
      <c r="R94" s="1556"/>
      <c r="S94" s="1065"/>
      <c r="T94" s="1065"/>
      <c r="U94" s="467"/>
      <c r="V94" s="1065"/>
      <c r="W94" s="1065"/>
      <c r="X94" s="1065"/>
      <c r="Y94" s="1065"/>
      <c r="Z94" s="1065"/>
      <c r="AA94" s="1552"/>
      <c r="AB94" s="489"/>
      <c r="AC94" s="489"/>
      <c r="AD94" s="489"/>
      <c r="AE94" s="489"/>
    </row>
    <row r="95" spans="1:31" s="1561" customFormat="1" ht="11.25" customHeight="1">
      <c r="A95" s="898"/>
      <c r="B95" s="1556"/>
      <c r="C95" s="1556"/>
      <c r="D95" s="272"/>
      <c r="K95" s="1065"/>
      <c r="L95" s="1556"/>
      <c r="M95" s="1556"/>
      <c r="N95" s="1065"/>
      <c r="O95" s="1065"/>
      <c r="P95" s="1065"/>
      <c r="Q95" s="1065"/>
      <c r="R95" s="1556"/>
      <c r="S95" s="1065"/>
      <c r="T95" s="1065"/>
      <c r="U95" s="467"/>
      <c r="V95" s="1065"/>
      <c r="W95" s="1065"/>
      <c r="X95" s="1065"/>
      <c r="Y95" s="1065"/>
      <c r="Z95" s="1065"/>
      <c r="AA95" s="1552"/>
      <c r="AB95" s="489"/>
      <c r="AC95" s="489"/>
      <c r="AD95" s="489"/>
      <c r="AE95" s="489"/>
    </row>
    <row r="96" spans="1:31" s="1561" customFormat="1" ht="11.25" customHeight="1">
      <c r="A96" s="898"/>
      <c r="B96" s="1556"/>
      <c r="C96" s="1556"/>
      <c r="D96" s="272"/>
      <c r="K96" s="1065"/>
      <c r="L96" s="1556"/>
      <c r="M96" s="1556"/>
      <c r="N96" s="1065"/>
      <c r="O96" s="1065"/>
      <c r="P96" s="1065"/>
      <c r="Q96" s="1065"/>
      <c r="R96" s="1556"/>
      <c r="S96" s="1065"/>
      <c r="T96" s="1065"/>
      <c r="U96" s="467"/>
      <c r="V96" s="1065"/>
      <c r="W96" s="1065"/>
      <c r="X96" s="1065"/>
      <c r="Y96" s="1065"/>
      <c r="Z96" s="1065"/>
      <c r="AA96" s="1552"/>
      <c r="AB96" s="489"/>
      <c r="AC96" s="489"/>
      <c r="AD96" s="489"/>
      <c r="AE96" s="489"/>
    </row>
    <row r="97" spans="1:31" s="1561" customFormat="1" ht="11.25" customHeight="1">
      <c r="A97" s="898"/>
      <c r="B97" s="1556"/>
      <c r="C97" s="1556"/>
      <c r="D97" s="272"/>
      <c r="K97" s="1065"/>
      <c r="L97" s="1556"/>
      <c r="M97" s="1556"/>
      <c r="N97" s="1065"/>
      <c r="O97" s="1065"/>
      <c r="P97" s="1065"/>
      <c r="Q97" s="1065"/>
      <c r="R97" s="1556"/>
      <c r="S97" s="1065"/>
      <c r="T97" s="1065"/>
      <c r="U97" s="467"/>
      <c r="V97" s="1065"/>
      <c r="W97" s="1065"/>
      <c r="X97" s="1065"/>
      <c r="Y97" s="1065"/>
      <c r="Z97" s="1065"/>
      <c r="AA97" s="1552"/>
      <c r="AB97" s="489"/>
      <c r="AC97" s="489"/>
      <c r="AD97" s="489"/>
      <c r="AE97" s="489"/>
    </row>
    <row r="98" spans="1:31" s="1561" customFormat="1" ht="11.25" customHeight="1">
      <c r="A98" s="898"/>
      <c r="B98" s="1556"/>
      <c r="C98" s="1556"/>
      <c r="D98" s="272"/>
      <c r="K98" s="1065"/>
      <c r="L98" s="1556"/>
      <c r="M98" s="1556"/>
      <c r="N98" s="1065"/>
      <c r="O98" s="1065"/>
      <c r="P98" s="1065"/>
      <c r="Q98" s="1065"/>
      <c r="R98" s="1556"/>
      <c r="S98" s="1065"/>
      <c r="T98" s="1065"/>
      <c r="U98" s="467"/>
      <c r="V98" s="1065"/>
      <c r="W98" s="1065"/>
      <c r="X98" s="1065"/>
      <c r="Y98" s="1065"/>
      <c r="Z98" s="1065"/>
      <c r="AA98" s="1552"/>
      <c r="AB98" s="489"/>
      <c r="AC98" s="489"/>
      <c r="AD98" s="489"/>
      <c r="AE98" s="489"/>
    </row>
    <row r="99" spans="1:31" s="1561" customFormat="1" ht="11.25" customHeight="1">
      <c r="A99" s="898"/>
      <c r="B99" s="1556"/>
      <c r="C99" s="1556"/>
      <c r="D99" s="272"/>
      <c r="K99" s="1065"/>
      <c r="L99" s="1556"/>
      <c r="M99" s="1556"/>
      <c r="N99" s="1065"/>
      <c r="O99" s="1065"/>
      <c r="P99" s="1065"/>
      <c r="Q99" s="1065"/>
      <c r="R99" s="1556"/>
      <c r="S99" s="1065"/>
      <c r="T99" s="1065"/>
      <c r="U99" s="467"/>
      <c r="V99" s="1065"/>
      <c r="W99" s="1065"/>
      <c r="X99" s="1065"/>
      <c r="Y99" s="1065"/>
      <c r="Z99" s="1065"/>
      <c r="AA99" s="1552"/>
      <c r="AB99" s="489"/>
      <c r="AC99" s="489"/>
      <c r="AD99" s="489"/>
      <c r="AE99" s="489"/>
    </row>
    <row r="100" spans="1:31" s="1561" customFormat="1" ht="11.25" customHeight="1">
      <c r="A100" s="898"/>
      <c r="B100" s="1556"/>
      <c r="C100" s="1556"/>
      <c r="D100" s="272"/>
      <c r="K100" s="1065"/>
      <c r="L100" s="1556"/>
      <c r="M100" s="1556"/>
      <c r="N100" s="1065"/>
      <c r="O100" s="1065"/>
      <c r="P100" s="1065"/>
      <c r="Q100" s="1065"/>
      <c r="R100" s="1556"/>
      <c r="S100" s="1065"/>
      <c r="T100" s="1065"/>
      <c r="U100" s="467"/>
      <c r="V100" s="1065"/>
      <c r="W100" s="1065"/>
      <c r="X100" s="1065"/>
      <c r="Y100" s="1065"/>
      <c r="Z100" s="1065"/>
      <c r="AA100" s="1552"/>
      <c r="AB100" s="489"/>
      <c r="AC100" s="489"/>
      <c r="AD100" s="489"/>
      <c r="AE100" s="489"/>
    </row>
    <row r="101" spans="1:31" s="1561" customFormat="1" ht="11.25" customHeight="1">
      <c r="A101" s="898"/>
      <c r="B101" s="1556"/>
      <c r="C101" s="1556"/>
      <c r="D101" s="272"/>
      <c r="K101" s="1065"/>
      <c r="L101" s="1556"/>
      <c r="M101" s="1556"/>
      <c r="N101" s="1065"/>
      <c r="O101" s="1065"/>
      <c r="P101" s="1065"/>
      <c r="Q101" s="1065"/>
      <c r="R101" s="1556"/>
      <c r="S101" s="1065"/>
      <c r="T101" s="1065"/>
      <c r="U101" s="467"/>
      <c r="V101" s="1065"/>
      <c r="W101" s="1065"/>
      <c r="X101" s="1065"/>
      <c r="Y101" s="1065"/>
      <c r="Z101" s="1065"/>
      <c r="AA101" s="1552"/>
      <c r="AB101" s="489"/>
      <c r="AC101" s="489"/>
      <c r="AD101" s="489"/>
      <c r="AE101" s="489"/>
    </row>
    <row r="102" spans="1:31" s="1561" customFormat="1" ht="11.25" customHeight="1">
      <c r="A102" s="898"/>
      <c r="B102" s="1556"/>
      <c r="C102" s="1556"/>
      <c r="D102" s="272"/>
      <c r="K102" s="1065"/>
      <c r="L102" s="1556"/>
      <c r="M102" s="1556"/>
      <c r="N102" s="1065"/>
      <c r="O102" s="1065"/>
      <c r="P102" s="1065"/>
      <c r="Q102" s="1065"/>
      <c r="R102" s="1556"/>
      <c r="S102" s="1065"/>
      <c r="T102" s="1065"/>
      <c r="U102" s="467"/>
      <c r="V102" s="1065"/>
      <c r="W102" s="1065"/>
      <c r="X102" s="1065"/>
      <c r="Y102" s="1065"/>
      <c r="Z102" s="1065"/>
      <c r="AA102" s="1552"/>
      <c r="AB102" s="489"/>
      <c r="AC102" s="489"/>
      <c r="AD102" s="489"/>
      <c r="AE102" s="489"/>
    </row>
    <row r="103" spans="1:31" s="1561" customFormat="1" ht="11.25" customHeight="1">
      <c r="A103" s="898"/>
      <c r="B103" s="1556"/>
      <c r="C103" s="1556"/>
      <c r="D103" s="272"/>
      <c r="K103" s="1065"/>
      <c r="L103" s="1556"/>
      <c r="M103" s="1556"/>
      <c r="N103" s="1065"/>
      <c r="O103" s="1065"/>
      <c r="P103" s="1065"/>
      <c r="Q103" s="1065"/>
      <c r="R103" s="1556"/>
      <c r="S103" s="1065"/>
      <c r="T103" s="1065"/>
      <c r="U103" s="467"/>
      <c r="V103" s="1065"/>
      <c r="W103" s="1065"/>
      <c r="X103" s="1065"/>
      <c r="Y103" s="1065"/>
      <c r="Z103" s="1065"/>
      <c r="AA103" s="1552"/>
      <c r="AB103" s="489"/>
      <c r="AC103" s="489"/>
      <c r="AD103" s="489"/>
      <c r="AE103" s="489"/>
    </row>
    <row r="104" spans="1:31" s="1561" customFormat="1" ht="11.25" customHeight="1">
      <c r="A104" s="898"/>
      <c r="B104" s="1556"/>
      <c r="C104" s="1556"/>
      <c r="D104" s="272"/>
      <c r="K104" s="1065"/>
      <c r="L104" s="1556"/>
      <c r="M104" s="1556"/>
      <c r="N104" s="1065"/>
      <c r="O104" s="1065"/>
      <c r="P104" s="1065"/>
      <c r="Q104" s="1065"/>
      <c r="R104" s="1556"/>
      <c r="S104" s="1065"/>
      <c r="T104" s="1065"/>
      <c r="U104" s="467"/>
      <c r="V104" s="1065"/>
      <c r="W104" s="1065"/>
      <c r="X104" s="1065"/>
      <c r="Y104" s="1065"/>
      <c r="Z104" s="1065"/>
      <c r="AA104" s="1552"/>
      <c r="AB104" s="489"/>
      <c r="AC104" s="489"/>
      <c r="AD104" s="489"/>
      <c r="AE104" s="489"/>
    </row>
    <row r="105" spans="1:31" s="1561" customFormat="1" ht="11.25" customHeight="1">
      <c r="A105" s="898"/>
      <c r="B105" s="1556"/>
      <c r="C105" s="1556"/>
      <c r="D105" s="272"/>
      <c r="K105" s="1065"/>
      <c r="L105" s="1556"/>
      <c r="M105" s="1556"/>
      <c r="N105" s="1065"/>
      <c r="O105" s="1065"/>
      <c r="P105" s="1065"/>
      <c r="Q105" s="1065"/>
      <c r="R105" s="1556"/>
      <c r="S105" s="1065"/>
      <c r="T105" s="1065"/>
      <c r="U105" s="467"/>
      <c r="V105" s="1065"/>
      <c r="W105" s="1065"/>
      <c r="X105" s="1065"/>
      <c r="Y105" s="1065"/>
      <c r="Z105" s="1065"/>
      <c r="AA105" s="1552"/>
      <c r="AB105" s="489"/>
      <c r="AC105" s="489"/>
      <c r="AD105" s="489"/>
      <c r="AE105" s="489"/>
    </row>
    <row r="106" spans="1:31" s="1561" customFormat="1" ht="11.25" customHeight="1">
      <c r="A106" s="898"/>
      <c r="B106" s="1556"/>
      <c r="C106" s="1556"/>
      <c r="D106" s="272"/>
      <c r="K106" s="1065"/>
      <c r="L106" s="1556"/>
      <c r="M106" s="1556"/>
      <c r="N106" s="1065"/>
      <c r="O106" s="1065"/>
      <c r="P106" s="1065"/>
      <c r="Q106" s="1065"/>
      <c r="R106" s="1556"/>
      <c r="S106" s="1065"/>
      <c r="T106" s="1065"/>
      <c r="U106" s="467"/>
      <c r="V106" s="1065"/>
      <c r="W106" s="1065"/>
      <c r="X106" s="1065"/>
      <c r="Y106" s="1065"/>
      <c r="Z106" s="1065"/>
      <c r="AA106" s="1552"/>
      <c r="AB106" s="489"/>
      <c r="AC106" s="489"/>
      <c r="AD106" s="489"/>
      <c r="AE106" s="489"/>
    </row>
    <row r="107" spans="1:31" s="1561" customFormat="1" ht="11.25" customHeight="1">
      <c r="A107" s="898"/>
      <c r="B107" s="1556"/>
      <c r="C107" s="1556"/>
      <c r="D107" s="272"/>
      <c r="K107" s="1065"/>
      <c r="L107" s="1556"/>
      <c r="M107" s="1556"/>
      <c r="N107" s="1065"/>
      <c r="O107" s="1065"/>
      <c r="P107" s="1065"/>
      <c r="Q107" s="1065"/>
      <c r="R107" s="1556"/>
      <c r="S107" s="1065"/>
      <c r="T107" s="1065"/>
      <c r="U107" s="467"/>
      <c r="V107" s="1065"/>
      <c r="W107" s="1065"/>
      <c r="X107" s="1065"/>
      <c r="Y107" s="1065"/>
      <c r="Z107" s="1065"/>
      <c r="AA107" s="1552"/>
      <c r="AB107" s="489"/>
      <c r="AC107" s="489"/>
      <c r="AD107" s="489"/>
      <c r="AE107" s="489"/>
    </row>
    <row r="108" spans="1:31" s="1561" customFormat="1" ht="11.25" customHeight="1">
      <c r="A108" s="898"/>
      <c r="B108" s="1556"/>
      <c r="C108" s="1556"/>
      <c r="D108" s="272"/>
      <c r="K108" s="1065"/>
      <c r="L108" s="1556"/>
      <c r="M108" s="1556"/>
      <c r="N108" s="1065"/>
      <c r="O108" s="1065"/>
      <c r="P108" s="1065"/>
      <c r="Q108" s="1065"/>
      <c r="R108" s="1556"/>
      <c r="S108" s="1065"/>
      <c r="T108" s="1065"/>
      <c r="U108" s="467"/>
      <c r="V108" s="1065"/>
      <c r="W108" s="1065"/>
      <c r="X108" s="1065"/>
      <c r="Y108" s="1065"/>
      <c r="Z108" s="1065"/>
      <c r="AA108" s="1552"/>
      <c r="AB108" s="489"/>
      <c r="AC108" s="489"/>
      <c r="AD108" s="489"/>
      <c r="AE108" s="489"/>
    </row>
    <row r="109" spans="1:31" s="1561" customFormat="1" ht="11.25" customHeight="1">
      <c r="A109" s="898"/>
      <c r="B109" s="1556"/>
      <c r="C109" s="1556"/>
      <c r="D109" s="272"/>
      <c r="K109" s="1065"/>
      <c r="L109" s="1556"/>
      <c r="M109" s="1556"/>
      <c r="N109" s="1065"/>
      <c r="O109" s="1065"/>
      <c r="P109" s="1065"/>
      <c r="Q109" s="1065"/>
      <c r="R109" s="1556"/>
      <c r="S109" s="1065"/>
      <c r="T109" s="1065"/>
      <c r="U109" s="467"/>
      <c r="V109" s="1065"/>
      <c r="W109" s="1065"/>
      <c r="X109" s="1065"/>
      <c r="Y109" s="1065"/>
      <c r="Z109" s="1065"/>
      <c r="AA109" s="1552"/>
      <c r="AB109" s="489"/>
      <c r="AC109" s="489"/>
      <c r="AD109" s="489"/>
      <c r="AE109" s="489"/>
    </row>
    <row r="110" spans="1:31" s="1561" customFormat="1" ht="11.25" customHeight="1">
      <c r="A110" s="898"/>
      <c r="B110" s="1556"/>
      <c r="C110" s="1556"/>
      <c r="D110" s="272"/>
      <c r="K110" s="1065"/>
      <c r="L110" s="1556"/>
      <c r="M110" s="1556"/>
      <c r="N110" s="1065"/>
      <c r="O110" s="1065"/>
      <c r="P110" s="1065"/>
      <c r="Q110" s="1065"/>
      <c r="R110" s="1556"/>
      <c r="S110" s="1065"/>
      <c r="T110" s="1065"/>
      <c r="U110" s="467"/>
      <c r="V110" s="1065"/>
      <c r="W110" s="1065"/>
      <c r="X110" s="1065"/>
      <c r="Y110" s="1065"/>
      <c r="Z110" s="1065"/>
      <c r="AA110" s="1552"/>
      <c r="AB110" s="489"/>
      <c r="AC110" s="489"/>
      <c r="AD110" s="489"/>
      <c r="AE110" s="489"/>
    </row>
    <row r="111" spans="1:31" s="1561" customFormat="1" ht="11.25" customHeight="1">
      <c r="A111" s="898"/>
      <c r="B111" s="1556"/>
      <c r="C111" s="1556"/>
      <c r="D111" s="272"/>
      <c r="K111" s="1065"/>
      <c r="L111" s="1556"/>
      <c r="M111" s="1556"/>
      <c r="N111" s="1065"/>
      <c r="O111" s="1065"/>
      <c r="P111" s="1065"/>
      <c r="Q111" s="1065"/>
      <c r="R111" s="1556"/>
      <c r="S111" s="1065"/>
      <c r="T111" s="1065"/>
      <c r="U111" s="467"/>
      <c r="V111" s="1065"/>
      <c r="W111" s="1065"/>
      <c r="X111" s="1065"/>
      <c r="Y111" s="1065"/>
      <c r="Z111" s="1065"/>
      <c r="AA111" s="1552"/>
      <c r="AB111" s="489"/>
      <c r="AC111" s="489"/>
      <c r="AD111" s="489"/>
      <c r="AE111" s="489"/>
    </row>
    <row r="112" spans="1:31" s="1561" customFormat="1" ht="11.25" customHeight="1">
      <c r="A112" s="898"/>
      <c r="B112" s="1556"/>
      <c r="C112" s="1556"/>
      <c r="D112" s="272"/>
      <c r="K112" s="1065"/>
      <c r="L112" s="1556"/>
      <c r="M112" s="1556"/>
      <c r="N112" s="1065"/>
      <c r="O112" s="1065"/>
      <c r="P112" s="1065"/>
      <c r="Q112" s="1065"/>
      <c r="R112" s="1556"/>
      <c r="S112" s="1065"/>
      <c r="T112" s="1065"/>
      <c r="U112" s="467"/>
      <c r="V112" s="1065"/>
      <c r="W112" s="1065"/>
      <c r="X112" s="1065"/>
      <c r="Y112" s="1065"/>
      <c r="Z112" s="1065"/>
      <c r="AA112" s="1552"/>
      <c r="AB112" s="489"/>
      <c r="AC112" s="489"/>
      <c r="AD112" s="489"/>
      <c r="AE112" s="489"/>
    </row>
    <row r="113" spans="1:31" s="1561" customFormat="1" ht="11.25" customHeight="1">
      <c r="A113" s="898"/>
      <c r="B113" s="1556"/>
      <c r="C113" s="1556"/>
      <c r="D113" s="272"/>
      <c r="K113" s="1065"/>
      <c r="L113" s="1556"/>
      <c r="M113" s="1556"/>
      <c r="N113" s="1065"/>
      <c r="O113" s="1065"/>
      <c r="P113" s="1065"/>
      <c r="Q113" s="1065"/>
      <c r="R113" s="1556"/>
      <c r="S113" s="1065"/>
      <c r="T113" s="1065"/>
      <c r="U113" s="467"/>
      <c r="V113" s="1065"/>
      <c r="W113" s="1065"/>
      <c r="X113" s="1065"/>
      <c r="Y113" s="1065"/>
      <c r="Z113" s="1065"/>
      <c r="AA113" s="1552"/>
      <c r="AB113" s="489"/>
      <c r="AC113" s="489"/>
      <c r="AD113" s="489"/>
      <c r="AE113" s="489"/>
    </row>
    <row r="114" spans="1:31" s="1561" customFormat="1" ht="11.25" customHeight="1">
      <c r="A114" s="898"/>
      <c r="B114" s="1556"/>
      <c r="C114" s="1556"/>
      <c r="D114" s="272"/>
      <c r="K114" s="1065"/>
      <c r="L114" s="1556"/>
      <c r="M114" s="1556"/>
      <c r="N114" s="1065"/>
      <c r="O114" s="1065"/>
      <c r="P114" s="1065"/>
      <c r="Q114" s="1065"/>
      <c r="R114" s="1556"/>
      <c r="S114" s="1065"/>
      <c r="T114" s="1065"/>
      <c r="U114" s="467"/>
      <c r="V114" s="1065"/>
      <c r="W114" s="1065"/>
      <c r="X114" s="1065"/>
      <c r="Y114" s="1065"/>
      <c r="Z114" s="1065"/>
      <c r="AA114" s="1552"/>
      <c r="AB114" s="489"/>
      <c r="AC114" s="489"/>
      <c r="AD114" s="489"/>
      <c r="AE114" s="489"/>
    </row>
    <row r="115" spans="1:31" s="1561" customFormat="1" ht="11.25" customHeight="1">
      <c r="A115" s="898"/>
      <c r="B115" s="1556"/>
      <c r="C115" s="1556"/>
      <c r="D115" s="272"/>
      <c r="K115" s="1065"/>
      <c r="L115" s="1556"/>
      <c r="M115" s="1556"/>
      <c r="N115" s="1065"/>
      <c r="O115" s="1065"/>
      <c r="P115" s="1065"/>
      <c r="Q115" s="1065"/>
      <c r="R115" s="1556"/>
      <c r="S115" s="1065"/>
      <c r="T115" s="1065"/>
      <c r="U115" s="467"/>
      <c r="V115" s="1065"/>
      <c r="W115" s="1065"/>
      <c r="X115" s="1065"/>
      <c r="Y115" s="1065"/>
      <c r="Z115" s="1065"/>
      <c r="AA115" s="1552"/>
      <c r="AB115" s="489"/>
      <c r="AC115" s="489"/>
      <c r="AD115" s="489"/>
      <c r="AE115" s="489"/>
    </row>
    <row r="116" spans="1:31" s="1561" customFormat="1" ht="11.25" customHeight="1">
      <c r="A116" s="898"/>
      <c r="B116" s="1556"/>
      <c r="C116" s="1556"/>
      <c r="D116" s="272"/>
      <c r="K116" s="1065"/>
      <c r="L116" s="1556"/>
      <c r="M116" s="1556"/>
      <c r="N116" s="1065"/>
      <c r="O116" s="1065"/>
      <c r="P116" s="1065"/>
      <c r="Q116" s="1065"/>
      <c r="R116" s="1556"/>
      <c r="S116" s="1065"/>
      <c r="T116" s="1065"/>
      <c r="U116" s="467"/>
      <c r="V116" s="1065"/>
      <c r="W116" s="1065"/>
      <c r="X116" s="1065"/>
      <c r="Y116" s="1065"/>
      <c r="Z116" s="1065"/>
      <c r="AA116" s="1552"/>
      <c r="AB116" s="489"/>
      <c r="AC116" s="489"/>
      <c r="AD116" s="489"/>
      <c r="AE116" s="489"/>
    </row>
    <row r="117" spans="1:31" s="1561" customFormat="1" ht="11.25" customHeight="1">
      <c r="A117" s="898"/>
      <c r="B117" s="1556"/>
      <c r="C117" s="1556"/>
      <c r="D117" s="272"/>
      <c r="K117" s="1065"/>
      <c r="L117" s="1556"/>
      <c r="M117" s="1556"/>
      <c r="N117" s="1065"/>
      <c r="O117" s="1065"/>
      <c r="P117" s="1065"/>
      <c r="Q117" s="1065"/>
      <c r="R117" s="1556"/>
      <c r="S117" s="1065"/>
      <c r="T117" s="1065"/>
      <c r="U117" s="467"/>
      <c r="V117" s="1065"/>
      <c r="W117" s="1065"/>
      <c r="X117" s="1065"/>
      <c r="Y117" s="1065"/>
      <c r="Z117" s="1065"/>
      <c r="AA117" s="1552"/>
      <c r="AB117" s="489"/>
      <c r="AC117" s="489"/>
      <c r="AD117" s="489"/>
      <c r="AE117" s="489"/>
    </row>
    <row r="118" spans="1:31" s="1561" customFormat="1" ht="11.25" customHeight="1">
      <c r="A118" s="898"/>
      <c r="B118" s="1556"/>
      <c r="C118" s="1556"/>
      <c r="D118" s="272"/>
      <c r="K118" s="1065"/>
      <c r="L118" s="1556"/>
      <c r="M118" s="1556"/>
      <c r="N118" s="1065"/>
      <c r="O118" s="1065"/>
      <c r="P118" s="1065"/>
      <c r="Q118" s="1065"/>
      <c r="R118" s="1556"/>
      <c r="S118" s="1065"/>
      <c r="T118" s="1065"/>
      <c r="U118" s="467"/>
      <c r="V118" s="1065"/>
      <c r="W118" s="1065"/>
      <c r="X118" s="1065"/>
      <c r="Y118" s="1065"/>
      <c r="Z118" s="1065"/>
      <c r="AA118" s="1552"/>
      <c r="AB118" s="489"/>
      <c r="AC118" s="489"/>
      <c r="AD118" s="489"/>
      <c r="AE118" s="489"/>
    </row>
    <row r="119" spans="1:31" s="1561" customFormat="1" ht="11.25" customHeight="1">
      <c r="A119" s="898"/>
      <c r="B119" s="1556"/>
      <c r="C119" s="1556"/>
      <c r="D119" s="272"/>
      <c r="K119" s="1065"/>
      <c r="L119" s="1556"/>
      <c r="M119" s="1556"/>
      <c r="N119" s="1065"/>
      <c r="O119" s="1065"/>
      <c r="P119" s="1065"/>
      <c r="Q119" s="1065"/>
      <c r="R119" s="1556"/>
      <c r="S119" s="1065"/>
      <c r="T119" s="1065"/>
      <c r="U119" s="467"/>
      <c r="V119" s="1065"/>
      <c r="W119" s="1065"/>
      <c r="X119" s="1065"/>
      <c r="Y119" s="1065"/>
      <c r="Z119" s="1065"/>
      <c r="AA119" s="1552"/>
      <c r="AB119" s="489"/>
      <c r="AC119" s="489"/>
      <c r="AD119" s="489"/>
      <c r="AE119" s="489"/>
    </row>
    <row r="120" spans="1:31" s="1561" customFormat="1" ht="11.25" customHeight="1">
      <c r="A120" s="898"/>
      <c r="B120" s="1556"/>
      <c r="C120" s="1556"/>
      <c r="D120" s="272"/>
      <c r="K120" s="1065"/>
      <c r="L120" s="1556"/>
      <c r="M120" s="1556"/>
      <c r="N120" s="1065"/>
      <c r="O120" s="1065"/>
      <c r="P120" s="1065"/>
      <c r="Q120" s="1065"/>
      <c r="R120" s="1556"/>
      <c r="S120" s="1065"/>
      <c r="T120" s="1065"/>
      <c r="U120" s="467"/>
      <c r="V120" s="1065"/>
      <c r="W120" s="1065"/>
      <c r="X120" s="1065"/>
      <c r="Y120" s="1065"/>
      <c r="Z120" s="1065"/>
      <c r="AA120" s="1552"/>
      <c r="AB120" s="489"/>
      <c r="AC120" s="489"/>
      <c r="AD120" s="489"/>
      <c r="AE120" s="489"/>
    </row>
    <row r="121" spans="1:31" s="1561" customFormat="1" ht="11.25" customHeight="1">
      <c r="A121" s="898"/>
      <c r="B121" s="1556"/>
      <c r="C121" s="1556"/>
      <c r="D121" s="272"/>
      <c r="K121" s="1065"/>
      <c r="L121" s="1556"/>
      <c r="M121" s="1556"/>
      <c r="N121" s="1065"/>
      <c r="O121" s="1065"/>
      <c r="P121" s="1065"/>
      <c r="Q121" s="1065"/>
      <c r="R121" s="1556"/>
      <c r="S121" s="1065"/>
      <c r="T121" s="1065"/>
      <c r="U121" s="467"/>
      <c r="V121" s="1065"/>
      <c r="W121" s="1065"/>
      <c r="X121" s="1065"/>
      <c r="Y121" s="1065"/>
      <c r="Z121" s="1065"/>
      <c r="AA121" s="1552"/>
      <c r="AB121" s="489"/>
      <c r="AC121" s="489"/>
      <c r="AD121" s="489"/>
      <c r="AE121" s="489"/>
    </row>
    <row r="122" spans="1:31" s="1561" customFormat="1" ht="11.25" customHeight="1">
      <c r="A122" s="898"/>
      <c r="B122" s="1556"/>
      <c r="C122" s="1556"/>
      <c r="D122" s="272"/>
      <c r="K122" s="1065"/>
      <c r="L122" s="1556"/>
      <c r="M122" s="1556"/>
      <c r="N122" s="1065"/>
      <c r="O122" s="1065"/>
      <c r="P122" s="1065"/>
      <c r="Q122" s="1065"/>
      <c r="R122" s="1556"/>
      <c r="S122" s="1065"/>
      <c r="T122" s="1065"/>
      <c r="U122" s="467"/>
      <c r="V122" s="1065"/>
      <c r="W122" s="1065"/>
      <c r="X122" s="1065"/>
      <c r="Y122" s="1065"/>
      <c r="Z122" s="1065"/>
      <c r="AA122" s="1552"/>
      <c r="AB122" s="489"/>
      <c r="AC122" s="489"/>
      <c r="AD122" s="489"/>
      <c r="AE122" s="489"/>
    </row>
    <row r="123" spans="1:31" s="1561" customFormat="1" ht="11.25" customHeight="1">
      <c r="A123" s="898"/>
      <c r="B123" s="1556"/>
      <c r="C123" s="1556"/>
      <c r="D123" s="272"/>
      <c r="K123" s="1065"/>
      <c r="L123" s="1556"/>
      <c r="M123" s="1556"/>
      <c r="N123" s="1065"/>
      <c r="O123" s="1065"/>
      <c r="P123" s="1065"/>
      <c r="Q123" s="1065"/>
      <c r="R123" s="1556"/>
      <c r="S123" s="1065"/>
      <c r="T123" s="1065"/>
      <c r="U123" s="467"/>
      <c r="V123" s="1065"/>
      <c r="W123" s="1065"/>
      <c r="X123" s="1065"/>
      <c r="Y123" s="1065"/>
      <c r="Z123" s="1065"/>
      <c r="AA123" s="1552"/>
      <c r="AB123" s="489"/>
      <c r="AC123" s="489"/>
      <c r="AD123" s="489"/>
      <c r="AE123" s="489"/>
    </row>
    <row r="124" spans="1:31" s="1561" customFormat="1" ht="11.25" customHeight="1">
      <c r="A124" s="898"/>
      <c r="B124" s="1556"/>
      <c r="C124" s="1556"/>
      <c r="D124" s="272"/>
      <c r="K124" s="1065"/>
      <c r="L124" s="1556"/>
      <c r="M124" s="1556"/>
      <c r="N124" s="1065"/>
      <c r="O124" s="1065"/>
      <c r="P124" s="1065"/>
      <c r="Q124" s="1065"/>
      <c r="R124" s="1556"/>
      <c r="S124" s="1065"/>
      <c r="T124" s="1065"/>
      <c r="U124" s="467"/>
      <c r="V124" s="1065"/>
      <c r="W124" s="1065"/>
      <c r="X124" s="1065"/>
      <c r="Y124" s="1065"/>
      <c r="Z124" s="1065"/>
      <c r="AA124" s="1552"/>
      <c r="AB124" s="489"/>
      <c r="AC124" s="489"/>
      <c r="AD124" s="489"/>
      <c r="AE124" s="489"/>
    </row>
    <row r="125" spans="1:31" s="1561" customFormat="1" ht="11.25" customHeight="1">
      <c r="A125" s="898"/>
      <c r="B125" s="1556"/>
      <c r="C125" s="1556"/>
      <c r="D125" s="272"/>
      <c r="K125" s="1065"/>
      <c r="L125" s="1556"/>
      <c r="M125" s="1556"/>
      <c r="N125" s="1065"/>
      <c r="O125" s="1065"/>
      <c r="P125" s="1065"/>
      <c r="Q125" s="1065"/>
      <c r="R125" s="1556"/>
      <c r="S125" s="1065"/>
      <c r="T125" s="1065"/>
      <c r="U125" s="467"/>
      <c r="V125" s="1065"/>
      <c r="W125" s="1065"/>
      <c r="X125" s="1065"/>
      <c r="Y125" s="1065"/>
      <c r="Z125" s="1065"/>
      <c r="AA125" s="1552"/>
      <c r="AB125" s="489"/>
      <c r="AC125" s="489"/>
      <c r="AD125" s="489"/>
      <c r="AE125" s="489"/>
    </row>
    <row r="126" spans="1:31" s="1561" customFormat="1" ht="11.25" customHeight="1">
      <c r="A126" s="898"/>
      <c r="B126" s="1556"/>
      <c r="C126" s="1556"/>
      <c r="D126" s="272"/>
      <c r="K126" s="1065"/>
      <c r="L126" s="1556"/>
      <c r="M126" s="1556"/>
      <c r="N126" s="1065"/>
      <c r="O126" s="1065"/>
      <c r="P126" s="1065"/>
      <c r="Q126" s="1065"/>
      <c r="R126" s="1556"/>
      <c r="S126" s="1065"/>
      <c r="T126" s="1065"/>
      <c r="U126" s="467"/>
      <c r="V126" s="1065"/>
      <c r="W126" s="1065"/>
      <c r="X126" s="1065"/>
      <c r="Y126" s="1065"/>
      <c r="Z126" s="1065"/>
      <c r="AA126" s="1552"/>
      <c r="AB126" s="489"/>
      <c r="AC126" s="489"/>
      <c r="AD126" s="489"/>
      <c r="AE126" s="489"/>
    </row>
    <row r="127" spans="1:31" s="1561" customFormat="1" ht="11.25" customHeight="1">
      <c r="A127" s="898"/>
      <c r="B127" s="1556"/>
      <c r="C127" s="1556"/>
      <c r="D127" s="272"/>
      <c r="K127" s="1065"/>
      <c r="L127" s="1556"/>
      <c r="M127" s="1556"/>
      <c r="N127" s="1065"/>
      <c r="O127" s="1065"/>
      <c r="P127" s="1065"/>
      <c r="Q127" s="1065"/>
      <c r="R127" s="1556"/>
      <c r="S127" s="1065"/>
      <c r="T127" s="1065"/>
      <c r="U127" s="467"/>
      <c r="V127" s="1065"/>
      <c r="W127" s="1065"/>
      <c r="X127" s="1065"/>
      <c r="Y127" s="1065"/>
      <c r="Z127" s="1065"/>
      <c r="AA127" s="1552"/>
      <c r="AB127" s="489"/>
      <c r="AC127" s="489"/>
      <c r="AD127" s="489"/>
      <c r="AE127" s="489"/>
    </row>
    <row r="128" spans="1:31" s="1561" customFormat="1" ht="11.25" customHeight="1">
      <c r="A128" s="898"/>
      <c r="B128" s="1556"/>
      <c r="C128" s="1556"/>
      <c r="D128" s="272"/>
      <c r="K128" s="1065"/>
      <c r="L128" s="1556"/>
      <c r="M128" s="1556"/>
      <c r="N128" s="1065"/>
      <c r="O128" s="1065"/>
      <c r="P128" s="1065"/>
      <c r="Q128" s="1065"/>
      <c r="R128" s="1556"/>
      <c r="S128" s="1065"/>
      <c r="T128" s="1065"/>
      <c r="U128" s="467"/>
      <c r="V128" s="1065"/>
      <c r="W128" s="1065"/>
      <c r="X128" s="1065"/>
      <c r="Y128" s="1065"/>
      <c r="Z128" s="1065"/>
      <c r="AA128" s="1552"/>
      <c r="AB128" s="489"/>
      <c r="AC128" s="489"/>
      <c r="AD128" s="489"/>
      <c r="AE128" s="489"/>
    </row>
    <row r="129" spans="1:31" s="1561" customFormat="1" ht="11.25" customHeight="1">
      <c r="A129" s="898"/>
      <c r="B129" s="1556"/>
      <c r="C129" s="1556"/>
      <c r="D129" s="272"/>
      <c r="K129" s="1065"/>
      <c r="L129" s="1556"/>
      <c r="M129" s="1556"/>
      <c r="N129" s="1065"/>
      <c r="O129" s="1065"/>
      <c r="P129" s="1065"/>
      <c r="Q129" s="1065"/>
      <c r="R129" s="1556"/>
      <c r="S129" s="1065"/>
      <c r="T129" s="1065"/>
      <c r="U129" s="467"/>
      <c r="V129" s="1065"/>
      <c r="W129" s="1065"/>
      <c r="X129" s="1065"/>
      <c r="Y129" s="1065"/>
      <c r="Z129" s="1065"/>
      <c r="AA129" s="1552"/>
      <c r="AB129" s="489"/>
      <c r="AC129" s="489"/>
      <c r="AD129" s="489"/>
      <c r="AE129" s="489"/>
    </row>
    <row r="130" spans="1:31" s="1561" customFormat="1" ht="11.25" customHeight="1">
      <c r="A130" s="898"/>
      <c r="B130" s="1556"/>
      <c r="C130" s="1556"/>
      <c r="D130" s="272"/>
      <c r="K130" s="1065"/>
      <c r="L130" s="1556"/>
      <c r="M130" s="1556"/>
      <c r="N130" s="1065"/>
      <c r="O130" s="1065"/>
      <c r="P130" s="1065"/>
      <c r="Q130" s="1065"/>
      <c r="R130" s="1556"/>
      <c r="S130" s="1065"/>
      <c r="T130" s="1065"/>
      <c r="U130" s="467"/>
      <c r="V130" s="1065"/>
      <c r="W130" s="1065"/>
      <c r="X130" s="1065"/>
      <c r="Y130" s="1065"/>
      <c r="Z130" s="1065"/>
      <c r="AA130" s="1552"/>
      <c r="AB130" s="489"/>
      <c r="AC130" s="489"/>
      <c r="AD130" s="489"/>
      <c r="AE130" s="489"/>
    </row>
    <row r="131" spans="1:31" s="1561" customFormat="1" ht="11.25" customHeight="1">
      <c r="A131" s="898"/>
      <c r="B131" s="1556"/>
      <c r="C131" s="1556"/>
      <c r="D131" s="272"/>
      <c r="K131" s="1065"/>
      <c r="L131" s="1556"/>
      <c r="M131" s="1556"/>
      <c r="N131" s="1065"/>
      <c r="O131" s="1065"/>
      <c r="P131" s="1065"/>
      <c r="Q131" s="1065"/>
      <c r="R131" s="1556"/>
      <c r="S131" s="1065"/>
      <c r="T131" s="1065"/>
      <c r="U131" s="467"/>
      <c r="V131" s="1065"/>
      <c r="W131" s="1065"/>
      <c r="X131" s="1065"/>
      <c r="Y131" s="1065"/>
      <c r="Z131" s="1065"/>
      <c r="AA131" s="1552"/>
      <c r="AB131" s="489"/>
      <c r="AC131" s="489"/>
      <c r="AD131" s="489"/>
      <c r="AE131" s="489"/>
    </row>
    <row r="132" spans="1:31" s="1561" customFormat="1" ht="11.25" customHeight="1">
      <c r="A132" s="898"/>
      <c r="B132" s="1556"/>
      <c r="C132" s="1556"/>
      <c r="D132" s="272"/>
      <c r="K132" s="1065"/>
      <c r="L132" s="1556"/>
      <c r="M132" s="1556"/>
      <c r="N132" s="1065"/>
      <c r="O132" s="1065"/>
      <c r="P132" s="1065"/>
      <c r="Q132" s="1065"/>
      <c r="R132" s="1556"/>
      <c r="S132" s="1065"/>
      <c r="T132" s="1065"/>
      <c r="U132" s="467"/>
      <c r="V132" s="1065"/>
      <c r="W132" s="1065"/>
      <c r="X132" s="1065"/>
      <c r="Y132" s="1065"/>
      <c r="Z132" s="1065"/>
      <c r="AA132" s="1552"/>
      <c r="AB132" s="489"/>
      <c r="AC132" s="489"/>
      <c r="AD132" s="489"/>
      <c r="AE132" s="489"/>
    </row>
    <row r="133" spans="1:31" s="1561" customFormat="1" ht="11.25" customHeight="1">
      <c r="A133" s="898"/>
      <c r="B133" s="1556"/>
      <c r="C133" s="1556"/>
      <c r="D133" s="272"/>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6" spans="1:31" s="1561" customFormat="1" ht="11.25" customHeight="1">
      <c r="A196" s="898"/>
      <c r="B196" s="1556"/>
      <c r="C196" s="1556"/>
      <c r="D196" s="272"/>
      <c r="K196" s="1065"/>
      <c r="L196" s="1556"/>
      <c r="M196" s="1556"/>
      <c r="N196" s="1065"/>
      <c r="O196" s="1065"/>
      <c r="P196" s="1065"/>
      <c r="Q196" s="1065"/>
      <c r="R196" s="1556"/>
      <c r="S196" s="1065"/>
      <c r="T196" s="1065"/>
      <c r="U196" s="467"/>
      <c r="V196" s="1065"/>
      <c r="W196" s="1065"/>
      <c r="X196" s="1065"/>
      <c r="Y196" s="1065"/>
      <c r="Z196" s="1065"/>
      <c r="AA196" s="1552"/>
      <c r="AB196" s="489"/>
      <c r="AC196" s="489"/>
      <c r="AD196" s="489"/>
      <c r="AE196" s="489"/>
    </row>
    <row r="197" spans="1:31" s="1561" customFormat="1" ht="11.25" customHeight="1">
      <c r="A197" s="898"/>
      <c r="B197" s="1556"/>
      <c r="C197" s="1556"/>
      <c r="D197" s="272"/>
      <c r="K197" s="1065"/>
      <c r="L197" s="1556"/>
      <c r="M197" s="1556"/>
      <c r="N197" s="1065"/>
      <c r="O197" s="1065"/>
      <c r="P197" s="1065"/>
      <c r="Q197" s="1065"/>
      <c r="R197" s="1556"/>
      <c r="S197" s="1065"/>
      <c r="T197" s="1065"/>
      <c r="U197" s="467"/>
      <c r="V197" s="1065"/>
      <c r="W197" s="1065"/>
      <c r="X197" s="1065"/>
      <c r="Y197" s="1065"/>
      <c r="Z197" s="1065"/>
      <c r="AA197" s="1552"/>
      <c r="AB197" s="489"/>
      <c r="AC197" s="489"/>
      <c r="AD197" s="489"/>
      <c r="AE197" s="489"/>
    </row>
    <row r="198" spans="1:31" s="1561" customFormat="1" ht="11.25" customHeight="1">
      <c r="A198" s="898"/>
      <c r="B198" s="1556"/>
      <c r="C198" s="1556"/>
      <c r="D198" s="272"/>
      <c r="K198" s="1065"/>
      <c r="L198" s="1556"/>
      <c r="M198" s="1556"/>
      <c r="N198" s="1065"/>
      <c r="O198" s="1065"/>
      <c r="P198" s="1065"/>
      <c r="Q198" s="1065"/>
      <c r="R198" s="1556"/>
      <c r="S198" s="1065"/>
      <c r="T198" s="1065"/>
      <c r="U198" s="467"/>
      <c r="V198" s="1065"/>
      <c r="W198" s="1065"/>
      <c r="X198" s="1065"/>
      <c r="Y198" s="1065"/>
      <c r="Z198" s="1065"/>
      <c r="AA198" s="1552"/>
      <c r="AB198" s="489"/>
      <c r="AC198" s="489"/>
      <c r="AD198" s="489"/>
      <c r="AE198" s="489"/>
    </row>
    <row r="199" spans="1:31" s="1561" customFormat="1" ht="11.25" customHeight="1">
      <c r="A199" s="898"/>
      <c r="B199" s="1556"/>
      <c r="C199" s="1556"/>
      <c r="D199" s="272"/>
      <c r="K199" s="1065"/>
      <c r="L199" s="1556"/>
      <c r="M199" s="1556"/>
      <c r="N199" s="1065"/>
      <c r="O199" s="1065"/>
      <c r="P199" s="1065"/>
      <c r="Q199" s="1065"/>
      <c r="R199" s="1556"/>
      <c r="S199" s="1065"/>
      <c r="T199" s="1065"/>
      <c r="U199" s="467"/>
      <c r="V199" s="1065"/>
      <c r="W199" s="1065"/>
      <c r="X199" s="1065"/>
      <c r="Y199" s="1065"/>
      <c r="Z199" s="1065"/>
      <c r="AA199" s="1552"/>
      <c r="AB199" s="489"/>
      <c r="AC199" s="489"/>
      <c r="AD199" s="489"/>
      <c r="AE199" s="489"/>
    </row>
    <row r="200" spans="1:31" s="1561" customFormat="1" ht="11.25" customHeight="1">
      <c r="A200" s="898"/>
      <c r="B200" s="1556"/>
      <c r="C200" s="1556"/>
      <c r="D200" s="272"/>
      <c r="K200" s="1065"/>
      <c r="L200" s="1556"/>
      <c r="M200" s="1556"/>
      <c r="N200" s="1065"/>
      <c r="O200" s="1065"/>
      <c r="P200" s="1065"/>
      <c r="Q200" s="1065"/>
      <c r="R200" s="1556"/>
      <c r="S200" s="1065"/>
      <c r="T200" s="1065"/>
      <c r="U200" s="467"/>
      <c r="V200" s="1065"/>
      <c r="W200" s="1065"/>
      <c r="X200" s="1065"/>
      <c r="Y200" s="1065"/>
      <c r="Z200" s="1065"/>
      <c r="AA200" s="1552"/>
      <c r="AB200" s="489"/>
      <c r="AC200" s="489"/>
      <c r="AD200" s="489"/>
      <c r="AE200" s="489"/>
    </row>
    <row r="201" spans="1:31" s="1561" customFormat="1" ht="11.25" customHeight="1">
      <c r="A201" s="898"/>
      <c r="B201" s="1556"/>
      <c r="C201" s="1556"/>
      <c r="D201" s="272"/>
      <c r="K201" s="1065"/>
      <c r="L201" s="1556"/>
      <c r="M201" s="1556"/>
      <c r="N201" s="1065"/>
      <c r="O201" s="1065"/>
      <c r="P201" s="1065"/>
      <c r="Q201" s="1065"/>
      <c r="R201" s="1556"/>
      <c r="S201" s="1065"/>
      <c r="T201" s="1065"/>
      <c r="U201" s="467"/>
      <c r="V201" s="1065"/>
      <c r="W201" s="1065"/>
      <c r="X201" s="1065"/>
      <c r="Y201" s="1065"/>
      <c r="Z201" s="1065"/>
      <c r="AA201" s="1552"/>
      <c r="AB201" s="489"/>
      <c r="AC201" s="489"/>
      <c r="AD201" s="489"/>
      <c r="AE201" s="489"/>
    </row>
    <row r="202" spans="1:31" s="1561" customFormat="1" ht="11.25" customHeight="1">
      <c r="A202" s="898"/>
      <c r="B202" s="1556"/>
      <c r="C202" s="1556"/>
      <c r="D202" s="272"/>
      <c r="K202" s="1065"/>
      <c r="L202" s="1556"/>
      <c r="M202" s="1556"/>
      <c r="N202" s="1065"/>
      <c r="O202" s="1065"/>
      <c r="P202" s="1065"/>
      <c r="Q202" s="1065"/>
      <c r="R202" s="1556"/>
      <c r="S202" s="1065"/>
      <c r="T202" s="1065"/>
      <c r="U202" s="467"/>
      <c r="V202" s="1065"/>
      <c r="W202" s="1065"/>
      <c r="X202" s="1065"/>
      <c r="Y202" s="1065"/>
      <c r="Z202" s="1065"/>
      <c r="AA202" s="1552"/>
      <c r="AB202" s="489"/>
      <c r="AC202" s="489"/>
      <c r="AD202" s="489"/>
      <c r="AE202" s="489"/>
    </row>
    <row r="203" spans="1:31" s="1561" customFormat="1" ht="11.25" customHeight="1">
      <c r="A203" s="898"/>
      <c r="B203" s="1556"/>
      <c r="C203" s="1556"/>
      <c r="D203" s="272"/>
      <c r="K203" s="1065"/>
      <c r="L203" s="1556"/>
      <c r="M203" s="1556"/>
      <c r="N203" s="1065"/>
      <c r="O203" s="1065"/>
      <c r="P203" s="1065"/>
      <c r="Q203" s="1065"/>
      <c r="R203" s="1556"/>
      <c r="S203" s="1065"/>
      <c r="T203" s="1065"/>
      <c r="U203" s="467"/>
      <c r="V203" s="1065"/>
      <c r="W203" s="1065"/>
      <c r="X203" s="1065"/>
      <c r="Y203" s="1065"/>
      <c r="Z203" s="1065"/>
      <c r="AA203" s="1552"/>
      <c r="AB203" s="489"/>
      <c r="AC203" s="489"/>
      <c r="AD203" s="489"/>
      <c r="AE203" s="489"/>
    </row>
    <row r="204" spans="1:31" s="1561" customFormat="1" ht="11.25" customHeight="1">
      <c r="A204" s="898"/>
      <c r="B204" s="1556"/>
      <c r="C204" s="1556"/>
      <c r="D204" s="272"/>
      <c r="K204" s="1065"/>
      <c r="L204" s="1556"/>
      <c r="M204" s="1556"/>
      <c r="N204" s="1065"/>
      <c r="O204" s="1065"/>
      <c r="P204" s="1065"/>
      <c r="Q204" s="1065"/>
      <c r="R204" s="1556"/>
      <c r="S204" s="1065"/>
      <c r="T204" s="1065"/>
      <c r="U204" s="467"/>
      <c r="V204" s="1065"/>
      <c r="W204" s="1065"/>
      <c r="X204" s="1065"/>
      <c r="Y204" s="1065"/>
      <c r="Z204" s="1065"/>
      <c r="AA204" s="1552"/>
      <c r="AB204" s="489"/>
      <c r="AC204" s="489"/>
      <c r="AD204" s="489"/>
      <c r="AE204" s="489"/>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row r="210" spans="1:31" ht="11.25" customHeight="1">
      <c r="A210" s="901"/>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row>
    <row r="211" spans="1:31" ht="11.25" customHeight="1">
      <c r="A211" s="901"/>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row>
    <row r="212" spans="1:31" ht="11.25" customHeight="1">
      <c r="A212" s="901"/>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row>
    <row r="213" spans="1:31" ht="11.25" customHeight="1">
      <c r="A213" s="901"/>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row>
    <row r="214" spans="1:31" ht="11.25" customHeight="1">
      <c r="A214" s="901"/>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row>
    <row r="215" spans="1:31" ht="11.25" customHeight="1">
      <c r="A215" s="901"/>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row>
    <row r="216" spans="1:31" ht="11.25" customHeight="1">
      <c r="A216" s="901"/>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row>
    <row r="217" spans="1:31" ht="11.25" customHeight="1">
      <c r="A217" s="901"/>
      <c r="B217" s="1551"/>
      <c r="D217" s="1551"/>
      <c r="K217" s="1551"/>
      <c r="N217" s="1551"/>
      <c r="O217" s="1551"/>
      <c r="P217" s="1551"/>
      <c r="Q217" s="1551"/>
      <c r="S217" s="1551"/>
      <c r="T217" s="1551"/>
      <c r="U217" s="1551"/>
      <c r="V217" s="1551"/>
      <c r="W217" s="1551"/>
      <c r="X217" s="1551"/>
      <c r="Y217" s="1551"/>
      <c r="Z217" s="1551"/>
      <c r="AA217" s="1551"/>
      <c r="AB217" s="1551"/>
      <c r="AC217" s="1551"/>
      <c r="AD217" s="1551"/>
      <c r="AE217" s="1551"/>
    </row>
    <row r="218" spans="1:31" ht="11.25" customHeight="1">
      <c r="A218" s="901"/>
      <c r="B218" s="1551"/>
      <c r="D218" s="1551"/>
      <c r="K218" s="1551"/>
      <c r="N218" s="1551"/>
      <c r="O218" s="1551"/>
      <c r="P218" s="1551"/>
      <c r="Q218" s="1551"/>
      <c r="S218" s="1551"/>
      <c r="T218" s="1551"/>
      <c r="U218" s="1551"/>
      <c r="V218" s="1551"/>
      <c r="W218" s="1551"/>
      <c r="X218" s="1551"/>
      <c r="Y218" s="1551"/>
      <c r="Z218" s="1551"/>
      <c r="AA218" s="1551"/>
      <c r="AB218" s="1551"/>
      <c r="AC218" s="1551"/>
      <c r="AD218" s="1551"/>
      <c r="AE218" s="1551"/>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s="1287" customFormat="1" ht="11.25" hidden="1" customHeight="1">
      <c r="A1" s="898"/>
      <c r="C1" s="1556"/>
      <c r="D1" s="460"/>
      <c r="H1" s="1065">
        <v>4</v>
      </c>
      <c r="I1" s="1065">
        <v>4</v>
      </c>
      <c r="L1" s="1556"/>
      <c r="M1" s="1556"/>
      <c r="R1" s="1556"/>
    </row>
    <row r="2" spans="1:31" s="1287" customFormat="1" ht="22.5" hidden="1" customHeight="1">
      <c r="A2" s="898"/>
      <c r="C2" s="1556"/>
      <c r="D2" s="461"/>
      <c r="E2" s="1578"/>
      <c r="F2" s="463"/>
      <c r="G2" s="1577" t="s">
        <v>1010</v>
      </c>
      <c r="H2" s="464"/>
      <c r="I2" s="464"/>
      <c r="J2" s="465" t="s">
        <v>1013</v>
      </c>
      <c r="K2" s="466"/>
      <c r="L2" s="1556"/>
      <c r="M2" s="1556"/>
      <c r="R2" s="1556"/>
      <c r="U2" s="467"/>
      <c r="AA2" s="1552"/>
      <c r="AB2" s="1552"/>
      <c r="AC2" s="1552"/>
      <c r="AD2" s="1552"/>
      <c r="AE2" s="1552"/>
    </row>
    <row r="3" spans="1:31" ht="11.25" hidden="1" customHeight="1"/>
    <row r="4" spans="1:31" s="1552" customFormat="1" ht="11.25" hidden="1" customHeight="1">
      <c r="A4" s="898"/>
      <c r="B4" s="1065"/>
      <c r="C4" s="1556"/>
      <c r="D4" s="285"/>
      <c r="J4" s="1552">
        <v>4</v>
      </c>
      <c r="K4" s="1065"/>
      <c r="L4" s="1556"/>
      <c r="M4" s="1556"/>
      <c r="N4" s="1065"/>
      <c r="O4" s="1065"/>
      <c r="P4" s="1065"/>
      <c r="Q4" s="1065"/>
      <c r="R4" s="1556"/>
      <c r="S4" s="1065"/>
      <c r="T4" s="1065"/>
      <c r="U4" s="467"/>
      <c r="V4" s="1065"/>
      <c r="W4" s="1065"/>
      <c r="X4" s="1065"/>
      <c r="Y4" s="1065"/>
      <c r="Z4" s="1065"/>
    </row>
    <row r="6" spans="1:31" ht="32.25" customHeight="1">
      <c r="E6" s="8867" t="s">
        <v>1147</v>
      </c>
      <c r="F6" s="8867"/>
      <c r="G6" s="8867"/>
      <c r="H6" s="8867"/>
      <c r="I6" s="8867"/>
      <c r="J6" s="479"/>
    </row>
    <row r="7" spans="1:31" ht="24" customHeight="1">
      <c r="E7" s="8814" t="str">
        <f>IF(org=0,"Не определено",org)</f>
        <v>ГУП СК "Ставрополькрайводоканал"</v>
      </c>
      <c r="F7" s="8814"/>
      <c r="G7" s="8814"/>
      <c r="H7" s="8814"/>
      <c r="I7" s="8814"/>
    </row>
    <row r="8" spans="1:31" ht="11.25" customHeight="1">
      <c r="E8" s="1042"/>
      <c r="F8" s="1042"/>
      <c r="G8" s="1042"/>
      <c r="H8" s="1042"/>
      <c r="I8" s="1042"/>
    </row>
    <row r="9" spans="1:31" s="1562" customFormat="1" ht="0.75" customHeight="1">
      <c r="A9" s="1072"/>
      <c r="H9" s="803"/>
      <c r="I9" s="803" t="s">
        <v>205</v>
      </c>
    </row>
    <row r="10" spans="1:31" ht="11.25" customHeight="1">
      <c r="E10" s="628"/>
      <c r="F10" s="8958" t="s">
        <v>197</v>
      </c>
      <c r="G10" s="8959"/>
      <c r="H10" s="1579" t="str">
        <f>IF(H9="","",INDEX(DIFFERENTIATION_UNMERGE_VD,MATCH(H9,DIFFERENTIATION_ID_DIFF,0)))</f>
        <v/>
      </c>
      <c r="I10" s="1579">
        <f>IF(I9="","",INDEX(DIFFERENTIATION_UNMERGE_VD,MATCH(I9,DIFFERENTIATION_ID_DIFF,0)))</f>
        <v>0</v>
      </c>
      <c r="J10" s="8753"/>
    </row>
    <row r="11" spans="1:31" ht="11.25" customHeight="1">
      <c r="E11" s="628"/>
      <c r="F11" s="8958" t="s">
        <v>1022</v>
      </c>
      <c r="G11" s="8959"/>
      <c r="H11" s="1579" t="str">
        <f>IF(H9="","",INDEX(DIFFERENTIATION_UNMERGE_AREA,MATCH(H9,DIFFERENTIATION_ID_DIFF,0)))</f>
        <v/>
      </c>
      <c r="I11" s="1579" t="str">
        <f>IF(I9="","",INDEX(DIFFERENTIATION_UNMERGE_AREA,MATCH(I9,DIFFERENTIATION_ID_DIFF,0)))</f>
        <v/>
      </c>
      <c r="J11" s="8753"/>
    </row>
    <row r="12" spans="1:31" ht="11.25" hidden="1" customHeight="1">
      <c r="E12" s="1582"/>
      <c r="F12" s="8974" t="s">
        <v>1023</v>
      </c>
      <c r="G12" s="8975"/>
      <c r="H12" s="1583" t="str">
        <f>IF(H9="","",INDEX(DIFFERENTIATION_UNMERGE_SYSTEM,MATCH(H9,DIFFERENTIATION_ID_DIFF,0)))</f>
        <v/>
      </c>
      <c r="I12" s="1583" t="str">
        <f>IF(I9="","",INDEX(DIFFERENTIATION_UNMERGE_SYSTEM,MATCH(I9,DIFFERENTIATION_ID_DIFF,0)))</f>
        <v>без дифференциации</v>
      </c>
      <c r="J12" s="8753"/>
    </row>
    <row r="13" spans="1:31" ht="11.25" customHeight="1">
      <c r="E13" s="8960" t="s">
        <v>763</v>
      </c>
      <c r="F13" s="8961"/>
      <c r="G13" s="8961"/>
      <c r="H13" s="1576"/>
      <c r="I13" s="1576"/>
      <c r="J13" s="8753"/>
    </row>
    <row r="14" spans="1:31" ht="22.5" customHeight="1">
      <c r="E14" s="1577" t="s">
        <v>84</v>
      </c>
      <c r="F14" s="1580" t="s">
        <v>765</v>
      </c>
      <c r="G14" s="1580" t="s">
        <v>1024</v>
      </c>
      <c r="H14" s="1580" t="s">
        <v>766</v>
      </c>
      <c r="I14" s="1580" t="s">
        <v>766</v>
      </c>
      <c r="J14" s="8753"/>
    </row>
    <row r="15" spans="1:31" ht="18.75" customHeight="1">
      <c r="D15" s="1558"/>
      <c r="E15" s="1550" t="s">
        <v>95</v>
      </c>
      <c r="F15" s="624" t="s">
        <v>1148</v>
      </c>
      <c r="G15" s="1577" t="s">
        <v>1010</v>
      </c>
      <c r="H15" s="480"/>
      <c r="I15" s="480"/>
      <c r="J15" s="204" t="s">
        <v>1149</v>
      </c>
      <c r="K15" s="466" t="s">
        <v>1077</v>
      </c>
    </row>
    <row r="16" spans="1:31" ht="22.5" customHeight="1">
      <c r="D16" s="1558"/>
      <c r="E16" s="1550" t="s">
        <v>99</v>
      </c>
      <c r="F16" s="1585" t="s">
        <v>1150</v>
      </c>
      <c r="G16" s="1577" t="s">
        <v>1010</v>
      </c>
      <c r="H16" s="481">
        <f>SUM(H17,H20:H27)</f>
        <v>0</v>
      </c>
      <c r="I16" s="481">
        <f>SUM(I17,I20:I27)</f>
        <v>0</v>
      </c>
      <c r="J16" s="204" t="s">
        <v>1151</v>
      </c>
      <c r="K16" s="466" t="s">
        <v>1077</v>
      </c>
    </row>
    <row r="17" spans="1:31" ht="33.75" customHeight="1">
      <c r="D17" s="1558"/>
      <c r="E17" s="1584" t="s">
        <v>1080</v>
      </c>
      <c r="F17" s="1587" t="s">
        <v>1152</v>
      </c>
      <c r="G17" s="1574" t="s">
        <v>1010</v>
      </c>
      <c r="H17" s="480"/>
      <c r="I17" s="480"/>
      <c r="J17" s="204" t="s">
        <v>1153</v>
      </c>
      <c r="K17" s="466"/>
    </row>
    <row r="18" spans="1:31" ht="18.75" customHeight="1">
      <c r="D18" s="1558"/>
      <c r="E18" s="1584" t="s">
        <v>1083</v>
      </c>
      <c r="F18" s="1588" t="s">
        <v>1154</v>
      </c>
      <c r="G18" s="1574" t="s">
        <v>1010</v>
      </c>
      <c r="H18" s="480"/>
      <c r="I18" s="480"/>
      <c r="J18" s="204"/>
      <c r="K18" s="466"/>
    </row>
    <row r="19" spans="1:31" ht="22.5" customHeight="1">
      <c r="D19" s="1558"/>
      <c r="E19" s="1584" t="s">
        <v>1086</v>
      </c>
      <c r="F19" s="1588" t="s">
        <v>1155</v>
      </c>
      <c r="G19" s="1574" t="s">
        <v>1010</v>
      </c>
      <c r="H19" s="480"/>
      <c r="I19" s="480"/>
      <c r="J19" s="204"/>
      <c r="K19" s="466"/>
    </row>
    <row r="20" spans="1:31" ht="33.75" customHeight="1">
      <c r="D20" s="1558"/>
      <c r="E20" s="1584" t="s">
        <v>770</v>
      </c>
      <c r="F20" s="1587" t="s">
        <v>1156</v>
      </c>
      <c r="G20" s="1574" t="s">
        <v>1010</v>
      </c>
      <c r="H20" s="480"/>
      <c r="I20" s="480"/>
      <c r="J20" s="204"/>
      <c r="K20" s="466"/>
    </row>
    <row r="21" spans="1:31" ht="33.75" customHeight="1">
      <c r="D21" s="1558"/>
      <c r="E21" s="1584" t="s">
        <v>773</v>
      </c>
      <c r="F21" s="1587" t="s">
        <v>1157</v>
      </c>
      <c r="G21" s="1574" t="s">
        <v>1010</v>
      </c>
      <c r="H21" s="480"/>
      <c r="I21" s="480"/>
      <c r="J21" s="204"/>
      <c r="K21" s="466"/>
    </row>
    <row r="22" spans="1:31" ht="56.25" customHeight="1">
      <c r="D22" s="1558"/>
      <c r="E22" s="1584" t="s">
        <v>1100</v>
      </c>
      <c r="F22" s="1587" t="s">
        <v>1158</v>
      </c>
      <c r="G22" s="1574" t="s">
        <v>1010</v>
      </c>
      <c r="H22" s="480"/>
      <c r="I22" s="480"/>
      <c r="J22" s="204"/>
      <c r="K22" s="466"/>
    </row>
    <row r="23" spans="1:31" ht="33.75" customHeight="1">
      <c r="D23" s="1558"/>
      <c r="E23" s="1584" t="s">
        <v>1107</v>
      </c>
      <c r="F23" s="1587" t="s">
        <v>1159</v>
      </c>
      <c r="G23" s="1574" t="s">
        <v>1010</v>
      </c>
      <c r="H23" s="480"/>
      <c r="I23" s="480"/>
      <c r="J23" s="204"/>
      <c r="K23" s="466"/>
    </row>
    <row r="24" spans="1:31" ht="33.75" customHeight="1">
      <c r="D24" s="1558"/>
      <c r="E24" s="1584" t="s">
        <v>1109</v>
      </c>
      <c r="F24" s="1587" t="s">
        <v>1160</v>
      </c>
      <c r="G24" s="1574" t="s">
        <v>1010</v>
      </c>
      <c r="H24" s="480"/>
      <c r="I24" s="480"/>
      <c r="J24" s="204"/>
      <c r="K24" s="466"/>
    </row>
    <row r="25" spans="1:31" ht="22.5" customHeight="1">
      <c r="D25" s="1558"/>
      <c r="E25" s="1584" t="s">
        <v>1111</v>
      </c>
      <c r="F25" s="1587" t="s">
        <v>1161</v>
      </c>
      <c r="G25" s="1574" t="s">
        <v>1010</v>
      </c>
      <c r="H25" s="480"/>
      <c r="I25" s="480"/>
      <c r="J25" s="204"/>
      <c r="K25" s="466"/>
    </row>
    <row r="26" spans="1:31" ht="67.5" customHeight="1">
      <c r="D26" s="1558"/>
      <c r="E26" s="1584" t="s">
        <v>1113</v>
      </c>
      <c r="F26" s="1587" t="s">
        <v>1162</v>
      </c>
      <c r="G26" s="1574" t="s">
        <v>1010</v>
      </c>
      <c r="H26" s="480"/>
      <c r="I26" s="480"/>
      <c r="J26" s="204"/>
      <c r="K26" s="466"/>
    </row>
    <row r="27" spans="1:31" s="1287" customFormat="1" ht="22.5" customHeight="1">
      <c r="A27" s="898"/>
      <c r="C27" s="1556"/>
      <c r="D27" s="1558"/>
      <c r="E27" s="1549" t="s">
        <v>1117</v>
      </c>
      <c r="F27" s="1548" t="s">
        <v>1163</v>
      </c>
      <c r="G27" s="1575" t="s">
        <v>1010</v>
      </c>
      <c r="H27" s="502">
        <f>SUM(H28:H29)</f>
        <v>0</v>
      </c>
      <c r="I27" s="502">
        <f>SUM(I28:I29)</f>
        <v>0</v>
      </c>
      <c r="J27" s="204" t="s">
        <v>1115</v>
      </c>
      <c r="K27" s="466"/>
      <c r="L27" s="1556"/>
      <c r="M27" s="1556"/>
      <c r="R27" s="1556"/>
      <c r="U27" s="467"/>
      <c r="AA27" s="1552"/>
      <c r="AB27" s="1552"/>
      <c r="AC27" s="1552"/>
      <c r="AD27" s="1552"/>
      <c r="AE27" s="1552"/>
    </row>
    <row r="28" spans="1:31" s="1562" customFormat="1" ht="0.75" customHeight="1">
      <c r="A28" s="1072"/>
      <c r="D28" s="471"/>
      <c r="E28" s="716" t="str">
        <f>E27&amp;".0"</f>
        <v>2.9.0</v>
      </c>
      <c r="F28" s="902"/>
      <c r="G28" s="474"/>
      <c r="H28" s="903"/>
      <c r="I28" s="903"/>
      <c r="J28" s="904"/>
    </row>
    <row r="29" spans="1:31" s="1287" customFormat="1" ht="18.75" customHeight="1">
      <c r="A29" s="898"/>
      <c r="C29" s="1556"/>
      <c r="D29" s="1553"/>
      <c r="E29" s="493"/>
      <c r="F29" s="1586" t="s">
        <v>1035</v>
      </c>
      <c r="G29" s="495"/>
      <c r="H29" s="496"/>
      <c r="I29" s="496"/>
      <c r="J29" s="215" t="s">
        <v>1116</v>
      </c>
      <c r="K29" s="466"/>
      <c r="L29" s="1556"/>
      <c r="M29" s="1556"/>
      <c r="R29" s="1556"/>
      <c r="U29" s="467"/>
      <c r="AA29" s="1552"/>
      <c r="AB29" s="1552"/>
      <c r="AC29" s="1552"/>
      <c r="AD29" s="1552"/>
      <c r="AE29" s="1552"/>
    </row>
    <row r="30" spans="1:31" s="1287" customFormat="1" ht="22.5" customHeight="1">
      <c r="A30" s="898"/>
      <c r="C30" s="1556"/>
      <c r="D30" s="1558"/>
      <c r="E30" s="1584" t="s">
        <v>86</v>
      </c>
      <c r="F30" s="1581" t="s">
        <v>1164</v>
      </c>
      <c r="G30" s="1574" t="s">
        <v>1010</v>
      </c>
      <c r="H30" s="480"/>
      <c r="I30" s="480"/>
      <c r="J30" s="204"/>
      <c r="K30" s="466"/>
      <c r="L30" s="1556"/>
      <c r="M30" s="1556"/>
      <c r="R30" s="1556"/>
      <c r="U30" s="467"/>
      <c r="AA30" s="1552"/>
      <c r="AB30" s="1552"/>
      <c r="AC30" s="1552"/>
      <c r="AD30" s="1552"/>
      <c r="AE30" s="1552"/>
    </row>
    <row r="31" spans="1:31" s="1287" customFormat="1" ht="33.75" customHeight="1">
      <c r="A31" s="898"/>
      <c r="C31" s="1556"/>
      <c r="D31" s="498"/>
      <c r="E31" s="1584" t="s">
        <v>87</v>
      </c>
      <c r="F31" s="1581" t="s">
        <v>1165</v>
      </c>
      <c r="G31" s="1574" t="s">
        <v>1010</v>
      </c>
      <c r="H31" s="480"/>
      <c r="I31" s="480"/>
      <c r="J31" s="204" t="s">
        <v>1166</v>
      </c>
      <c r="K31" s="466"/>
      <c r="L31" s="1556"/>
      <c r="M31" s="1556"/>
      <c r="R31" s="1556"/>
      <c r="U31" s="467"/>
      <c r="AA31" s="1552"/>
      <c r="AB31" s="1552"/>
      <c r="AC31" s="1552"/>
      <c r="AD31" s="1552"/>
      <c r="AE31" s="1552"/>
    </row>
    <row r="32" spans="1:31" s="1287" customFormat="1" ht="22.5" customHeight="1">
      <c r="A32" s="898"/>
      <c r="C32" s="1556"/>
      <c r="D32" s="1558"/>
      <c r="E32" s="1584" t="s">
        <v>1125</v>
      </c>
      <c r="F32" s="608" t="s">
        <v>1129</v>
      </c>
      <c r="G32" s="1574" t="s">
        <v>1010</v>
      </c>
      <c r="H32" s="480"/>
      <c r="I32" s="480"/>
      <c r="J32" s="204" t="s">
        <v>1167</v>
      </c>
      <c r="K32" s="466"/>
      <c r="L32" s="1556"/>
      <c r="M32" s="1556"/>
      <c r="R32" s="1556"/>
      <c r="U32" s="467"/>
      <c r="AA32" s="1552"/>
      <c r="AB32" s="1552"/>
      <c r="AC32" s="1552"/>
      <c r="AD32" s="1552"/>
      <c r="AE32" s="1552"/>
    </row>
    <row r="33" spans="1:31" s="1287" customFormat="1" ht="22.5" customHeight="1">
      <c r="A33" s="898"/>
      <c r="C33" s="1556"/>
      <c r="D33" s="1558"/>
      <c r="E33" s="1584" t="s">
        <v>1168</v>
      </c>
      <c r="F33" s="608" t="s">
        <v>1169</v>
      </c>
      <c r="G33" s="1574" t="s">
        <v>1010</v>
      </c>
      <c r="H33" s="480"/>
      <c r="I33" s="480"/>
      <c r="J33" s="204" t="s">
        <v>1170</v>
      </c>
      <c r="K33" s="466"/>
      <c r="L33" s="1556"/>
      <c r="M33" s="1556"/>
      <c r="R33" s="1556"/>
      <c r="U33" s="467"/>
      <c r="AA33" s="1552"/>
      <c r="AB33" s="1552"/>
      <c r="AC33" s="1552"/>
      <c r="AD33" s="1552"/>
      <c r="AE33" s="1552"/>
    </row>
    <row r="34" spans="1:31" s="1287" customFormat="1" ht="22.5" customHeight="1">
      <c r="A34" s="898"/>
      <c r="C34" s="1556"/>
      <c r="D34" s="1558"/>
      <c r="E34" s="1584" t="s">
        <v>1171</v>
      </c>
      <c r="F34" s="608" t="s">
        <v>1135</v>
      </c>
      <c r="G34" s="1574" t="s">
        <v>1010</v>
      </c>
      <c r="H34" s="480"/>
      <c r="I34" s="480"/>
      <c r="J34" s="204" t="s">
        <v>1172</v>
      </c>
      <c r="K34" s="466"/>
      <c r="L34" s="1556"/>
      <c r="M34" s="1556"/>
      <c r="R34" s="1556"/>
      <c r="U34" s="467"/>
      <c r="AA34" s="1552"/>
      <c r="AB34" s="1552"/>
      <c r="AC34" s="1552"/>
      <c r="AD34" s="1552"/>
      <c r="AE34" s="1552"/>
    </row>
    <row r="35" spans="1:31" s="1287" customFormat="1" ht="33.75" customHeight="1">
      <c r="A35" s="898"/>
      <c r="C35" s="1556" t="s">
        <v>1046</v>
      </c>
      <c r="D35" s="1558"/>
      <c r="E35" s="1584" t="s">
        <v>113</v>
      </c>
      <c r="F35" s="1581" t="s">
        <v>1137</v>
      </c>
      <c r="G35" s="1577" t="s">
        <v>769</v>
      </c>
      <c r="H35" s="330"/>
      <c r="I35" s="330"/>
      <c r="J35" s="204" t="s">
        <v>1173</v>
      </c>
      <c r="K35" s="466"/>
      <c r="L35" s="1556"/>
      <c r="M35" s="1556"/>
      <c r="R35" s="1556"/>
      <c r="U35" s="467"/>
      <c r="AA35" s="1552"/>
      <c r="AB35" s="1552"/>
      <c r="AC35" s="1552"/>
      <c r="AD35" s="1552"/>
      <c r="AE35" s="1552"/>
    </row>
    <row r="36" spans="1:31" s="1287" customFormat="1" ht="22.5" customHeight="1">
      <c r="A36" s="898"/>
      <c r="C36" s="1556"/>
      <c r="D36" s="1558"/>
      <c r="E36" s="1584" t="s">
        <v>88</v>
      </c>
      <c r="F36" s="1581" t="s">
        <v>1174</v>
      </c>
      <c r="G36" s="1574" t="s">
        <v>1141</v>
      </c>
      <c r="H36" s="468"/>
      <c r="I36" s="468"/>
      <c r="J36" s="204" t="s">
        <v>1142</v>
      </c>
      <c r="K36" s="466"/>
      <c r="L36" s="1556"/>
      <c r="M36" s="1556"/>
      <c r="R36" s="1556"/>
      <c r="U36" s="467"/>
      <c r="AA36" s="1552"/>
      <c r="AB36" s="1552"/>
      <c r="AC36" s="1552"/>
      <c r="AD36" s="1552"/>
      <c r="AE36" s="1552"/>
    </row>
    <row r="37" spans="1:31" s="1287" customFormat="1" ht="22.5" customHeight="1">
      <c r="A37" s="898"/>
      <c r="C37" s="1556"/>
      <c r="D37" s="1558"/>
      <c r="E37" s="1584" t="s">
        <v>89</v>
      </c>
      <c r="F37" s="1581" t="s">
        <v>1175</v>
      </c>
      <c r="G37" s="1574" t="s">
        <v>1144</v>
      </c>
      <c r="H37" s="468"/>
      <c r="I37" s="468"/>
      <c r="J37" s="204" t="s">
        <v>1145</v>
      </c>
      <c r="K37" s="466"/>
      <c r="L37" s="1556"/>
      <c r="M37" s="1556"/>
      <c r="R37" s="1556"/>
      <c r="U37" s="467"/>
      <c r="AA37" s="1552"/>
      <c r="AB37" s="1552"/>
      <c r="AC37" s="1552"/>
      <c r="AD37" s="1552"/>
      <c r="AE37" s="1552"/>
    </row>
    <row r="38" spans="1:31" ht="11.25" customHeight="1">
      <c r="D38" s="1558"/>
    </row>
    <row r="39" spans="1:31" ht="26.25" customHeight="1">
      <c r="D39" s="1558"/>
      <c r="E39" s="1169" t="s">
        <v>1176</v>
      </c>
      <c r="F39" s="8903" t="s">
        <v>1177</v>
      </c>
      <c r="G39" s="8903"/>
      <c r="H39" s="8903"/>
      <c r="I39" s="8903"/>
      <c r="J39" s="8903"/>
    </row>
    <row r="40" spans="1:31" s="1561" customFormat="1" ht="37.5" customHeight="1">
      <c r="A40" s="898"/>
      <c r="B40" s="1556"/>
      <c r="C40" s="1556"/>
      <c r="D40" s="272"/>
      <c r="F40" s="8903" t="s">
        <v>1178</v>
      </c>
      <c r="G40" s="8903"/>
      <c r="H40" s="8903"/>
      <c r="I40" s="8903"/>
      <c r="J40" s="8903"/>
      <c r="K40" s="1065"/>
      <c r="L40" s="1556"/>
      <c r="M40" s="1556"/>
      <c r="N40" s="1065"/>
      <c r="O40" s="1065"/>
      <c r="P40" s="1065"/>
      <c r="Q40" s="1065"/>
      <c r="R40" s="1556"/>
      <c r="S40" s="1065"/>
      <c r="T40" s="1065"/>
      <c r="U40" s="467"/>
      <c r="V40" s="1065"/>
      <c r="W40" s="1065"/>
      <c r="X40" s="1065"/>
      <c r="Y40" s="1065"/>
      <c r="Z40" s="1065"/>
      <c r="AA40" s="1552"/>
      <c r="AB40" s="489"/>
      <c r="AC40" s="489"/>
      <c r="AD40" s="489"/>
      <c r="AE40" s="489"/>
    </row>
    <row r="41" spans="1:31" s="1561" customFormat="1" ht="11.25" customHeight="1">
      <c r="A41" s="898"/>
      <c r="B41" s="1556"/>
      <c r="C41" s="1556"/>
      <c r="D41" s="272"/>
      <c r="K41" s="1065"/>
      <c r="L41" s="1556"/>
      <c r="M41" s="1556"/>
      <c r="N41" s="1065"/>
      <c r="O41" s="1065"/>
      <c r="P41" s="1065"/>
      <c r="Q41" s="1065"/>
      <c r="R41" s="1556"/>
      <c r="S41" s="1065"/>
      <c r="T41" s="1065"/>
      <c r="U41" s="467"/>
      <c r="V41" s="1065"/>
      <c r="W41" s="1065"/>
      <c r="X41" s="1065"/>
      <c r="Y41" s="1065"/>
      <c r="Z41" s="1065"/>
      <c r="AA41" s="1552"/>
      <c r="AB41" s="489"/>
      <c r="AC41" s="489"/>
      <c r="AD41" s="489"/>
      <c r="AE41" s="489"/>
    </row>
    <row r="42" spans="1:31" s="1561" customFormat="1" ht="11.25" customHeight="1">
      <c r="A42" s="898"/>
      <c r="B42" s="1556"/>
      <c r="C42" s="1556"/>
      <c r="D42" s="272"/>
      <c r="K42" s="1065"/>
      <c r="L42" s="1556"/>
      <c r="M42" s="1556"/>
      <c r="N42" s="1065"/>
      <c r="O42" s="1065"/>
      <c r="P42" s="1065"/>
      <c r="Q42" s="1065"/>
      <c r="R42" s="1556"/>
      <c r="S42" s="1065"/>
      <c r="T42" s="1065"/>
      <c r="U42" s="467"/>
      <c r="V42" s="1065"/>
      <c r="W42" s="1065"/>
      <c r="X42" s="1065"/>
      <c r="Y42" s="1065"/>
      <c r="Z42" s="1065"/>
      <c r="AA42" s="1552"/>
      <c r="AB42" s="489"/>
      <c r="AC42" s="489"/>
      <c r="AD42" s="489"/>
      <c r="AE42" s="489"/>
    </row>
    <row r="43" spans="1:31" s="1561" customFormat="1" ht="11.25" customHeight="1">
      <c r="A43" s="898"/>
      <c r="B43" s="1556"/>
      <c r="C43" s="1556"/>
      <c r="D43" s="272"/>
      <c r="H43" s="489"/>
      <c r="I43" s="489"/>
      <c r="K43" s="1065"/>
      <c r="L43" s="1556"/>
      <c r="M43" s="1556"/>
      <c r="N43" s="1065"/>
      <c r="O43" s="1065"/>
      <c r="P43" s="1065"/>
      <c r="Q43" s="1065"/>
      <c r="R43" s="1556"/>
      <c r="S43" s="1065"/>
      <c r="T43" s="1065"/>
      <c r="U43" s="467"/>
      <c r="V43" s="1065"/>
      <c r="W43" s="1065"/>
      <c r="X43" s="1065"/>
      <c r="Y43" s="1065"/>
      <c r="Z43" s="1065"/>
      <c r="AA43" s="1552"/>
      <c r="AB43" s="489"/>
      <c r="AC43" s="489"/>
      <c r="AD43" s="489"/>
      <c r="AE43" s="489"/>
    </row>
    <row r="44" spans="1:31" s="1561" customFormat="1" ht="11.25" customHeight="1">
      <c r="A44" s="898"/>
      <c r="B44" s="1556"/>
      <c r="C44" s="1556"/>
      <c r="D44" s="272"/>
      <c r="K44" s="1065"/>
      <c r="L44" s="1556"/>
      <c r="M44" s="1556"/>
      <c r="N44" s="1065"/>
      <c r="O44" s="1065"/>
      <c r="P44" s="1065"/>
      <c r="Q44" s="1065"/>
      <c r="R44" s="1556"/>
      <c r="S44" s="1065"/>
      <c r="T44" s="1065"/>
      <c r="U44" s="467"/>
      <c r="V44" s="1065"/>
      <c r="W44" s="1065"/>
      <c r="X44" s="1065"/>
      <c r="Y44" s="1065"/>
      <c r="Z44" s="1065"/>
      <c r="AA44" s="1552"/>
      <c r="AB44" s="489"/>
      <c r="AC44" s="489"/>
      <c r="AD44" s="489"/>
      <c r="AE44" s="489"/>
    </row>
    <row r="45" spans="1:31" s="1561" customFormat="1" ht="11.25" customHeight="1">
      <c r="A45" s="898"/>
      <c r="B45" s="1556"/>
      <c r="C45" s="1556"/>
      <c r="D45" s="272"/>
      <c r="K45" s="1065"/>
      <c r="L45" s="1556"/>
      <c r="M45" s="1556"/>
      <c r="N45" s="1065"/>
      <c r="O45" s="1065"/>
      <c r="P45" s="1065"/>
      <c r="Q45" s="1065"/>
      <c r="R45" s="1556"/>
      <c r="S45" s="1065"/>
      <c r="T45" s="1065"/>
      <c r="U45" s="467"/>
      <c r="V45" s="1065"/>
      <c r="W45" s="1065"/>
      <c r="X45" s="1065"/>
      <c r="Y45" s="1065"/>
      <c r="Z45" s="1065"/>
      <c r="AA45" s="1552"/>
      <c r="AB45" s="489"/>
      <c r="AC45" s="489"/>
      <c r="AD45" s="489"/>
      <c r="AE45" s="489"/>
    </row>
    <row r="46" spans="1:31" s="1561" customFormat="1" ht="11.25" customHeight="1">
      <c r="A46" s="898"/>
      <c r="B46" s="1556"/>
      <c r="C46" s="1556"/>
      <c r="D46" s="272"/>
      <c r="K46" s="1065"/>
      <c r="L46" s="1556"/>
      <c r="M46" s="1556"/>
      <c r="N46" s="1065"/>
      <c r="O46" s="1065"/>
      <c r="P46" s="1065"/>
      <c r="Q46" s="1065"/>
      <c r="R46" s="1556"/>
      <c r="S46" s="1065"/>
      <c r="T46" s="1065"/>
      <c r="U46" s="467"/>
      <c r="V46" s="1065"/>
      <c r="W46" s="1065"/>
      <c r="X46" s="1065"/>
      <c r="Y46" s="1065"/>
      <c r="Z46" s="1065"/>
      <c r="AA46" s="1552"/>
      <c r="AB46" s="489"/>
      <c r="AC46" s="489"/>
      <c r="AD46" s="489"/>
      <c r="AE46" s="489"/>
    </row>
    <row r="47" spans="1:31" s="1561" customFormat="1" ht="11.25" customHeight="1">
      <c r="A47" s="898"/>
      <c r="B47" s="1556"/>
      <c r="C47" s="1556"/>
      <c r="D47" s="272"/>
      <c r="K47" s="1065"/>
      <c r="L47" s="1556"/>
      <c r="M47" s="1556"/>
      <c r="N47" s="1065"/>
      <c r="O47" s="1065"/>
      <c r="P47" s="1065"/>
      <c r="Q47" s="1065"/>
      <c r="R47" s="1556"/>
      <c r="S47" s="1065"/>
      <c r="T47" s="1065"/>
      <c r="U47" s="467"/>
      <c r="V47" s="1065"/>
      <c r="W47" s="1065"/>
      <c r="X47" s="1065"/>
      <c r="Y47" s="1065"/>
      <c r="Z47" s="1065"/>
      <c r="AA47" s="1552"/>
      <c r="AB47" s="489"/>
      <c r="AC47" s="489"/>
      <c r="AD47" s="489"/>
      <c r="AE47" s="489"/>
    </row>
    <row r="48" spans="1:31" s="1561" customFormat="1" ht="11.25" customHeight="1">
      <c r="A48" s="898"/>
      <c r="B48" s="1556"/>
      <c r="C48" s="1556"/>
      <c r="D48" s="272"/>
      <c r="K48" s="1065"/>
      <c r="L48" s="1556"/>
      <c r="M48" s="1556"/>
      <c r="N48" s="1065"/>
      <c r="O48" s="1065"/>
      <c r="P48" s="1065"/>
      <c r="Q48" s="1065"/>
      <c r="R48" s="1556"/>
      <c r="S48" s="1065"/>
      <c r="T48" s="1065"/>
      <c r="U48" s="467"/>
      <c r="V48" s="1065"/>
      <c r="W48" s="1065"/>
      <c r="X48" s="1065"/>
      <c r="Y48" s="1065"/>
      <c r="Z48" s="1065"/>
      <c r="AA48" s="1552"/>
      <c r="AB48" s="489"/>
      <c r="AC48" s="489"/>
      <c r="AD48" s="489"/>
      <c r="AE48" s="489"/>
    </row>
    <row r="49" spans="1:31" s="1561" customFormat="1" ht="11.25" customHeight="1">
      <c r="A49" s="898"/>
      <c r="B49" s="1556"/>
      <c r="C49" s="1556"/>
      <c r="D49" s="272"/>
      <c r="K49" s="1065"/>
      <c r="L49" s="1556"/>
      <c r="M49" s="1556"/>
      <c r="N49" s="1065"/>
      <c r="O49" s="1065"/>
      <c r="P49" s="1065"/>
      <c r="Q49" s="1065"/>
      <c r="R49" s="1556"/>
      <c r="S49" s="1065"/>
      <c r="T49" s="1065"/>
      <c r="U49" s="467"/>
      <c r="V49" s="1065"/>
      <c r="W49" s="1065"/>
      <c r="X49" s="1065"/>
      <c r="Y49" s="1065"/>
      <c r="Z49" s="1065"/>
      <c r="AA49" s="1552"/>
      <c r="AB49" s="489"/>
      <c r="AC49" s="489"/>
      <c r="AD49" s="489"/>
      <c r="AE49" s="489"/>
    </row>
    <row r="50" spans="1:31" s="1561" customFormat="1" ht="11.25" customHeight="1">
      <c r="A50" s="898"/>
      <c r="B50" s="1556"/>
      <c r="C50" s="1556"/>
      <c r="D50" s="272"/>
      <c r="K50" s="1065"/>
      <c r="L50" s="1556"/>
      <c r="M50" s="1556"/>
      <c r="N50" s="1065"/>
      <c r="O50" s="1065"/>
      <c r="P50" s="1065"/>
      <c r="Q50" s="1065"/>
      <c r="R50" s="1556"/>
      <c r="S50" s="1065"/>
      <c r="T50" s="1065"/>
      <c r="U50" s="467"/>
      <c r="V50" s="1065"/>
      <c r="W50" s="1065"/>
      <c r="X50" s="1065"/>
      <c r="Y50" s="1065"/>
      <c r="Z50" s="1065"/>
      <c r="AA50" s="1552"/>
      <c r="AB50" s="489"/>
      <c r="AC50" s="489"/>
      <c r="AD50" s="489"/>
      <c r="AE50" s="489"/>
    </row>
    <row r="51" spans="1:31" s="1561" customFormat="1" ht="11.25" customHeight="1">
      <c r="A51" s="898"/>
      <c r="B51" s="1556"/>
      <c r="C51" s="1556"/>
      <c r="D51" s="272"/>
      <c r="K51" s="1065"/>
      <c r="L51" s="1556"/>
      <c r="M51" s="1556"/>
      <c r="N51" s="1065"/>
      <c r="O51" s="1065"/>
      <c r="P51" s="1065"/>
      <c r="Q51" s="1065"/>
      <c r="R51" s="1556"/>
      <c r="S51" s="1065"/>
      <c r="T51" s="1065"/>
      <c r="U51" s="467"/>
      <c r="V51" s="1065"/>
      <c r="W51" s="1065"/>
      <c r="X51" s="1065"/>
      <c r="Y51" s="1065"/>
      <c r="Z51" s="1065"/>
      <c r="AA51" s="1552"/>
      <c r="AB51" s="489"/>
      <c r="AC51" s="489"/>
      <c r="AD51" s="489"/>
      <c r="AE51" s="489"/>
    </row>
    <row r="52" spans="1:31" s="1561" customFormat="1" ht="11.25" customHeight="1">
      <c r="A52" s="898"/>
      <c r="B52" s="1556"/>
      <c r="C52" s="1556"/>
      <c r="D52" s="272"/>
      <c r="K52" s="1065"/>
      <c r="L52" s="1556"/>
      <c r="M52" s="1556"/>
      <c r="N52" s="1065"/>
      <c r="O52" s="1065"/>
      <c r="P52" s="1065"/>
      <c r="Q52" s="1065"/>
      <c r="R52" s="1556"/>
      <c r="S52" s="1065"/>
      <c r="T52" s="1065"/>
      <c r="U52" s="467"/>
      <c r="V52" s="1065"/>
      <c r="W52" s="1065"/>
      <c r="X52" s="1065"/>
      <c r="Y52" s="1065"/>
      <c r="Z52" s="1065"/>
      <c r="AA52" s="1552"/>
      <c r="AB52" s="489"/>
      <c r="AC52" s="489"/>
      <c r="AD52" s="489"/>
      <c r="AE52" s="489"/>
    </row>
    <row r="53" spans="1:31" s="1561" customFormat="1" ht="11.25" customHeight="1">
      <c r="A53" s="898"/>
      <c r="B53" s="1556"/>
      <c r="C53" s="1556"/>
      <c r="D53" s="272"/>
      <c r="K53" s="1065"/>
      <c r="L53" s="1556"/>
      <c r="M53" s="1556"/>
      <c r="N53" s="1065"/>
      <c r="O53" s="1065"/>
      <c r="P53" s="1065"/>
      <c r="Q53" s="1065"/>
      <c r="R53" s="1556"/>
      <c r="S53" s="1065"/>
      <c r="T53" s="1065"/>
      <c r="U53" s="467"/>
      <c r="V53" s="1065"/>
      <c r="W53" s="1065"/>
      <c r="X53" s="1065"/>
      <c r="Y53" s="1065"/>
      <c r="Z53" s="1065"/>
      <c r="AA53" s="1552"/>
      <c r="AB53" s="489"/>
      <c r="AC53" s="489"/>
      <c r="AD53" s="489"/>
      <c r="AE53" s="489"/>
    </row>
    <row r="54" spans="1:31" s="1561" customFormat="1" ht="11.25" customHeight="1">
      <c r="A54" s="898"/>
      <c r="B54" s="1556"/>
      <c r="C54" s="1556"/>
      <c r="D54" s="272"/>
      <c r="K54" s="1065"/>
      <c r="L54" s="1556"/>
      <c r="M54" s="1556"/>
      <c r="N54" s="1065"/>
      <c r="O54" s="1065"/>
      <c r="P54" s="1065"/>
      <c r="Q54" s="1065"/>
      <c r="R54" s="1556"/>
      <c r="S54" s="1065"/>
      <c r="T54" s="1065"/>
      <c r="U54" s="467"/>
      <c r="V54" s="1065"/>
      <c r="W54" s="1065"/>
      <c r="X54" s="1065"/>
      <c r="Y54" s="1065"/>
      <c r="Z54" s="1065"/>
      <c r="AA54" s="1552"/>
      <c r="AB54" s="489"/>
      <c r="AC54" s="489"/>
      <c r="AD54" s="489"/>
      <c r="AE54" s="489"/>
    </row>
    <row r="55" spans="1:31" s="1561" customFormat="1" ht="11.25" customHeight="1">
      <c r="A55" s="898"/>
      <c r="B55" s="1556"/>
      <c r="C55" s="1556"/>
      <c r="D55" s="272"/>
      <c r="K55" s="1065"/>
      <c r="L55" s="1556"/>
      <c r="M55" s="1556"/>
      <c r="N55" s="1065"/>
      <c r="O55" s="1065"/>
      <c r="P55" s="1065"/>
      <c r="Q55" s="1065"/>
      <c r="R55" s="1556"/>
      <c r="S55" s="1065"/>
      <c r="T55" s="1065"/>
      <c r="U55" s="467"/>
      <c r="V55" s="1065"/>
      <c r="W55" s="1065"/>
      <c r="X55" s="1065"/>
      <c r="Y55" s="1065"/>
      <c r="Z55" s="1065"/>
      <c r="AA55" s="1552"/>
      <c r="AB55" s="489"/>
      <c r="AC55" s="489"/>
      <c r="AD55" s="489"/>
      <c r="AE55" s="489"/>
    </row>
    <row r="56" spans="1:31" s="1561" customFormat="1" ht="11.25" customHeight="1">
      <c r="A56" s="898"/>
      <c r="B56" s="1556"/>
      <c r="C56" s="1556"/>
      <c r="D56" s="272"/>
      <c r="K56" s="1065"/>
      <c r="L56" s="1556"/>
      <c r="M56" s="1556"/>
      <c r="N56" s="1065"/>
      <c r="O56" s="1065"/>
      <c r="P56" s="1065"/>
      <c r="Q56" s="1065"/>
      <c r="R56" s="1556"/>
      <c r="S56" s="1065"/>
      <c r="T56" s="1065"/>
      <c r="U56" s="467"/>
      <c r="V56" s="1065"/>
      <c r="W56" s="1065"/>
      <c r="X56" s="1065"/>
      <c r="Y56" s="1065"/>
      <c r="Z56" s="1065"/>
      <c r="AA56" s="1552"/>
      <c r="AB56" s="489"/>
      <c r="AC56" s="489"/>
      <c r="AD56" s="489"/>
      <c r="AE56" s="489"/>
    </row>
    <row r="57" spans="1:31" s="1561" customFormat="1" ht="11.25" customHeight="1">
      <c r="A57" s="898"/>
      <c r="B57" s="1556"/>
      <c r="C57" s="1556"/>
      <c r="D57" s="272"/>
      <c r="K57" s="1065"/>
      <c r="L57" s="1556"/>
      <c r="M57" s="1556"/>
      <c r="N57" s="1065"/>
      <c r="O57" s="1065"/>
      <c r="P57" s="1065"/>
      <c r="Q57" s="1065"/>
      <c r="R57" s="1556"/>
      <c r="S57" s="1065"/>
      <c r="T57" s="1065"/>
      <c r="U57" s="467"/>
      <c r="V57" s="1065"/>
      <c r="W57" s="1065"/>
      <c r="X57" s="1065"/>
      <c r="Y57" s="1065"/>
      <c r="Z57" s="1065"/>
      <c r="AA57" s="1552"/>
      <c r="AB57" s="489"/>
      <c r="AC57" s="489"/>
      <c r="AD57" s="489"/>
      <c r="AE57" s="489"/>
    </row>
    <row r="58" spans="1:31" s="1561" customFormat="1" ht="11.25" customHeight="1">
      <c r="A58" s="898"/>
      <c r="B58" s="1556"/>
      <c r="C58" s="1556"/>
      <c r="D58" s="272"/>
      <c r="K58" s="1065"/>
      <c r="L58" s="1556"/>
      <c r="M58" s="1556"/>
      <c r="N58" s="1065"/>
      <c r="O58" s="1065"/>
      <c r="P58" s="1065"/>
      <c r="Q58" s="1065"/>
      <c r="R58" s="1556"/>
      <c r="S58" s="1065"/>
      <c r="T58" s="1065"/>
      <c r="U58" s="467"/>
      <c r="V58" s="1065"/>
      <c r="W58" s="1065"/>
      <c r="X58" s="1065"/>
      <c r="Y58" s="1065"/>
      <c r="Z58" s="1065"/>
      <c r="AA58" s="1552"/>
      <c r="AB58" s="489"/>
      <c r="AC58" s="489"/>
      <c r="AD58" s="489"/>
      <c r="AE58" s="489"/>
    </row>
    <row r="59" spans="1:31" s="1561" customFormat="1" ht="11.25" customHeight="1">
      <c r="A59" s="898"/>
      <c r="B59" s="1556"/>
      <c r="C59" s="1556"/>
      <c r="D59" s="272"/>
      <c r="K59" s="1065"/>
      <c r="L59" s="1556"/>
      <c r="M59" s="1556"/>
      <c r="N59" s="1065"/>
      <c r="O59" s="1065"/>
      <c r="P59" s="1065"/>
      <c r="Q59" s="1065"/>
      <c r="R59" s="1556"/>
      <c r="S59" s="1065"/>
      <c r="T59" s="1065"/>
      <c r="U59" s="467"/>
      <c r="V59" s="1065"/>
      <c r="W59" s="1065"/>
      <c r="X59" s="1065"/>
      <c r="Y59" s="1065"/>
      <c r="Z59" s="1065"/>
      <c r="AA59" s="1552"/>
      <c r="AB59" s="489"/>
      <c r="AC59" s="489"/>
      <c r="AD59" s="489"/>
      <c r="AE59" s="489"/>
    </row>
    <row r="60" spans="1:31" s="1561" customFormat="1" ht="11.25" customHeight="1">
      <c r="A60" s="898"/>
      <c r="B60" s="1556"/>
      <c r="C60" s="1556"/>
      <c r="D60" s="272"/>
      <c r="K60" s="1065"/>
      <c r="L60" s="1556"/>
      <c r="M60" s="1556"/>
      <c r="N60" s="1065"/>
      <c r="O60" s="1065"/>
      <c r="P60" s="1065"/>
      <c r="Q60" s="1065"/>
      <c r="R60" s="1556"/>
      <c r="S60" s="1065"/>
      <c r="T60" s="1065"/>
      <c r="U60" s="467"/>
      <c r="V60" s="1065"/>
      <c r="W60" s="1065"/>
      <c r="X60" s="1065"/>
      <c r="Y60" s="1065"/>
      <c r="Z60" s="1065"/>
      <c r="AA60" s="1552"/>
      <c r="AB60" s="489"/>
      <c r="AC60" s="489"/>
      <c r="AD60" s="489"/>
      <c r="AE60" s="489"/>
    </row>
    <row r="61" spans="1:31" s="1561" customFormat="1" ht="11.25" customHeight="1">
      <c r="A61" s="898"/>
      <c r="B61" s="1556"/>
      <c r="C61" s="1556"/>
      <c r="D61" s="272"/>
      <c r="K61" s="1065"/>
      <c r="L61" s="1556"/>
      <c r="M61" s="1556"/>
      <c r="N61" s="1065"/>
      <c r="O61" s="1065"/>
      <c r="P61" s="1065"/>
      <c r="Q61" s="1065"/>
      <c r="R61" s="1556"/>
      <c r="S61" s="1065"/>
      <c r="T61" s="1065"/>
      <c r="U61" s="467"/>
      <c r="V61" s="1065"/>
      <c r="W61" s="1065"/>
      <c r="X61" s="1065"/>
      <c r="Y61" s="1065"/>
      <c r="Z61" s="1065"/>
      <c r="AA61" s="1552"/>
      <c r="AB61" s="489"/>
      <c r="AC61" s="489"/>
      <c r="AD61" s="489"/>
      <c r="AE61" s="489"/>
    </row>
    <row r="62" spans="1:31" s="1561" customFormat="1" ht="11.25" customHeight="1">
      <c r="A62" s="898"/>
      <c r="B62" s="1556"/>
      <c r="C62" s="1556"/>
      <c r="D62" s="272"/>
      <c r="K62" s="1065"/>
      <c r="L62" s="1556"/>
      <c r="M62" s="1556"/>
      <c r="N62" s="1065"/>
      <c r="O62" s="1065"/>
      <c r="P62" s="1065"/>
      <c r="Q62" s="1065"/>
      <c r="R62" s="1556"/>
      <c r="S62" s="1065"/>
      <c r="T62" s="1065"/>
      <c r="U62" s="467"/>
      <c r="V62" s="1065"/>
      <c r="W62" s="1065"/>
      <c r="X62" s="1065"/>
      <c r="Y62" s="1065"/>
      <c r="Z62" s="1065"/>
      <c r="AA62" s="1552"/>
      <c r="AB62" s="489"/>
      <c r="AC62" s="489"/>
      <c r="AD62" s="489"/>
      <c r="AE62" s="489"/>
    </row>
    <row r="63" spans="1:31" s="1561" customFormat="1" ht="11.25" customHeight="1">
      <c r="A63" s="898"/>
      <c r="B63" s="1556"/>
      <c r="C63" s="1556"/>
      <c r="D63" s="272"/>
      <c r="K63" s="1065"/>
      <c r="L63" s="1556"/>
      <c r="M63" s="1556"/>
      <c r="N63" s="1065"/>
      <c r="O63" s="1065"/>
      <c r="P63" s="1065"/>
      <c r="Q63" s="1065"/>
      <c r="R63" s="1556"/>
      <c r="S63" s="1065"/>
      <c r="T63" s="1065"/>
      <c r="U63" s="467"/>
      <c r="V63" s="1065"/>
      <c r="W63" s="1065"/>
      <c r="X63" s="1065"/>
      <c r="Y63" s="1065"/>
      <c r="Z63" s="1065"/>
      <c r="AA63" s="1552"/>
      <c r="AB63" s="489"/>
      <c r="AC63" s="489"/>
      <c r="AD63" s="489"/>
      <c r="AE63" s="489"/>
    </row>
    <row r="64" spans="1:31" s="1561" customFormat="1" ht="11.25" customHeight="1">
      <c r="A64" s="898"/>
      <c r="B64" s="1556"/>
      <c r="C64" s="1556"/>
      <c r="D64" s="272"/>
      <c r="K64" s="1065"/>
      <c r="L64" s="1556"/>
      <c r="M64" s="1556"/>
      <c r="N64" s="1065"/>
      <c r="O64" s="1065"/>
      <c r="P64" s="1065"/>
      <c r="Q64" s="1065"/>
      <c r="R64" s="1556"/>
      <c r="S64" s="1065"/>
      <c r="T64" s="1065"/>
      <c r="U64" s="467"/>
      <c r="V64" s="1065"/>
      <c r="W64" s="1065"/>
      <c r="X64" s="1065"/>
      <c r="Y64" s="1065"/>
      <c r="Z64" s="1065"/>
      <c r="AA64" s="1552"/>
      <c r="AB64" s="489"/>
      <c r="AC64" s="489"/>
      <c r="AD64" s="489"/>
      <c r="AE64" s="489"/>
    </row>
    <row r="65" spans="1:31" s="1561" customFormat="1" ht="11.25" customHeight="1">
      <c r="A65" s="898"/>
      <c r="B65" s="1556"/>
      <c r="C65" s="1556"/>
      <c r="D65" s="272"/>
      <c r="K65" s="1065"/>
      <c r="L65" s="1556"/>
      <c r="M65" s="1556"/>
      <c r="N65" s="1065"/>
      <c r="O65" s="1065"/>
      <c r="P65" s="1065"/>
      <c r="Q65" s="1065"/>
      <c r="R65" s="1556"/>
      <c r="S65" s="1065"/>
      <c r="T65" s="1065"/>
      <c r="U65" s="467"/>
      <c r="V65" s="1065"/>
      <c r="W65" s="1065"/>
      <c r="X65" s="1065"/>
      <c r="Y65" s="1065"/>
      <c r="Z65" s="1065"/>
      <c r="AA65" s="1552"/>
      <c r="AB65" s="489"/>
      <c r="AC65" s="489"/>
      <c r="AD65" s="489"/>
      <c r="AE65" s="489"/>
    </row>
    <row r="66" spans="1:31" s="1561" customFormat="1" ht="11.25" customHeight="1">
      <c r="A66" s="898"/>
      <c r="B66" s="1556"/>
      <c r="C66" s="1556"/>
      <c r="D66" s="272"/>
      <c r="K66" s="1065"/>
      <c r="L66" s="1556"/>
      <c r="M66" s="1556"/>
      <c r="N66" s="1065"/>
      <c r="O66" s="1065"/>
      <c r="P66" s="1065"/>
      <c r="Q66" s="1065"/>
      <c r="R66" s="1556"/>
      <c r="S66" s="1065"/>
      <c r="T66" s="1065"/>
      <c r="U66" s="467"/>
      <c r="V66" s="1065"/>
      <c r="W66" s="1065"/>
      <c r="X66" s="1065"/>
      <c r="Y66" s="1065"/>
      <c r="Z66" s="1065"/>
      <c r="AA66" s="1552"/>
      <c r="AB66" s="489"/>
      <c r="AC66" s="489"/>
      <c r="AD66" s="489"/>
      <c r="AE66" s="489"/>
    </row>
    <row r="67" spans="1:31" s="1561" customFormat="1" ht="11.25" customHeight="1">
      <c r="A67" s="898"/>
      <c r="B67" s="1556"/>
      <c r="C67" s="1556"/>
      <c r="D67" s="272"/>
      <c r="K67" s="1065"/>
      <c r="L67" s="1556"/>
      <c r="M67" s="1556"/>
      <c r="N67" s="1065"/>
      <c r="O67" s="1065"/>
      <c r="P67" s="1065"/>
      <c r="Q67" s="1065"/>
      <c r="R67" s="1556"/>
      <c r="S67" s="1065"/>
      <c r="T67" s="1065"/>
      <c r="U67" s="467"/>
      <c r="V67" s="1065"/>
      <c r="W67" s="1065"/>
      <c r="X67" s="1065"/>
      <c r="Y67" s="1065"/>
      <c r="Z67" s="1065"/>
      <c r="AA67" s="1552"/>
      <c r="AB67" s="489"/>
      <c r="AC67" s="489"/>
      <c r="AD67" s="489"/>
      <c r="AE67" s="489"/>
    </row>
    <row r="68" spans="1:31" s="1561" customFormat="1" ht="11.25" customHeight="1">
      <c r="A68" s="898"/>
      <c r="B68" s="1556"/>
      <c r="C68" s="1556"/>
      <c r="D68" s="272"/>
      <c r="K68" s="1065"/>
      <c r="L68" s="1556"/>
      <c r="M68" s="1556"/>
      <c r="N68" s="1065"/>
      <c r="O68" s="1065"/>
      <c r="P68" s="1065"/>
      <c r="Q68" s="1065"/>
      <c r="R68" s="1556"/>
      <c r="S68" s="1065"/>
      <c r="T68" s="1065"/>
      <c r="U68" s="467"/>
      <c r="V68" s="1065"/>
      <c r="W68" s="1065"/>
      <c r="X68" s="1065"/>
      <c r="Y68" s="1065"/>
      <c r="Z68" s="1065"/>
      <c r="AA68" s="1552"/>
      <c r="AB68" s="489"/>
      <c r="AC68" s="489"/>
      <c r="AD68" s="489"/>
      <c r="AE68" s="489"/>
    </row>
    <row r="69" spans="1:31" s="1561" customFormat="1" ht="11.25" customHeight="1">
      <c r="A69" s="898"/>
      <c r="B69" s="1556"/>
      <c r="C69" s="1556"/>
      <c r="D69" s="272"/>
      <c r="K69" s="1065"/>
      <c r="L69" s="1556"/>
      <c r="M69" s="1556"/>
      <c r="N69" s="1065"/>
      <c r="O69" s="1065"/>
      <c r="P69" s="1065"/>
      <c r="Q69" s="1065"/>
      <c r="R69" s="1556"/>
      <c r="S69" s="1065"/>
      <c r="T69" s="1065"/>
      <c r="U69" s="467"/>
      <c r="V69" s="1065"/>
      <c r="W69" s="1065"/>
      <c r="X69" s="1065"/>
      <c r="Y69" s="1065"/>
      <c r="Z69" s="1065"/>
      <c r="AA69" s="1552"/>
      <c r="AB69" s="489"/>
      <c r="AC69" s="489"/>
      <c r="AD69" s="489"/>
      <c r="AE69" s="489"/>
    </row>
    <row r="70" spans="1:31" s="1561" customFormat="1" ht="11.25" customHeight="1">
      <c r="A70" s="898"/>
      <c r="B70" s="1556"/>
      <c r="C70" s="1556"/>
      <c r="D70" s="272"/>
      <c r="K70" s="1065"/>
      <c r="L70" s="1556"/>
      <c r="M70" s="1556"/>
      <c r="N70" s="1065"/>
      <c r="O70" s="1065"/>
      <c r="P70" s="1065"/>
      <c r="Q70" s="1065"/>
      <c r="R70" s="1556"/>
      <c r="S70" s="1065"/>
      <c r="T70" s="1065"/>
      <c r="U70" s="467"/>
      <c r="V70" s="1065"/>
      <c r="W70" s="1065"/>
      <c r="X70" s="1065"/>
      <c r="Y70" s="1065"/>
      <c r="Z70" s="1065"/>
      <c r="AA70" s="1552"/>
      <c r="AB70" s="489"/>
      <c r="AC70" s="489"/>
      <c r="AD70" s="489"/>
      <c r="AE70" s="489"/>
    </row>
    <row r="71" spans="1:31" s="1561" customFormat="1" ht="11.25" customHeight="1">
      <c r="A71" s="898"/>
      <c r="B71" s="1556"/>
      <c r="C71" s="1556"/>
      <c r="D71" s="272"/>
      <c r="K71" s="1065"/>
      <c r="L71" s="1556"/>
      <c r="M71" s="1556"/>
      <c r="N71" s="1065"/>
      <c r="O71" s="1065"/>
      <c r="P71" s="1065"/>
      <c r="Q71" s="1065"/>
      <c r="R71" s="1556"/>
      <c r="S71" s="1065"/>
      <c r="T71" s="1065"/>
      <c r="U71" s="467"/>
      <c r="V71" s="1065"/>
      <c r="W71" s="1065"/>
      <c r="X71" s="1065"/>
      <c r="Y71" s="1065"/>
      <c r="Z71" s="1065"/>
      <c r="AA71" s="1552"/>
      <c r="AB71" s="489"/>
      <c r="AC71" s="489"/>
      <c r="AD71" s="489"/>
      <c r="AE71" s="489"/>
    </row>
    <row r="72" spans="1:31" s="1561" customFormat="1" ht="11.25" customHeight="1">
      <c r="A72" s="898"/>
      <c r="B72" s="1556"/>
      <c r="C72" s="1556"/>
      <c r="D72" s="272"/>
      <c r="K72" s="1065"/>
      <c r="L72" s="1556"/>
      <c r="M72" s="1556"/>
      <c r="N72" s="1065"/>
      <c r="O72" s="1065"/>
      <c r="P72" s="1065"/>
      <c r="Q72" s="1065"/>
      <c r="R72" s="1556"/>
      <c r="S72" s="1065"/>
      <c r="T72" s="1065"/>
      <c r="U72" s="467"/>
      <c r="V72" s="1065"/>
      <c r="W72" s="1065"/>
      <c r="X72" s="1065"/>
      <c r="Y72" s="1065"/>
      <c r="Z72" s="1065"/>
      <c r="AA72" s="1552"/>
      <c r="AB72" s="489"/>
      <c r="AC72" s="489"/>
      <c r="AD72" s="489"/>
      <c r="AE72" s="489"/>
    </row>
    <row r="73" spans="1:31" s="1561" customFormat="1" ht="11.25" customHeight="1">
      <c r="A73" s="898"/>
      <c r="B73" s="1556"/>
      <c r="C73" s="1556"/>
      <c r="D73" s="272"/>
      <c r="K73" s="1065"/>
      <c r="L73" s="1556"/>
      <c r="M73" s="1556"/>
      <c r="N73" s="1065"/>
      <c r="O73" s="1065"/>
      <c r="P73" s="1065"/>
      <c r="Q73" s="1065"/>
      <c r="R73" s="1556"/>
      <c r="S73" s="1065"/>
      <c r="T73" s="1065"/>
      <c r="U73" s="467"/>
      <c r="V73" s="1065"/>
      <c r="W73" s="1065"/>
      <c r="X73" s="1065"/>
      <c r="Y73" s="1065"/>
      <c r="Z73" s="1065"/>
      <c r="AA73" s="1552"/>
      <c r="AB73" s="489"/>
      <c r="AC73" s="489"/>
      <c r="AD73" s="489"/>
      <c r="AE73" s="489"/>
    </row>
    <row r="74" spans="1:31" s="1561" customFormat="1" ht="11.25" customHeight="1">
      <c r="A74" s="898"/>
      <c r="B74" s="1556"/>
      <c r="C74" s="1556"/>
      <c r="D74" s="272"/>
      <c r="K74" s="1065"/>
      <c r="L74" s="1556"/>
      <c r="M74" s="1556"/>
      <c r="N74" s="1065"/>
      <c r="O74" s="1065"/>
      <c r="P74" s="1065"/>
      <c r="Q74" s="1065"/>
      <c r="R74" s="1556"/>
      <c r="S74" s="1065"/>
      <c r="T74" s="1065"/>
      <c r="U74" s="467"/>
      <c r="V74" s="1065"/>
      <c r="W74" s="1065"/>
      <c r="X74" s="1065"/>
      <c r="Y74" s="1065"/>
      <c r="Z74" s="1065"/>
      <c r="AA74" s="1552"/>
      <c r="AB74" s="489"/>
      <c r="AC74" s="489"/>
      <c r="AD74" s="489"/>
      <c r="AE74" s="489"/>
    </row>
    <row r="75" spans="1:31" s="1561" customFormat="1" ht="11.25" customHeight="1">
      <c r="A75" s="898"/>
      <c r="B75" s="1556"/>
      <c r="C75" s="1556"/>
      <c r="D75" s="272"/>
      <c r="K75" s="1065"/>
      <c r="L75" s="1556"/>
      <c r="M75" s="1556"/>
      <c r="N75" s="1065"/>
      <c r="O75" s="1065"/>
      <c r="P75" s="1065"/>
      <c r="Q75" s="1065"/>
      <c r="R75" s="1556"/>
      <c r="S75" s="1065"/>
      <c r="T75" s="1065"/>
      <c r="U75" s="467"/>
      <c r="V75" s="1065"/>
      <c r="W75" s="1065"/>
      <c r="X75" s="1065"/>
      <c r="Y75" s="1065"/>
      <c r="Z75" s="1065"/>
      <c r="AA75" s="1552"/>
      <c r="AB75" s="489"/>
      <c r="AC75" s="489"/>
      <c r="AD75" s="489"/>
      <c r="AE75" s="489"/>
    </row>
    <row r="76" spans="1:31" s="1561" customFormat="1" ht="11.25" customHeight="1">
      <c r="A76" s="898"/>
      <c r="B76" s="1556"/>
      <c r="C76" s="1556"/>
      <c r="D76" s="272"/>
      <c r="K76" s="1065"/>
      <c r="L76" s="1556"/>
      <c r="M76" s="1556"/>
      <c r="N76" s="1065"/>
      <c r="O76" s="1065"/>
      <c r="P76" s="1065"/>
      <c r="Q76" s="1065"/>
      <c r="R76" s="1556"/>
      <c r="S76" s="1065"/>
      <c r="T76" s="1065"/>
      <c r="U76" s="467"/>
      <c r="V76" s="1065"/>
      <c r="W76" s="1065"/>
      <c r="X76" s="1065"/>
      <c r="Y76" s="1065"/>
      <c r="Z76" s="1065"/>
      <c r="AA76" s="1552"/>
      <c r="AB76" s="489"/>
      <c r="AC76" s="489"/>
      <c r="AD76" s="489"/>
      <c r="AE76" s="489"/>
    </row>
    <row r="77" spans="1:31" s="1561" customFormat="1" ht="11.25" customHeight="1">
      <c r="A77" s="898"/>
      <c r="B77" s="1556"/>
      <c r="C77" s="1556"/>
      <c r="D77" s="272"/>
      <c r="K77" s="1065"/>
      <c r="L77" s="1556"/>
      <c r="M77" s="1556"/>
      <c r="N77" s="1065"/>
      <c r="O77" s="1065"/>
      <c r="P77" s="1065"/>
      <c r="Q77" s="1065"/>
      <c r="R77" s="1556"/>
      <c r="S77" s="1065"/>
      <c r="T77" s="1065"/>
      <c r="U77" s="467"/>
      <c r="V77" s="1065"/>
      <c r="W77" s="1065"/>
      <c r="X77" s="1065"/>
      <c r="Y77" s="1065"/>
      <c r="Z77" s="1065"/>
      <c r="AA77" s="1552"/>
      <c r="AB77" s="489"/>
      <c r="AC77" s="489"/>
      <c r="AD77" s="489"/>
      <c r="AE77" s="489"/>
    </row>
    <row r="78" spans="1:31" s="1561" customFormat="1" ht="11.25" customHeight="1">
      <c r="A78" s="898"/>
      <c r="B78" s="1556"/>
      <c r="C78" s="1556"/>
      <c r="D78" s="272"/>
      <c r="K78" s="1065"/>
      <c r="L78" s="1556"/>
      <c r="M78" s="1556"/>
      <c r="N78" s="1065"/>
      <c r="O78" s="1065"/>
      <c r="P78" s="1065"/>
      <c r="Q78" s="1065"/>
      <c r="R78" s="1556"/>
      <c r="S78" s="1065"/>
      <c r="T78" s="1065"/>
      <c r="U78" s="467"/>
      <c r="V78" s="1065"/>
      <c r="W78" s="1065"/>
      <c r="X78" s="1065"/>
      <c r="Y78" s="1065"/>
      <c r="Z78" s="1065"/>
      <c r="AA78" s="1552"/>
      <c r="AB78" s="489"/>
      <c r="AC78" s="489"/>
      <c r="AD78" s="489"/>
      <c r="AE78" s="489"/>
    </row>
    <row r="79" spans="1:31" s="1561" customFormat="1" ht="11.25" customHeight="1">
      <c r="A79" s="898"/>
      <c r="B79" s="1556"/>
      <c r="C79" s="1556"/>
      <c r="D79" s="272"/>
      <c r="K79" s="1065"/>
      <c r="L79" s="1556"/>
      <c r="M79" s="1556"/>
      <c r="N79" s="1065"/>
      <c r="O79" s="1065"/>
      <c r="P79" s="1065"/>
      <c r="Q79" s="1065"/>
      <c r="R79" s="1556"/>
      <c r="S79" s="1065"/>
      <c r="T79" s="1065"/>
      <c r="U79" s="467"/>
      <c r="V79" s="1065"/>
      <c r="W79" s="1065"/>
      <c r="X79" s="1065"/>
      <c r="Y79" s="1065"/>
      <c r="Z79" s="1065"/>
      <c r="AA79" s="1552"/>
      <c r="AB79" s="489"/>
      <c r="AC79" s="489"/>
      <c r="AD79" s="489"/>
      <c r="AE79" s="489"/>
    </row>
    <row r="80" spans="1:31" s="1561" customFormat="1" ht="11.25" customHeight="1">
      <c r="A80" s="898"/>
      <c r="B80" s="1556"/>
      <c r="C80" s="1556"/>
      <c r="D80" s="272"/>
      <c r="K80" s="1065"/>
      <c r="L80" s="1556"/>
      <c r="M80" s="1556"/>
      <c r="N80" s="1065"/>
      <c r="O80" s="1065"/>
      <c r="P80" s="1065"/>
      <c r="Q80" s="1065"/>
      <c r="R80" s="1556"/>
      <c r="S80" s="1065"/>
      <c r="T80" s="1065"/>
      <c r="U80" s="467"/>
      <c r="V80" s="1065"/>
      <c r="W80" s="1065"/>
      <c r="X80" s="1065"/>
      <c r="Y80" s="1065"/>
      <c r="Z80" s="1065"/>
      <c r="AA80" s="1552"/>
      <c r="AB80" s="489"/>
      <c r="AC80" s="489"/>
      <c r="AD80" s="489"/>
      <c r="AE80" s="489"/>
    </row>
    <row r="81" spans="1:31" s="1561" customFormat="1" ht="11.25" customHeight="1">
      <c r="A81" s="898"/>
      <c r="B81" s="1556"/>
      <c r="C81" s="1556"/>
      <c r="D81" s="272"/>
      <c r="K81" s="1065"/>
      <c r="L81" s="1556"/>
      <c r="M81" s="1556"/>
      <c r="N81" s="1065"/>
      <c r="O81" s="1065"/>
      <c r="P81" s="1065"/>
      <c r="Q81" s="1065"/>
      <c r="R81" s="1556"/>
      <c r="S81" s="1065"/>
      <c r="T81" s="1065"/>
      <c r="U81" s="467"/>
      <c r="V81" s="1065"/>
      <c r="W81" s="1065"/>
      <c r="X81" s="1065"/>
      <c r="Y81" s="1065"/>
      <c r="Z81" s="1065"/>
      <c r="AA81" s="1552"/>
      <c r="AB81" s="489"/>
      <c r="AC81" s="489"/>
      <c r="AD81" s="489"/>
      <c r="AE81" s="489"/>
    </row>
    <row r="82" spans="1:31" s="1561" customFormat="1" ht="11.25" customHeight="1">
      <c r="A82" s="898"/>
      <c r="B82" s="1556"/>
      <c r="C82" s="1556"/>
      <c r="D82" s="272"/>
      <c r="K82" s="1065"/>
      <c r="L82" s="1556"/>
      <c r="M82" s="1556"/>
      <c r="N82" s="1065"/>
      <c r="O82" s="1065"/>
      <c r="P82" s="1065"/>
      <c r="Q82" s="1065"/>
      <c r="R82" s="1556"/>
      <c r="S82" s="1065"/>
      <c r="T82" s="1065"/>
      <c r="U82" s="467"/>
      <c r="V82" s="1065"/>
      <c r="W82" s="1065"/>
      <c r="X82" s="1065"/>
      <c r="Y82" s="1065"/>
      <c r="Z82" s="1065"/>
      <c r="AA82" s="1552"/>
      <c r="AB82" s="489"/>
      <c r="AC82" s="489"/>
      <c r="AD82" s="489"/>
      <c r="AE82" s="489"/>
    </row>
    <row r="83" spans="1:31" s="1561" customFormat="1" ht="11.25" customHeight="1">
      <c r="A83" s="898"/>
      <c r="B83" s="1556"/>
      <c r="C83" s="1556"/>
      <c r="D83" s="272"/>
      <c r="K83" s="1065"/>
      <c r="L83" s="1556"/>
      <c r="M83" s="1556"/>
      <c r="N83" s="1065"/>
      <c r="O83" s="1065"/>
      <c r="P83" s="1065"/>
      <c r="Q83" s="1065"/>
      <c r="R83" s="1556"/>
      <c r="S83" s="1065"/>
      <c r="T83" s="1065"/>
      <c r="U83" s="467"/>
      <c r="V83" s="1065"/>
      <c r="W83" s="1065"/>
      <c r="X83" s="1065"/>
      <c r="Y83" s="1065"/>
      <c r="Z83" s="1065"/>
      <c r="AA83" s="1552"/>
      <c r="AB83" s="489"/>
      <c r="AC83" s="489"/>
      <c r="AD83" s="489"/>
      <c r="AE83" s="489"/>
    </row>
    <row r="84" spans="1:31" s="1561" customFormat="1" ht="11.25" customHeight="1">
      <c r="A84" s="898"/>
      <c r="B84" s="1556"/>
      <c r="C84" s="1556"/>
      <c r="D84" s="272"/>
      <c r="K84" s="1065"/>
      <c r="L84" s="1556"/>
      <c r="M84" s="1556"/>
      <c r="N84" s="1065"/>
      <c r="O84" s="1065"/>
      <c r="P84" s="1065"/>
      <c r="Q84" s="1065"/>
      <c r="R84" s="1556"/>
      <c r="S84" s="1065"/>
      <c r="T84" s="1065"/>
      <c r="U84" s="467"/>
      <c r="V84" s="1065"/>
      <c r="W84" s="1065"/>
      <c r="X84" s="1065"/>
      <c r="Y84" s="1065"/>
      <c r="Z84" s="1065"/>
      <c r="AA84" s="1552"/>
      <c r="AB84" s="489"/>
      <c r="AC84" s="489"/>
      <c r="AD84" s="489"/>
      <c r="AE84" s="489"/>
    </row>
    <row r="85" spans="1:31" s="1561" customFormat="1" ht="11.25" customHeight="1">
      <c r="A85" s="898"/>
      <c r="B85" s="1556"/>
      <c r="C85" s="1556"/>
      <c r="D85" s="272"/>
      <c r="K85" s="1065"/>
      <c r="L85" s="1556"/>
      <c r="M85" s="1556"/>
      <c r="N85" s="1065"/>
      <c r="O85" s="1065"/>
      <c r="P85" s="1065"/>
      <c r="Q85" s="1065"/>
      <c r="R85" s="1556"/>
      <c r="S85" s="1065"/>
      <c r="T85" s="1065"/>
      <c r="U85" s="467"/>
      <c r="V85" s="1065"/>
      <c r="W85" s="1065"/>
      <c r="X85" s="1065"/>
      <c r="Y85" s="1065"/>
      <c r="Z85" s="1065"/>
      <c r="AA85" s="1552"/>
      <c r="AB85" s="489"/>
      <c r="AC85" s="489"/>
      <c r="AD85" s="489"/>
      <c r="AE85" s="489"/>
    </row>
    <row r="86" spans="1:31" s="1561" customFormat="1" ht="11.25" customHeight="1">
      <c r="A86" s="898"/>
      <c r="B86" s="1556"/>
      <c r="C86" s="1556"/>
      <c r="D86" s="272"/>
      <c r="K86" s="1065"/>
      <c r="L86" s="1556"/>
      <c r="M86" s="1556"/>
      <c r="N86" s="1065"/>
      <c r="O86" s="1065"/>
      <c r="P86" s="1065"/>
      <c r="Q86" s="1065"/>
      <c r="R86" s="1556"/>
      <c r="S86" s="1065"/>
      <c r="T86" s="1065"/>
      <c r="U86" s="467"/>
      <c r="V86" s="1065"/>
      <c r="W86" s="1065"/>
      <c r="X86" s="1065"/>
      <c r="Y86" s="1065"/>
      <c r="Z86" s="1065"/>
      <c r="AA86" s="1552"/>
      <c r="AB86" s="489"/>
      <c r="AC86" s="489"/>
      <c r="AD86" s="489"/>
      <c r="AE86" s="489"/>
    </row>
    <row r="87" spans="1:31" s="1561" customFormat="1" ht="11.25" customHeight="1">
      <c r="A87" s="898"/>
      <c r="B87" s="1556"/>
      <c r="C87" s="1556"/>
      <c r="D87" s="272"/>
      <c r="K87" s="1065"/>
      <c r="L87" s="1556"/>
      <c r="M87" s="1556"/>
      <c r="N87" s="1065"/>
      <c r="O87" s="1065"/>
      <c r="P87" s="1065"/>
      <c r="Q87" s="1065"/>
      <c r="R87" s="1556"/>
      <c r="S87" s="1065"/>
      <c r="T87" s="1065"/>
      <c r="U87" s="467"/>
      <c r="V87" s="1065"/>
      <c r="W87" s="1065"/>
      <c r="X87" s="1065"/>
      <c r="Y87" s="1065"/>
      <c r="Z87" s="1065"/>
      <c r="AA87" s="1552"/>
      <c r="AB87" s="489"/>
      <c r="AC87" s="489"/>
      <c r="AD87" s="489"/>
      <c r="AE87" s="489"/>
    </row>
    <row r="88" spans="1:31" s="1561" customFormat="1" ht="11.25" customHeight="1">
      <c r="A88" s="898"/>
      <c r="B88" s="1556"/>
      <c r="C88" s="1556"/>
      <c r="D88" s="272"/>
      <c r="K88" s="1065"/>
      <c r="L88" s="1556"/>
      <c r="M88" s="1556"/>
      <c r="N88" s="1065"/>
      <c r="O88" s="1065"/>
      <c r="P88" s="1065"/>
      <c r="Q88" s="1065"/>
      <c r="R88" s="1556"/>
      <c r="S88" s="1065"/>
      <c r="T88" s="1065"/>
      <c r="U88" s="467"/>
      <c r="V88" s="1065"/>
      <c r="W88" s="1065"/>
      <c r="X88" s="1065"/>
      <c r="Y88" s="1065"/>
      <c r="Z88" s="1065"/>
      <c r="AA88" s="1552"/>
      <c r="AB88" s="489"/>
      <c r="AC88" s="489"/>
      <c r="AD88" s="489"/>
      <c r="AE88" s="489"/>
    </row>
    <row r="89" spans="1:31" s="1561" customFormat="1" ht="11.25" customHeight="1">
      <c r="A89" s="898"/>
      <c r="B89" s="1556"/>
      <c r="C89" s="1556"/>
      <c r="D89" s="272"/>
      <c r="K89" s="1065"/>
      <c r="L89" s="1556"/>
      <c r="M89" s="1556"/>
      <c r="N89" s="1065"/>
      <c r="O89" s="1065"/>
      <c r="P89" s="1065"/>
      <c r="Q89" s="1065"/>
      <c r="R89" s="1556"/>
      <c r="S89" s="1065"/>
      <c r="T89" s="1065"/>
      <c r="U89" s="467"/>
      <c r="V89" s="1065"/>
      <c r="W89" s="1065"/>
      <c r="X89" s="1065"/>
      <c r="Y89" s="1065"/>
      <c r="Z89" s="1065"/>
      <c r="AA89" s="1552"/>
      <c r="AB89" s="489"/>
      <c r="AC89" s="489"/>
      <c r="AD89" s="489"/>
      <c r="AE89" s="489"/>
    </row>
    <row r="90" spans="1:31" s="1561" customFormat="1" ht="11.25" customHeight="1">
      <c r="A90" s="898"/>
      <c r="B90" s="1556"/>
      <c r="C90" s="1556"/>
      <c r="D90" s="272"/>
      <c r="K90" s="1065"/>
      <c r="L90" s="1556"/>
      <c r="M90" s="1556"/>
      <c r="N90" s="1065"/>
      <c r="O90" s="1065"/>
      <c r="P90" s="1065"/>
      <c r="Q90" s="1065"/>
      <c r="R90" s="1556"/>
      <c r="S90" s="1065"/>
      <c r="T90" s="1065"/>
      <c r="U90" s="467"/>
      <c r="V90" s="1065"/>
      <c r="W90" s="1065"/>
      <c r="X90" s="1065"/>
      <c r="Y90" s="1065"/>
      <c r="Z90" s="1065"/>
      <c r="AA90" s="1552"/>
      <c r="AB90" s="489"/>
      <c r="AC90" s="489"/>
      <c r="AD90" s="489"/>
      <c r="AE90" s="489"/>
    </row>
    <row r="91" spans="1:31" s="1561" customFormat="1" ht="11.25" customHeight="1">
      <c r="A91" s="898"/>
      <c r="B91" s="1556"/>
      <c r="C91" s="1556"/>
      <c r="D91" s="272"/>
      <c r="K91" s="1065"/>
      <c r="L91" s="1556"/>
      <c r="M91" s="1556"/>
      <c r="N91" s="1065"/>
      <c r="O91" s="1065"/>
      <c r="P91" s="1065"/>
      <c r="Q91" s="1065"/>
      <c r="R91" s="1556"/>
      <c r="S91" s="1065"/>
      <c r="T91" s="1065"/>
      <c r="U91" s="467"/>
      <c r="V91" s="1065"/>
      <c r="W91" s="1065"/>
      <c r="X91" s="1065"/>
      <c r="Y91" s="1065"/>
      <c r="Z91" s="1065"/>
      <c r="AA91" s="1552"/>
      <c r="AB91" s="489"/>
      <c r="AC91" s="489"/>
      <c r="AD91" s="489"/>
      <c r="AE91" s="489"/>
    </row>
    <row r="92" spans="1:31" s="1561" customFormat="1" ht="11.25" customHeight="1">
      <c r="A92" s="898"/>
      <c r="B92" s="1556"/>
      <c r="C92" s="1556"/>
      <c r="D92" s="272"/>
      <c r="K92" s="1065"/>
      <c r="L92" s="1556"/>
      <c r="M92" s="1556"/>
      <c r="N92" s="1065"/>
      <c r="O92" s="1065"/>
      <c r="P92" s="1065"/>
      <c r="Q92" s="1065"/>
      <c r="R92" s="1556"/>
      <c r="S92" s="1065"/>
      <c r="T92" s="1065"/>
      <c r="U92" s="467"/>
      <c r="V92" s="1065"/>
      <c r="W92" s="1065"/>
      <c r="X92" s="1065"/>
      <c r="Y92" s="1065"/>
      <c r="Z92" s="1065"/>
      <c r="AA92" s="1552"/>
      <c r="AB92" s="489"/>
      <c r="AC92" s="489"/>
      <c r="AD92" s="489"/>
      <c r="AE92" s="489"/>
    </row>
    <row r="93" spans="1:31" s="1561" customFormat="1" ht="11.25" customHeight="1">
      <c r="A93" s="898"/>
      <c r="B93" s="1556"/>
      <c r="C93" s="1556"/>
      <c r="D93" s="272"/>
      <c r="K93" s="1065"/>
      <c r="L93" s="1556"/>
      <c r="M93" s="1556"/>
      <c r="N93" s="1065"/>
      <c r="O93" s="1065"/>
      <c r="P93" s="1065"/>
      <c r="Q93" s="1065"/>
      <c r="R93" s="1556"/>
      <c r="S93" s="1065"/>
      <c r="T93" s="1065"/>
      <c r="U93" s="467"/>
      <c r="V93" s="1065"/>
      <c r="W93" s="1065"/>
      <c r="X93" s="1065"/>
      <c r="Y93" s="1065"/>
      <c r="Z93" s="1065"/>
      <c r="AA93" s="1552"/>
      <c r="AB93" s="489"/>
      <c r="AC93" s="489"/>
      <c r="AD93" s="489"/>
      <c r="AE93" s="489"/>
    </row>
    <row r="94" spans="1:31" s="1561" customFormat="1" ht="11.25" customHeight="1">
      <c r="A94" s="898"/>
      <c r="B94" s="1556"/>
      <c r="C94" s="1556"/>
      <c r="D94" s="272"/>
      <c r="K94" s="1065"/>
      <c r="L94" s="1556"/>
      <c r="M94" s="1556"/>
      <c r="N94" s="1065"/>
      <c r="O94" s="1065"/>
      <c r="P94" s="1065"/>
      <c r="Q94" s="1065"/>
      <c r="R94" s="1556"/>
      <c r="S94" s="1065"/>
      <c r="T94" s="1065"/>
      <c r="U94" s="467"/>
      <c r="V94" s="1065"/>
      <c r="W94" s="1065"/>
      <c r="X94" s="1065"/>
      <c r="Y94" s="1065"/>
      <c r="Z94" s="1065"/>
      <c r="AA94" s="1552"/>
      <c r="AB94" s="489"/>
      <c r="AC94" s="489"/>
      <c r="AD94" s="489"/>
      <c r="AE94" s="489"/>
    </row>
    <row r="95" spans="1:31" s="1561" customFormat="1" ht="11.25" customHeight="1">
      <c r="A95" s="898"/>
      <c r="B95" s="1556"/>
      <c r="C95" s="1556"/>
      <c r="D95" s="272"/>
      <c r="K95" s="1065"/>
      <c r="L95" s="1556"/>
      <c r="M95" s="1556"/>
      <c r="N95" s="1065"/>
      <c r="O95" s="1065"/>
      <c r="P95" s="1065"/>
      <c r="Q95" s="1065"/>
      <c r="R95" s="1556"/>
      <c r="S95" s="1065"/>
      <c r="T95" s="1065"/>
      <c r="U95" s="467"/>
      <c r="V95" s="1065"/>
      <c r="W95" s="1065"/>
      <c r="X95" s="1065"/>
      <c r="Y95" s="1065"/>
      <c r="Z95" s="1065"/>
      <c r="AA95" s="1552"/>
      <c r="AB95" s="489"/>
      <c r="AC95" s="489"/>
      <c r="AD95" s="489"/>
      <c r="AE95" s="489"/>
    </row>
    <row r="96" spans="1:31" s="1561" customFormat="1" ht="11.25" customHeight="1">
      <c r="A96" s="898"/>
      <c r="B96" s="1556"/>
      <c r="C96" s="1556"/>
      <c r="D96" s="272"/>
      <c r="K96" s="1065"/>
      <c r="L96" s="1556"/>
      <c r="M96" s="1556"/>
      <c r="N96" s="1065"/>
      <c r="O96" s="1065"/>
      <c r="P96" s="1065"/>
      <c r="Q96" s="1065"/>
      <c r="R96" s="1556"/>
      <c r="S96" s="1065"/>
      <c r="T96" s="1065"/>
      <c r="U96" s="467"/>
      <c r="V96" s="1065"/>
      <c r="W96" s="1065"/>
      <c r="X96" s="1065"/>
      <c r="Y96" s="1065"/>
      <c r="Z96" s="1065"/>
      <c r="AA96" s="1552"/>
      <c r="AB96" s="489"/>
      <c r="AC96" s="489"/>
      <c r="AD96" s="489"/>
      <c r="AE96" s="489"/>
    </row>
    <row r="97" spans="1:31" s="1561" customFormat="1" ht="11.25" customHeight="1">
      <c r="A97" s="898"/>
      <c r="B97" s="1556"/>
      <c r="C97" s="1556"/>
      <c r="D97" s="272"/>
      <c r="K97" s="1065"/>
      <c r="L97" s="1556"/>
      <c r="M97" s="1556"/>
      <c r="N97" s="1065"/>
      <c r="O97" s="1065"/>
      <c r="P97" s="1065"/>
      <c r="Q97" s="1065"/>
      <c r="R97" s="1556"/>
      <c r="S97" s="1065"/>
      <c r="T97" s="1065"/>
      <c r="U97" s="467"/>
      <c r="V97" s="1065"/>
      <c r="W97" s="1065"/>
      <c r="X97" s="1065"/>
      <c r="Y97" s="1065"/>
      <c r="Z97" s="1065"/>
      <c r="AA97" s="1552"/>
      <c r="AB97" s="489"/>
      <c r="AC97" s="489"/>
      <c r="AD97" s="489"/>
      <c r="AE97" s="489"/>
    </row>
    <row r="98" spans="1:31" s="1561" customFormat="1" ht="11.25" customHeight="1">
      <c r="A98" s="898"/>
      <c r="B98" s="1556"/>
      <c r="C98" s="1556"/>
      <c r="D98" s="272"/>
      <c r="K98" s="1065"/>
      <c r="L98" s="1556"/>
      <c r="M98" s="1556"/>
      <c r="N98" s="1065"/>
      <c r="O98" s="1065"/>
      <c r="P98" s="1065"/>
      <c r="Q98" s="1065"/>
      <c r="R98" s="1556"/>
      <c r="S98" s="1065"/>
      <c r="T98" s="1065"/>
      <c r="U98" s="467"/>
      <c r="V98" s="1065"/>
      <c r="W98" s="1065"/>
      <c r="X98" s="1065"/>
      <c r="Y98" s="1065"/>
      <c r="Z98" s="1065"/>
      <c r="AA98" s="1552"/>
      <c r="AB98" s="489"/>
      <c r="AC98" s="489"/>
      <c r="AD98" s="489"/>
      <c r="AE98" s="489"/>
    </row>
    <row r="99" spans="1:31" s="1561" customFormat="1" ht="11.25" customHeight="1">
      <c r="A99" s="898"/>
      <c r="B99" s="1556"/>
      <c r="C99" s="1556"/>
      <c r="D99" s="272"/>
      <c r="K99" s="1065"/>
      <c r="L99" s="1556"/>
      <c r="M99" s="1556"/>
      <c r="N99" s="1065"/>
      <c r="O99" s="1065"/>
      <c r="P99" s="1065"/>
      <c r="Q99" s="1065"/>
      <c r="R99" s="1556"/>
      <c r="S99" s="1065"/>
      <c r="T99" s="1065"/>
      <c r="U99" s="467"/>
      <c r="V99" s="1065"/>
      <c r="W99" s="1065"/>
      <c r="X99" s="1065"/>
      <c r="Y99" s="1065"/>
      <c r="Z99" s="1065"/>
      <c r="AA99" s="1552"/>
      <c r="AB99" s="489"/>
      <c r="AC99" s="489"/>
      <c r="AD99" s="489"/>
      <c r="AE99" s="489"/>
    </row>
    <row r="100" spans="1:31" s="1561" customFormat="1" ht="11.25" customHeight="1">
      <c r="A100" s="898"/>
      <c r="B100" s="1556"/>
      <c r="C100" s="1556"/>
      <c r="D100" s="272"/>
      <c r="K100" s="1065"/>
      <c r="L100" s="1556"/>
      <c r="M100" s="1556"/>
      <c r="N100" s="1065"/>
      <c r="O100" s="1065"/>
      <c r="P100" s="1065"/>
      <c r="Q100" s="1065"/>
      <c r="R100" s="1556"/>
      <c r="S100" s="1065"/>
      <c r="T100" s="1065"/>
      <c r="U100" s="467"/>
      <c r="V100" s="1065"/>
      <c r="W100" s="1065"/>
      <c r="X100" s="1065"/>
      <c r="Y100" s="1065"/>
      <c r="Z100" s="1065"/>
      <c r="AA100" s="1552"/>
      <c r="AB100" s="489"/>
      <c r="AC100" s="489"/>
      <c r="AD100" s="489"/>
      <c r="AE100" s="489"/>
    </row>
    <row r="101" spans="1:31" s="1561" customFormat="1" ht="11.25" customHeight="1">
      <c r="A101" s="898"/>
      <c r="B101" s="1556"/>
      <c r="C101" s="1556"/>
      <c r="D101" s="272"/>
      <c r="K101" s="1065"/>
      <c r="L101" s="1556"/>
      <c r="M101" s="1556"/>
      <c r="N101" s="1065"/>
      <c r="O101" s="1065"/>
      <c r="P101" s="1065"/>
      <c r="Q101" s="1065"/>
      <c r="R101" s="1556"/>
      <c r="S101" s="1065"/>
      <c r="T101" s="1065"/>
      <c r="U101" s="467"/>
      <c r="V101" s="1065"/>
      <c r="W101" s="1065"/>
      <c r="X101" s="1065"/>
      <c r="Y101" s="1065"/>
      <c r="Z101" s="1065"/>
      <c r="AA101" s="1552"/>
      <c r="AB101" s="489"/>
      <c r="AC101" s="489"/>
      <c r="AD101" s="489"/>
      <c r="AE101" s="489"/>
    </row>
    <row r="102" spans="1:31" s="1561" customFormat="1" ht="11.25" customHeight="1">
      <c r="A102" s="898"/>
      <c r="B102" s="1556"/>
      <c r="C102" s="1556"/>
      <c r="D102" s="272"/>
      <c r="K102" s="1065"/>
      <c r="L102" s="1556"/>
      <c r="M102" s="1556"/>
      <c r="N102" s="1065"/>
      <c r="O102" s="1065"/>
      <c r="P102" s="1065"/>
      <c r="Q102" s="1065"/>
      <c r="R102" s="1556"/>
      <c r="S102" s="1065"/>
      <c r="T102" s="1065"/>
      <c r="U102" s="467"/>
      <c r="V102" s="1065"/>
      <c r="W102" s="1065"/>
      <c r="X102" s="1065"/>
      <c r="Y102" s="1065"/>
      <c r="Z102" s="1065"/>
      <c r="AA102" s="1552"/>
      <c r="AB102" s="489"/>
      <c r="AC102" s="489"/>
      <c r="AD102" s="489"/>
      <c r="AE102" s="489"/>
    </row>
    <row r="103" spans="1:31" s="1561" customFormat="1" ht="11.25" customHeight="1">
      <c r="A103" s="898"/>
      <c r="B103" s="1556"/>
      <c r="C103" s="1556"/>
      <c r="D103" s="272"/>
      <c r="K103" s="1065"/>
      <c r="L103" s="1556"/>
      <c r="M103" s="1556"/>
      <c r="N103" s="1065"/>
      <c r="O103" s="1065"/>
      <c r="P103" s="1065"/>
      <c r="Q103" s="1065"/>
      <c r="R103" s="1556"/>
      <c r="S103" s="1065"/>
      <c r="T103" s="1065"/>
      <c r="U103" s="467"/>
      <c r="V103" s="1065"/>
      <c r="W103" s="1065"/>
      <c r="X103" s="1065"/>
      <c r="Y103" s="1065"/>
      <c r="Z103" s="1065"/>
      <c r="AA103" s="1552"/>
      <c r="AB103" s="489"/>
      <c r="AC103" s="489"/>
      <c r="AD103" s="489"/>
      <c r="AE103" s="489"/>
    </row>
    <row r="104" spans="1:31" s="1561" customFormat="1" ht="11.25" customHeight="1">
      <c r="A104" s="898"/>
      <c r="B104" s="1556"/>
      <c r="C104" s="1556"/>
      <c r="D104" s="272"/>
      <c r="K104" s="1065"/>
      <c r="L104" s="1556"/>
      <c r="M104" s="1556"/>
      <c r="N104" s="1065"/>
      <c r="O104" s="1065"/>
      <c r="P104" s="1065"/>
      <c r="Q104" s="1065"/>
      <c r="R104" s="1556"/>
      <c r="S104" s="1065"/>
      <c r="T104" s="1065"/>
      <c r="U104" s="467"/>
      <c r="V104" s="1065"/>
      <c r="W104" s="1065"/>
      <c r="X104" s="1065"/>
      <c r="Y104" s="1065"/>
      <c r="Z104" s="1065"/>
      <c r="AA104" s="1552"/>
      <c r="AB104" s="489"/>
      <c r="AC104" s="489"/>
      <c r="AD104" s="489"/>
      <c r="AE104" s="489"/>
    </row>
    <row r="105" spans="1:31" s="1561" customFormat="1" ht="11.25" customHeight="1">
      <c r="A105" s="898"/>
      <c r="B105" s="1556"/>
      <c r="C105" s="1556"/>
      <c r="D105" s="272"/>
      <c r="K105" s="1065"/>
      <c r="L105" s="1556"/>
      <c r="M105" s="1556"/>
      <c r="N105" s="1065"/>
      <c r="O105" s="1065"/>
      <c r="P105" s="1065"/>
      <c r="Q105" s="1065"/>
      <c r="R105" s="1556"/>
      <c r="S105" s="1065"/>
      <c r="T105" s="1065"/>
      <c r="U105" s="467"/>
      <c r="V105" s="1065"/>
      <c r="W105" s="1065"/>
      <c r="X105" s="1065"/>
      <c r="Y105" s="1065"/>
      <c r="Z105" s="1065"/>
      <c r="AA105" s="1552"/>
      <c r="AB105" s="489"/>
      <c r="AC105" s="489"/>
      <c r="AD105" s="489"/>
      <c r="AE105" s="489"/>
    </row>
    <row r="106" spans="1:31" s="1561" customFormat="1" ht="11.25" customHeight="1">
      <c r="A106" s="898"/>
      <c r="B106" s="1556"/>
      <c r="C106" s="1556"/>
      <c r="D106" s="272"/>
      <c r="K106" s="1065"/>
      <c r="L106" s="1556"/>
      <c r="M106" s="1556"/>
      <c r="N106" s="1065"/>
      <c r="O106" s="1065"/>
      <c r="P106" s="1065"/>
      <c r="Q106" s="1065"/>
      <c r="R106" s="1556"/>
      <c r="S106" s="1065"/>
      <c r="T106" s="1065"/>
      <c r="U106" s="467"/>
      <c r="V106" s="1065"/>
      <c r="W106" s="1065"/>
      <c r="X106" s="1065"/>
      <c r="Y106" s="1065"/>
      <c r="Z106" s="1065"/>
      <c r="AA106" s="1552"/>
      <c r="AB106" s="489"/>
      <c r="AC106" s="489"/>
      <c r="AD106" s="489"/>
      <c r="AE106" s="489"/>
    </row>
    <row r="107" spans="1:31" s="1561" customFormat="1" ht="11.25" customHeight="1">
      <c r="A107" s="898"/>
      <c r="B107" s="1556"/>
      <c r="C107" s="1556"/>
      <c r="D107" s="272"/>
      <c r="K107" s="1065"/>
      <c r="L107" s="1556"/>
      <c r="M107" s="1556"/>
      <c r="N107" s="1065"/>
      <c r="O107" s="1065"/>
      <c r="P107" s="1065"/>
      <c r="Q107" s="1065"/>
      <c r="R107" s="1556"/>
      <c r="S107" s="1065"/>
      <c r="T107" s="1065"/>
      <c r="U107" s="467"/>
      <c r="V107" s="1065"/>
      <c r="W107" s="1065"/>
      <c r="X107" s="1065"/>
      <c r="Y107" s="1065"/>
      <c r="Z107" s="1065"/>
      <c r="AA107" s="1552"/>
      <c r="AB107" s="489"/>
      <c r="AC107" s="489"/>
      <c r="AD107" s="489"/>
      <c r="AE107" s="489"/>
    </row>
    <row r="108" spans="1:31" s="1561" customFormat="1" ht="11.25" customHeight="1">
      <c r="A108" s="898"/>
      <c r="B108" s="1556"/>
      <c r="C108" s="1556"/>
      <c r="D108" s="272"/>
      <c r="K108" s="1065"/>
      <c r="L108" s="1556"/>
      <c r="M108" s="1556"/>
      <c r="N108" s="1065"/>
      <c r="O108" s="1065"/>
      <c r="P108" s="1065"/>
      <c r="Q108" s="1065"/>
      <c r="R108" s="1556"/>
      <c r="S108" s="1065"/>
      <c r="T108" s="1065"/>
      <c r="U108" s="467"/>
      <c r="V108" s="1065"/>
      <c r="W108" s="1065"/>
      <c r="X108" s="1065"/>
      <c r="Y108" s="1065"/>
      <c r="Z108" s="1065"/>
      <c r="AA108" s="1552"/>
      <c r="AB108" s="489"/>
      <c r="AC108" s="489"/>
      <c r="AD108" s="489"/>
      <c r="AE108" s="489"/>
    </row>
    <row r="109" spans="1:31" s="1561" customFormat="1" ht="11.25" customHeight="1">
      <c r="A109" s="898"/>
      <c r="B109" s="1556"/>
      <c r="C109" s="1556"/>
      <c r="D109" s="272"/>
      <c r="K109" s="1065"/>
      <c r="L109" s="1556"/>
      <c r="M109" s="1556"/>
      <c r="N109" s="1065"/>
      <c r="O109" s="1065"/>
      <c r="P109" s="1065"/>
      <c r="Q109" s="1065"/>
      <c r="R109" s="1556"/>
      <c r="S109" s="1065"/>
      <c r="T109" s="1065"/>
      <c r="U109" s="467"/>
      <c r="V109" s="1065"/>
      <c r="W109" s="1065"/>
      <c r="X109" s="1065"/>
      <c r="Y109" s="1065"/>
      <c r="Z109" s="1065"/>
      <c r="AA109" s="1552"/>
      <c r="AB109" s="489"/>
      <c r="AC109" s="489"/>
      <c r="AD109" s="489"/>
      <c r="AE109" s="489"/>
    </row>
    <row r="110" spans="1:31" s="1561" customFormat="1" ht="11.25" customHeight="1">
      <c r="A110" s="898"/>
      <c r="B110" s="1556"/>
      <c r="C110" s="1556"/>
      <c r="D110" s="272"/>
      <c r="K110" s="1065"/>
      <c r="L110" s="1556"/>
      <c r="M110" s="1556"/>
      <c r="N110" s="1065"/>
      <c r="O110" s="1065"/>
      <c r="P110" s="1065"/>
      <c r="Q110" s="1065"/>
      <c r="R110" s="1556"/>
      <c r="S110" s="1065"/>
      <c r="T110" s="1065"/>
      <c r="U110" s="467"/>
      <c r="V110" s="1065"/>
      <c r="W110" s="1065"/>
      <c r="X110" s="1065"/>
      <c r="Y110" s="1065"/>
      <c r="Z110" s="1065"/>
      <c r="AA110" s="1552"/>
      <c r="AB110" s="489"/>
      <c r="AC110" s="489"/>
      <c r="AD110" s="489"/>
      <c r="AE110" s="489"/>
    </row>
    <row r="111" spans="1:31" s="1561" customFormat="1" ht="11.25" customHeight="1">
      <c r="A111" s="898"/>
      <c r="B111" s="1556"/>
      <c r="C111" s="1556"/>
      <c r="D111" s="272"/>
      <c r="K111" s="1065"/>
      <c r="L111" s="1556"/>
      <c r="M111" s="1556"/>
      <c r="N111" s="1065"/>
      <c r="O111" s="1065"/>
      <c r="P111" s="1065"/>
      <c r="Q111" s="1065"/>
      <c r="R111" s="1556"/>
      <c r="S111" s="1065"/>
      <c r="T111" s="1065"/>
      <c r="U111" s="467"/>
      <c r="V111" s="1065"/>
      <c r="W111" s="1065"/>
      <c r="X111" s="1065"/>
      <c r="Y111" s="1065"/>
      <c r="Z111" s="1065"/>
      <c r="AA111" s="1552"/>
      <c r="AB111" s="489"/>
      <c r="AC111" s="489"/>
      <c r="AD111" s="489"/>
      <c r="AE111" s="489"/>
    </row>
    <row r="112" spans="1:31" s="1561" customFormat="1" ht="11.25" customHeight="1">
      <c r="A112" s="898"/>
      <c r="B112" s="1556"/>
      <c r="C112" s="1556"/>
      <c r="D112" s="272"/>
      <c r="K112" s="1065"/>
      <c r="L112" s="1556"/>
      <c r="M112" s="1556"/>
      <c r="N112" s="1065"/>
      <c r="O112" s="1065"/>
      <c r="P112" s="1065"/>
      <c r="Q112" s="1065"/>
      <c r="R112" s="1556"/>
      <c r="S112" s="1065"/>
      <c r="T112" s="1065"/>
      <c r="U112" s="467"/>
      <c r="V112" s="1065"/>
      <c r="W112" s="1065"/>
      <c r="X112" s="1065"/>
      <c r="Y112" s="1065"/>
      <c r="Z112" s="1065"/>
      <c r="AA112" s="1552"/>
      <c r="AB112" s="489"/>
      <c r="AC112" s="489"/>
      <c r="AD112" s="489"/>
      <c r="AE112" s="489"/>
    </row>
    <row r="113" spans="1:31" s="1561" customFormat="1" ht="11.25" customHeight="1">
      <c r="A113" s="898"/>
      <c r="B113" s="1556"/>
      <c r="C113" s="1556"/>
      <c r="D113" s="272"/>
      <c r="K113" s="1065"/>
      <c r="L113" s="1556"/>
      <c r="M113" s="1556"/>
      <c r="N113" s="1065"/>
      <c r="O113" s="1065"/>
      <c r="P113" s="1065"/>
      <c r="Q113" s="1065"/>
      <c r="R113" s="1556"/>
      <c r="S113" s="1065"/>
      <c r="T113" s="1065"/>
      <c r="U113" s="467"/>
      <c r="V113" s="1065"/>
      <c r="W113" s="1065"/>
      <c r="X113" s="1065"/>
      <c r="Y113" s="1065"/>
      <c r="Z113" s="1065"/>
      <c r="AA113" s="1552"/>
      <c r="AB113" s="489"/>
      <c r="AC113" s="489"/>
      <c r="AD113" s="489"/>
      <c r="AE113" s="489"/>
    </row>
    <row r="114" spans="1:31" s="1561" customFormat="1" ht="11.25" customHeight="1">
      <c r="A114" s="898"/>
      <c r="B114" s="1556"/>
      <c r="C114" s="1556"/>
      <c r="D114" s="272"/>
      <c r="K114" s="1065"/>
      <c r="L114" s="1556"/>
      <c r="M114" s="1556"/>
      <c r="N114" s="1065"/>
      <c r="O114" s="1065"/>
      <c r="P114" s="1065"/>
      <c r="Q114" s="1065"/>
      <c r="R114" s="1556"/>
      <c r="S114" s="1065"/>
      <c r="T114" s="1065"/>
      <c r="U114" s="467"/>
      <c r="V114" s="1065"/>
      <c r="W114" s="1065"/>
      <c r="X114" s="1065"/>
      <c r="Y114" s="1065"/>
      <c r="Z114" s="1065"/>
      <c r="AA114" s="1552"/>
      <c r="AB114" s="489"/>
      <c r="AC114" s="489"/>
      <c r="AD114" s="489"/>
      <c r="AE114" s="489"/>
    </row>
    <row r="115" spans="1:31" s="1561" customFormat="1" ht="11.25" customHeight="1">
      <c r="A115" s="898"/>
      <c r="B115" s="1556"/>
      <c r="C115" s="1556"/>
      <c r="D115" s="272"/>
      <c r="K115" s="1065"/>
      <c r="L115" s="1556"/>
      <c r="M115" s="1556"/>
      <c r="N115" s="1065"/>
      <c r="O115" s="1065"/>
      <c r="P115" s="1065"/>
      <c r="Q115" s="1065"/>
      <c r="R115" s="1556"/>
      <c r="S115" s="1065"/>
      <c r="T115" s="1065"/>
      <c r="U115" s="467"/>
      <c r="V115" s="1065"/>
      <c r="W115" s="1065"/>
      <c r="X115" s="1065"/>
      <c r="Y115" s="1065"/>
      <c r="Z115" s="1065"/>
      <c r="AA115" s="1552"/>
      <c r="AB115" s="489"/>
      <c r="AC115" s="489"/>
      <c r="AD115" s="489"/>
      <c r="AE115" s="489"/>
    </row>
    <row r="116" spans="1:31" s="1561" customFormat="1" ht="11.25" customHeight="1">
      <c r="A116" s="898"/>
      <c r="B116" s="1556"/>
      <c r="C116" s="1556"/>
      <c r="D116" s="272"/>
      <c r="K116" s="1065"/>
      <c r="L116" s="1556"/>
      <c r="M116" s="1556"/>
      <c r="N116" s="1065"/>
      <c r="O116" s="1065"/>
      <c r="P116" s="1065"/>
      <c r="Q116" s="1065"/>
      <c r="R116" s="1556"/>
      <c r="S116" s="1065"/>
      <c r="T116" s="1065"/>
      <c r="U116" s="467"/>
      <c r="V116" s="1065"/>
      <c r="W116" s="1065"/>
      <c r="X116" s="1065"/>
      <c r="Y116" s="1065"/>
      <c r="Z116" s="1065"/>
      <c r="AA116" s="1552"/>
      <c r="AB116" s="489"/>
      <c r="AC116" s="489"/>
      <c r="AD116" s="489"/>
      <c r="AE116" s="489"/>
    </row>
    <row r="117" spans="1:31" s="1561" customFormat="1" ht="11.25" customHeight="1">
      <c r="A117" s="898"/>
      <c r="B117" s="1556"/>
      <c r="C117" s="1556"/>
      <c r="D117" s="272"/>
      <c r="K117" s="1065"/>
      <c r="L117" s="1556"/>
      <c r="M117" s="1556"/>
      <c r="N117" s="1065"/>
      <c r="O117" s="1065"/>
      <c r="P117" s="1065"/>
      <c r="Q117" s="1065"/>
      <c r="R117" s="1556"/>
      <c r="S117" s="1065"/>
      <c r="T117" s="1065"/>
      <c r="U117" s="467"/>
      <c r="V117" s="1065"/>
      <c r="W117" s="1065"/>
      <c r="X117" s="1065"/>
      <c r="Y117" s="1065"/>
      <c r="Z117" s="1065"/>
      <c r="AA117" s="1552"/>
      <c r="AB117" s="489"/>
      <c r="AC117" s="489"/>
      <c r="AD117" s="489"/>
      <c r="AE117" s="489"/>
    </row>
    <row r="118" spans="1:31" s="1561" customFormat="1" ht="11.25" customHeight="1">
      <c r="A118" s="898"/>
      <c r="B118" s="1556"/>
      <c r="C118" s="1556"/>
      <c r="D118" s="272"/>
      <c r="K118" s="1065"/>
      <c r="L118" s="1556"/>
      <c r="M118" s="1556"/>
      <c r="N118" s="1065"/>
      <c r="O118" s="1065"/>
      <c r="P118" s="1065"/>
      <c r="Q118" s="1065"/>
      <c r="R118" s="1556"/>
      <c r="S118" s="1065"/>
      <c r="T118" s="1065"/>
      <c r="U118" s="467"/>
      <c r="V118" s="1065"/>
      <c r="W118" s="1065"/>
      <c r="X118" s="1065"/>
      <c r="Y118" s="1065"/>
      <c r="Z118" s="1065"/>
      <c r="AA118" s="1552"/>
      <c r="AB118" s="489"/>
      <c r="AC118" s="489"/>
      <c r="AD118" s="489"/>
      <c r="AE118" s="489"/>
    </row>
    <row r="119" spans="1:31" s="1561" customFormat="1" ht="11.25" customHeight="1">
      <c r="A119" s="898"/>
      <c r="B119" s="1556"/>
      <c r="C119" s="1556"/>
      <c r="D119" s="272"/>
      <c r="K119" s="1065"/>
      <c r="L119" s="1556"/>
      <c r="M119" s="1556"/>
      <c r="N119" s="1065"/>
      <c r="O119" s="1065"/>
      <c r="P119" s="1065"/>
      <c r="Q119" s="1065"/>
      <c r="R119" s="1556"/>
      <c r="S119" s="1065"/>
      <c r="T119" s="1065"/>
      <c r="U119" s="467"/>
      <c r="V119" s="1065"/>
      <c r="W119" s="1065"/>
      <c r="X119" s="1065"/>
      <c r="Y119" s="1065"/>
      <c r="Z119" s="1065"/>
      <c r="AA119" s="1552"/>
      <c r="AB119" s="489"/>
      <c r="AC119" s="489"/>
      <c r="AD119" s="489"/>
      <c r="AE119" s="489"/>
    </row>
    <row r="120" spans="1:31" s="1561" customFormat="1" ht="11.25" customHeight="1">
      <c r="A120" s="898"/>
      <c r="B120" s="1556"/>
      <c r="C120" s="1556"/>
      <c r="D120" s="272"/>
      <c r="K120" s="1065"/>
      <c r="L120" s="1556"/>
      <c r="M120" s="1556"/>
      <c r="N120" s="1065"/>
      <c r="O120" s="1065"/>
      <c r="P120" s="1065"/>
      <c r="Q120" s="1065"/>
      <c r="R120" s="1556"/>
      <c r="S120" s="1065"/>
      <c r="T120" s="1065"/>
      <c r="U120" s="467"/>
      <c r="V120" s="1065"/>
      <c r="W120" s="1065"/>
      <c r="X120" s="1065"/>
      <c r="Y120" s="1065"/>
      <c r="Z120" s="1065"/>
      <c r="AA120" s="1552"/>
      <c r="AB120" s="489"/>
      <c r="AC120" s="489"/>
      <c r="AD120" s="489"/>
      <c r="AE120" s="489"/>
    </row>
    <row r="121" spans="1:31" s="1561" customFormat="1" ht="11.25" customHeight="1">
      <c r="A121" s="898"/>
      <c r="B121" s="1556"/>
      <c r="C121" s="1556"/>
      <c r="D121" s="272"/>
      <c r="K121" s="1065"/>
      <c r="L121" s="1556"/>
      <c r="M121" s="1556"/>
      <c r="N121" s="1065"/>
      <c r="O121" s="1065"/>
      <c r="P121" s="1065"/>
      <c r="Q121" s="1065"/>
      <c r="R121" s="1556"/>
      <c r="S121" s="1065"/>
      <c r="T121" s="1065"/>
      <c r="U121" s="467"/>
      <c r="V121" s="1065"/>
      <c r="W121" s="1065"/>
      <c r="X121" s="1065"/>
      <c r="Y121" s="1065"/>
      <c r="Z121" s="1065"/>
      <c r="AA121" s="1552"/>
      <c r="AB121" s="489"/>
      <c r="AC121" s="489"/>
      <c r="AD121" s="489"/>
      <c r="AE121" s="489"/>
    </row>
    <row r="122" spans="1:31" s="1561" customFormat="1" ht="11.25" customHeight="1">
      <c r="A122" s="898"/>
      <c r="B122" s="1556"/>
      <c r="C122" s="1556"/>
      <c r="D122" s="272"/>
      <c r="K122" s="1065"/>
      <c r="L122" s="1556"/>
      <c r="M122" s="1556"/>
      <c r="N122" s="1065"/>
      <c r="O122" s="1065"/>
      <c r="P122" s="1065"/>
      <c r="Q122" s="1065"/>
      <c r="R122" s="1556"/>
      <c r="S122" s="1065"/>
      <c r="T122" s="1065"/>
      <c r="U122" s="467"/>
      <c r="V122" s="1065"/>
      <c r="W122" s="1065"/>
      <c r="X122" s="1065"/>
      <c r="Y122" s="1065"/>
      <c r="Z122" s="1065"/>
      <c r="AA122" s="1552"/>
      <c r="AB122" s="489"/>
      <c r="AC122" s="489"/>
      <c r="AD122" s="489"/>
      <c r="AE122" s="489"/>
    </row>
    <row r="123" spans="1:31" s="1561" customFormat="1" ht="11.25" customHeight="1">
      <c r="A123" s="898"/>
      <c r="B123" s="1556"/>
      <c r="C123" s="1556"/>
      <c r="D123" s="272"/>
      <c r="K123" s="1065"/>
      <c r="L123" s="1556"/>
      <c r="M123" s="1556"/>
      <c r="N123" s="1065"/>
      <c r="O123" s="1065"/>
      <c r="P123" s="1065"/>
      <c r="Q123" s="1065"/>
      <c r="R123" s="1556"/>
      <c r="S123" s="1065"/>
      <c r="T123" s="1065"/>
      <c r="U123" s="467"/>
      <c r="V123" s="1065"/>
      <c r="W123" s="1065"/>
      <c r="X123" s="1065"/>
      <c r="Y123" s="1065"/>
      <c r="Z123" s="1065"/>
      <c r="AA123" s="1552"/>
      <c r="AB123" s="489"/>
      <c r="AC123" s="489"/>
      <c r="AD123" s="489"/>
      <c r="AE123" s="489"/>
    </row>
    <row r="124" spans="1:31" s="1561" customFormat="1" ht="11.25" customHeight="1">
      <c r="A124" s="898"/>
      <c r="B124" s="1556"/>
      <c r="C124" s="1556"/>
      <c r="D124" s="272"/>
      <c r="K124" s="1065"/>
      <c r="L124" s="1556"/>
      <c r="M124" s="1556"/>
      <c r="N124" s="1065"/>
      <c r="O124" s="1065"/>
      <c r="P124" s="1065"/>
      <c r="Q124" s="1065"/>
      <c r="R124" s="1556"/>
      <c r="S124" s="1065"/>
      <c r="T124" s="1065"/>
      <c r="U124" s="467"/>
      <c r="V124" s="1065"/>
      <c r="W124" s="1065"/>
      <c r="X124" s="1065"/>
      <c r="Y124" s="1065"/>
      <c r="Z124" s="1065"/>
      <c r="AA124" s="1552"/>
      <c r="AB124" s="489"/>
      <c r="AC124" s="489"/>
      <c r="AD124" s="489"/>
      <c r="AE124" s="489"/>
    </row>
    <row r="125" spans="1:31" s="1561" customFormat="1" ht="11.25" customHeight="1">
      <c r="A125" s="898"/>
      <c r="B125" s="1556"/>
      <c r="C125" s="1556"/>
      <c r="D125" s="272"/>
      <c r="K125" s="1065"/>
      <c r="L125" s="1556"/>
      <c r="M125" s="1556"/>
      <c r="N125" s="1065"/>
      <c r="O125" s="1065"/>
      <c r="P125" s="1065"/>
      <c r="Q125" s="1065"/>
      <c r="R125" s="1556"/>
      <c r="S125" s="1065"/>
      <c r="T125" s="1065"/>
      <c r="U125" s="467"/>
      <c r="V125" s="1065"/>
      <c r="W125" s="1065"/>
      <c r="X125" s="1065"/>
      <c r="Y125" s="1065"/>
      <c r="Z125" s="1065"/>
      <c r="AA125" s="1552"/>
      <c r="AB125" s="489"/>
      <c r="AC125" s="489"/>
      <c r="AD125" s="489"/>
      <c r="AE125" s="489"/>
    </row>
    <row r="126" spans="1:31" s="1561" customFormat="1" ht="11.25" customHeight="1">
      <c r="A126" s="898"/>
      <c r="B126" s="1556"/>
      <c r="C126" s="1556"/>
      <c r="D126" s="272"/>
      <c r="K126" s="1065"/>
      <c r="L126" s="1556"/>
      <c r="M126" s="1556"/>
      <c r="N126" s="1065"/>
      <c r="O126" s="1065"/>
      <c r="P126" s="1065"/>
      <c r="Q126" s="1065"/>
      <c r="R126" s="1556"/>
      <c r="S126" s="1065"/>
      <c r="T126" s="1065"/>
      <c r="U126" s="467"/>
      <c r="V126" s="1065"/>
      <c r="W126" s="1065"/>
      <c r="X126" s="1065"/>
      <c r="Y126" s="1065"/>
      <c r="Z126" s="1065"/>
      <c r="AA126" s="1552"/>
      <c r="AB126" s="489"/>
      <c r="AC126" s="489"/>
      <c r="AD126" s="489"/>
      <c r="AE126" s="489"/>
    </row>
    <row r="127" spans="1:31" s="1561" customFormat="1" ht="11.25" customHeight="1">
      <c r="A127" s="898"/>
      <c r="B127" s="1556"/>
      <c r="C127" s="1556"/>
      <c r="D127" s="272"/>
      <c r="K127" s="1065"/>
      <c r="L127" s="1556"/>
      <c r="M127" s="1556"/>
      <c r="N127" s="1065"/>
      <c r="O127" s="1065"/>
      <c r="P127" s="1065"/>
      <c r="Q127" s="1065"/>
      <c r="R127" s="1556"/>
      <c r="S127" s="1065"/>
      <c r="T127" s="1065"/>
      <c r="U127" s="467"/>
      <c r="V127" s="1065"/>
      <c r="W127" s="1065"/>
      <c r="X127" s="1065"/>
      <c r="Y127" s="1065"/>
      <c r="Z127" s="1065"/>
      <c r="AA127" s="1552"/>
      <c r="AB127" s="489"/>
      <c r="AC127" s="489"/>
      <c r="AD127" s="489"/>
      <c r="AE127" s="489"/>
    </row>
    <row r="128" spans="1:31" s="1561" customFormat="1" ht="11.25" customHeight="1">
      <c r="A128" s="898"/>
      <c r="B128" s="1556"/>
      <c r="C128" s="1556"/>
      <c r="D128" s="272"/>
      <c r="K128" s="1065"/>
      <c r="L128" s="1556"/>
      <c r="M128" s="1556"/>
      <c r="N128" s="1065"/>
      <c r="O128" s="1065"/>
      <c r="P128" s="1065"/>
      <c r="Q128" s="1065"/>
      <c r="R128" s="1556"/>
      <c r="S128" s="1065"/>
      <c r="T128" s="1065"/>
      <c r="U128" s="467"/>
      <c r="V128" s="1065"/>
      <c r="W128" s="1065"/>
      <c r="X128" s="1065"/>
      <c r="Y128" s="1065"/>
      <c r="Z128" s="1065"/>
      <c r="AA128" s="1552"/>
      <c r="AB128" s="489"/>
      <c r="AC128" s="489"/>
      <c r="AD128" s="489"/>
      <c r="AE128" s="489"/>
    </row>
    <row r="129" spans="1:31" s="1561" customFormat="1" ht="11.25" customHeight="1">
      <c r="A129" s="898"/>
      <c r="B129" s="1556"/>
      <c r="C129" s="1556"/>
      <c r="D129" s="272"/>
      <c r="K129" s="1065"/>
      <c r="L129" s="1556"/>
      <c r="M129" s="1556"/>
      <c r="N129" s="1065"/>
      <c r="O129" s="1065"/>
      <c r="P129" s="1065"/>
      <c r="Q129" s="1065"/>
      <c r="R129" s="1556"/>
      <c r="S129" s="1065"/>
      <c r="T129" s="1065"/>
      <c r="U129" s="467"/>
      <c r="V129" s="1065"/>
      <c r="W129" s="1065"/>
      <c r="X129" s="1065"/>
      <c r="Y129" s="1065"/>
      <c r="Z129" s="1065"/>
      <c r="AA129" s="1552"/>
      <c r="AB129" s="489"/>
      <c r="AC129" s="489"/>
      <c r="AD129" s="489"/>
      <c r="AE129" s="489"/>
    </row>
    <row r="130" spans="1:31" s="1561" customFormat="1" ht="11.25" customHeight="1">
      <c r="A130" s="898"/>
      <c r="B130" s="1556"/>
      <c r="C130" s="1556"/>
      <c r="D130" s="272"/>
      <c r="K130" s="1065"/>
      <c r="L130" s="1556"/>
      <c r="M130" s="1556"/>
      <c r="N130" s="1065"/>
      <c r="O130" s="1065"/>
      <c r="P130" s="1065"/>
      <c r="Q130" s="1065"/>
      <c r="R130" s="1556"/>
      <c r="S130" s="1065"/>
      <c r="T130" s="1065"/>
      <c r="U130" s="467"/>
      <c r="V130" s="1065"/>
      <c r="W130" s="1065"/>
      <c r="X130" s="1065"/>
      <c r="Y130" s="1065"/>
      <c r="Z130" s="1065"/>
      <c r="AA130" s="1552"/>
      <c r="AB130" s="489"/>
      <c r="AC130" s="489"/>
      <c r="AD130" s="489"/>
      <c r="AE130" s="489"/>
    </row>
    <row r="131" spans="1:31" s="1561" customFormat="1" ht="11.25" customHeight="1">
      <c r="A131" s="898"/>
      <c r="B131" s="1556"/>
      <c r="C131" s="1556"/>
      <c r="D131" s="272"/>
      <c r="K131" s="1065"/>
      <c r="L131" s="1556"/>
      <c r="M131" s="1556"/>
      <c r="N131" s="1065"/>
      <c r="O131" s="1065"/>
      <c r="P131" s="1065"/>
      <c r="Q131" s="1065"/>
      <c r="R131" s="1556"/>
      <c r="S131" s="1065"/>
      <c r="T131" s="1065"/>
      <c r="U131" s="467"/>
      <c r="V131" s="1065"/>
      <c r="W131" s="1065"/>
      <c r="X131" s="1065"/>
      <c r="Y131" s="1065"/>
      <c r="Z131" s="1065"/>
      <c r="AA131" s="1552"/>
      <c r="AB131" s="489"/>
      <c r="AC131" s="489"/>
      <c r="AD131" s="489"/>
      <c r="AE131" s="489"/>
    </row>
    <row r="132" spans="1:31" s="1561" customFormat="1" ht="11.25" customHeight="1">
      <c r="A132" s="898"/>
      <c r="B132" s="1556"/>
      <c r="C132" s="1556"/>
      <c r="D132" s="272"/>
      <c r="K132" s="1065"/>
      <c r="L132" s="1556"/>
      <c r="M132" s="1556"/>
      <c r="N132" s="1065"/>
      <c r="O132" s="1065"/>
      <c r="P132" s="1065"/>
      <c r="Q132" s="1065"/>
      <c r="R132" s="1556"/>
      <c r="S132" s="1065"/>
      <c r="T132" s="1065"/>
      <c r="U132" s="467"/>
      <c r="V132" s="1065"/>
      <c r="W132" s="1065"/>
      <c r="X132" s="1065"/>
      <c r="Y132" s="1065"/>
      <c r="Z132" s="1065"/>
      <c r="AA132" s="1552"/>
      <c r="AB132" s="489"/>
      <c r="AC132" s="489"/>
      <c r="AD132" s="489"/>
      <c r="AE132" s="489"/>
    </row>
    <row r="133" spans="1:31" s="1561" customFormat="1" ht="11.25" customHeight="1">
      <c r="A133" s="898"/>
      <c r="B133" s="1556"/>
      <c r="C133" s="1556"/>
      <c r="D133" s="272"/>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9" spans="1:31" ht="11.25" customHeight="1">
      <c r="A199" s="901"/>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row>
    <row r="200" spans="1:31" ht="11.25" customHeight="1">
      <c r="A200" s="901"/>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row>
    <row r="201" spans="1:31" ht="11.25" customHeight="1">
      <c r="A201" s="901"/>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row>
    <row r="202" spans="1:31" ht="11.25" customHeight="1">
      <c r="A202" s="901"/>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row>
    <row r="203" spans="1:31" ht="11.25" customHeight="1">
      <c r="A203" s="901"/>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row>
    <row r="204" spans="1:31" ht="11.25" customHeight="1">
      <c r="A204" s="901"/>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row>
    <row r="205" spans="1:31" ht="11.25" customHeight="1">
      <c r="A205" s="901"/>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row>
    <row r="206" spans="1:31" ht="11.25" customHeight="1">
      <c r="A206" s="901"/>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row>
    <row r="207" spans="1:31" ht="11.25" customHeight="1">
      <c r="A207" s="901"/>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71" hidden="1" customWidth="1"/>
    <col min="2" max="2" width="3.5703125" style="1562" hidden="1" customWidth="1"/>
    <col min="3" max="3" width="3.7109375" style="1555" customWidth="1"/>
    <col min="4" max="4" width="7.7109375" style="1555" customWidth="1"/>
    <col min="5" max="5" width="69.85546875" style="1555" customWidth="1"/>
    <col min="6" max="6" width="11.140625" style="1555" customWidth="1"/>
    <col min="7" max="8" width="44" style="1555" hidden="1" customWidth="1"/>
    <col min="9" max="10" width="44" style="1555" customWidth="1"/>
    <col min="11" max="11" width="74" style="1555" customWidth="1"/>
    <col min="12" max="12" width="3.7109375" style="1555" customWidth="1"/>
    <col min="13" max="23" width="10.5703125" style="1555"/>
  </cols>
  <sheetData>
    <row r="1" spans="1:12" s="1287" customFormat="1" ht="11.25" hidden="1" customHeight="1">
      <c r="A1" s="459"/>
      <c r="B1" s="435"/>
      <c r="G1" s="346">
        <v>4</v>
      </c>
      <c r="I1" s="346">
        <v>4</v>
      </c>
      <c r="K1" s="346">
        <v>5</v>
      </c>
    </row>
    <row r="2" spans="1:12" ht="3" customHeight="1"/>
    <row r="3" spans="1:12" ht="75" customHeight="1">
      <c r="D3" s="87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8747"/>
      <c r="F3" s="8748"/>
    </row>
    <row r="4" spans="1:12" s="1555" customFormat="1" ht="20.25" customHeight="1">
      <c r="A4" s="862"/>
      <c r="B4" s="435"/>
      <c r="D4" s="8848" t="str">
        <f>IF(org=0,"Не определено",org)</f>
        <v>ГУП СК "Ставрополькрайводоканал"</v>
      </c>
      <c r="E4" s="8849"/>
      <c r="F4" s="8850"/>
    </row>
    <row r="5" spans="1:12" ht="11.25" customHeight="1">
      <c r="C5" s="433"/>
      <c r="D5" s="509"/>
      <c r="E5" s="509"/>
      <c r="F5" s="509"/>
      <c r="G5" s="509"/>
      <c r="H5" s="667"/>
      <c r="I5" s="509"/>
      <c r="J5" s="667"/>
      <c r="K5" s="509"/>
    </row>
    <row r="6" spans="1:12" ht="0.75" customHeight="1">
      <c r="C6" s="433"/>
      <c r="D6" s="433"/>
      <c r="E6" s="446"/>
      <c r="F6" s="533"/>
      <c r="G6" s="933"/>
      <c r="H6" s="933"/>
      <c r="I6" s="933" t="s">
        <v>205</v>
      </c>
      <c r="J6" s="933"/>
    </row>
    <row r="7" spans="1:12" ht="11.25" customHeight="1">
      <c r="D7" s="628"/>
      <c r="E7" s="8958" t="s">
        <v>197</v>
      </c>
      <c r="F7" s="8959"/>
      <c r="G7" s="8977" t="str">
        <f>IF(G6="","",INDEX(DIFFERENTIATION_UNMERGE_VD,MATCH(G6,DIFFERENTIATION_ID_DIFF,0)))</f>
        <v/>
      </c>
      <c r="H7" s="8978"/>
      <c r="I7" s="8977">
        <f>IF(I6="","",INDEX(DIFFERENTIATION_UNMERGE_VD,MATCH(I6,DIFFERENTIATION_ID_DIFF,0)))</f>
        <v>0</v>
      </c>
      <c r="J7" s="8978"/>
      <c r="K7" s="8813"/>
      <c r="L7" s="433"/>
    </row>
    <row r="8" spans="1:12" ht="11.25" customHeight="1">
      <c r="A8" s="621"/>
      <c r="D8" s="628"/>
      <c r="E8" s="8958" t="s">
        <v>1022</v>
      </c>
      <c r="F8" s="8959"/>
      <c r="G8" s="8977" t="str">
        <f>IF(G6="","",INDEX(DIFFERENTIATION_UNMERGE_AREA,MATCH(G6,DIFFERENTIATION_ID_DIFF,0)))</f>
        <v/>
      </c>
      <c r="H8" s="8978"/>
      <c r="I8" s="8977" t="str">
        <f>IF(I6="","",INDEX(DIFFERENTIATION_UNMERGE_AREA,MATCH(I6,DIFFERENTIATION_ID_DIFF,0)))</f>
        <v/>
      </c>
      <c r="J8" s="8978"/>
      <c r="K8" s="8832"/>
      <c r="L8" s="433"/>
    </row>
    <row r="9" spans="1:12" ht="11.25" customHeight="1">
      <c r="A9" s="621"/>
      <c r="D9" s="628"/>
      <c r="E9" s="8958" t="s">
        <v>1023</v>
      </c>
      <c r="F9" s="8959"/>
      <c r="G9" s="8977" t="str">
        <f>IF(G6="","",INDEX(DIFFERENTIATION_UNMERGE_SYSTEM,MATCH(G6,DIFFERENTIATION_ID_DIFF,0)))</f>
        <v/>
      </c>
      <c r="H9" s="8978"/>
      <c r="I9" s="8977" t="str">
        <f>IF(I6="","",INDEX(DIFFERENTIATION_UNMERGE_SYSTEM,MATCH(I6,DIFFERENTIATION_ID_DIFF,0)))</f>
        <v>без дифференциации</v>
      </c>
      <c r="J9" s="8978"/>
      <c r="K9" s="8832"/>
      <c r="L9" s="433"/>
    </row>
    <row r="10" spans="1:12" s="1555" customFormat="1" ht="11.25" customHeight="1">
      <c r="A10" s="932"/>
      <c r="B10" s="435"/>
      <c r="D10" s="8724" t="s">
        <v>763</v>
      </c>
      <c r="E10" s="8729"/>
      <c r="F10" s="8729"/>
      <c r="G10" s="8729"/>
      <c r="H10" s="8729"/>
      <c r="I10" s="8729"/>
      <c r="J10" s="8723"/>
      <c r="K10" s="8832"/>
      <c r="L10" s="433"/>
    </row>
    <row r="11" spans="1:12" s="1555" customFormat="1" ht="22.5" customHeight="1">
      <c r="A11" s="8903"/>
      <c r="B11" s="8903"/>
      <c r="C11" s="575"/>
      <c r="D11" s="620" t="s">
        <v>84</v>
      </c>
      <c r="E11" s="622" t="s">
        <v>1179</v>
      </c>
      <c r="F11" s="622" t="s">
        <v>1024</v>
      </c>
      <c r="G11" s="389" t="s">
        <v>766</v>
      </c>
      <c r="H11" s="389" t="s">
        <v>855</v>
      </c>
      <c r="I11" s="721" t="s">
        <v>766</v>
      </c>
      <c r="J11" s="722" t="s">
        <v>855</v>
      </c>
      <c r="K11" s="8862"/>
      <c r="L11" s="576"/>
    </row>
    <row r="12" spans="1:12" s="1562" customFormat="1" ht="10.5" customHeight="1">
      <c r="A12" s="863"/>
      <c r="D12" s="936" t="s">
        <v>95</v>
      </c>
      <c r="E12" s="936" t="s">
        <v>99</v>
      </c>
      <c r="F12" s="936" t="s">
        <v>86</v>
      </c>
      <c r="G12" s="937" t="str">
        <f>G1&amp;".1"</f>
        <v>4.1</v>
      </c>
      <c r="H12" s="937" t="str">
        <f>G1&amp;".2"</f>
        <v>4.2</v>
      </c>
      <c r="I12" s="937" t="str">
        <f>I1&amp;".1"</f>
        <v>4.1</v>
      </c>
      <c r="J12" s="937" t="str">
        <f>I1&amp;".2"</f>
        <v>4.2</v>
      </c>
      <c r="K12" s="937"/>
    </row>
    <row r="13" spans="1:12" ht="22.5" hidden="1" customHeight="1">
      <c r="A13" s="8976" t="s">
        <v>1180</v>
      </c>
      <c r="D13" s="864" t="s">
        <v>95</v>
      </c>
      <c r="E13" s="195" t="s">
        <v>1181</v>
      </c>
      <c r="F13" s="578" t="s">
        <v>1182</v>
      </c>
      <c r="G13" s="480"/>
      <c r="H13" s="579"/>
      <c r="I13" s="480"/>
      <c r="J13" s="579"/>
      <c r="K13" s="204" t="s">
        <v>1183</v>
      </c>
      <c r="L13" s="637"/>
    </row>
    <row r="14" spans="1:12" ht="22.5" hidden="1" customHeight="1">
      <c r="A14" s="8976"/>
      <c r="D14" s="462" t="s">
        <v>99</v>
      </c>
      <c r="E14" s="195" t="s">
        <v>1184</v>
      </c>
      <c r="F14" s="578" t="s">
        <v>1185</v>
      </c>
      <c r="G14" s="480"/>
      <c r="H14" s="580"/>
      <c r="I14" s="480"/>
      <c r="J14" s="580"/>
      <c r="K14" s="204" t="s">
        <v>1186</v>
      </c>
      <c r="L14" s="637"/>
    </row>
    <row r="15" spans="1:12" s="1555" customFormat="1" ht="78.75" hidden="1" customHeight="1">
      <c r="A15" s="8976"/>
      <c r="B15" s="435"/>
      <c r="D15" s="864" t="s">
        <v>86</v>
      </c>
      <c r="E15" s="624" t="s">
        <v>1187</v>
      </c>
      <c r="F15" s="861" t="s">
        <v>769</v>
      </c>
      <c r="G15" s="861" t="s">
        <v>769</v>
      </c>
      <c r="H15" s="33"/>
      <c r="I15" s="861" t="s">
        <v>769</v>
      </c>
      <c r="J15" s="33"/>
      <c r="K15" s="204" t="s">
        <v>1188</v>
      </c>
      <c r="L15" s="637"/>
    </row>
    <row r="16" spans="1:12" s="1555" customFormat="1" ht="22.5" hidden="1" customHeight="1">
      <c r="A16" s="8976"/>
      <c r="B16" s="435"/>
      <c r="D16" s="864" t="s">
        <v>789</v>
      </c>
      <c r="E16" s="865" t="s">
        <v>1189</v>
      </c>
      <c r="F16" s="861" t="s">
        <v>1190</v>
      </c>
      <c r="G16" s="731"/>
      <c r="H16" s="33"/>
      <c r="I16" s="731"/>
      <c r="J16" s="33"/>
      <c r="K16" s="204"/>
      <c r="L16" s="637"/>
    </row>
    <row r="17" spans="1:23" s="1555" customFormat="1" ht="22.5" hidden="1" customHeight="1">
      <c r="A17" s="8976"/>
      <c r="B17" s="435"/>
      <c r="D17" s="864" t="s">
        <v>797</v>
      </c>
      <c r="E17" s="865" t="s">
        <v>1191</v>
      </c>
      <c r="F17" s="861" t="s">
        <v>1192</v>
      </c>
      <c r="G17" s="731"/>
      <c r="H17" s="33"/>
      <c r="I17" s="731"/>
      <c r="J17" s="33"/>
      <c r="K17" s="204"/>
      <c r="L17" s="637"/>
    </row>
    <row r="18" spans="1:23" s="1555" customFormat="1" ht="33.75" hidden="1" customHeight="1">
      <c r="A18" s="8976"/>
      <c r="B18" s="435"/>
      <c r="D18" s="864" t="s">
        <v>799</v>
      </c>
      <c r="E18" s="865" t="s">
        <v>1193</v>
      </c>
      <c r="F18" s="861" t="s">
        <v>1029</v>
      </c>
      <c r="G18" s="598"/>
      <c r="H18" s="33"/>
      <c r="I18" s="598"/>
      <c r="J18" s="33"/>
      <c r="K18" s="204"/>
      <c r="L18" s="637"/>
    </row>
    <row r="19" spans="1:23" ht="101.25" hidden="1" customHeight="1">
      <c r="A19" s="8976"/>
      <c r="D19" s="864" t="s">
        <v>87</v>
      </c>
      <c r="E19" s="195" t="s">
        <v>1194</v>
      </c>
      <c r="F19" s="578" t="s">
        <v>1004</v>
      </c>
      <c r="G19" s="581"/>
      <c r="H19" s="580"/>
      <c r="I19" s="866"/>
      <c r="J19" s="580"/>
      <c r="K19" s="204" t="s">
        <v>1195</v>
      </c>
      <c r="L19" s="637"/>
    </row>
    <row r="20" spans="1:23" s="1555" customFormat="1" ht="18.75" hidden="1" customHeight="1">
      <c r="A20" s="8976"/>
      <c r="C20" s="867"/>
      <c r="D20" s="864" t="s">
        <v>1125</v>
      </c>
      <c r="E20" s="865" t="s">
        <v>1196</v>
      </c>
      <c r="F20" s="861" t="s">
        <v>769</v>
      </c>
      <c r="G20" s="861" t="s">
        <v>769</v>
      </c>
      <c r="H20" s="860" t="s">
        <v>769</v>
      </c>
      <c r="I20" s="861" t="s">
        <v>769</v>
      </c>
      <c r="J20" s="860" t="s">
        <v>769</v>
      </c>
      <c r="K20" s="859"/>
      <c r="L20" s="637"/>
      <c r="W20" s="593"/>
    </row>
    <row r="21" spans="1:23" s="1555" customFormat="1" ht="33.75" hidden="1" customHeight="1">
      <c r="A21" s="8976"/>
      <c r="C21" s="867"/>
      <c r="D21" s="864" t="s">
        <v>1128</v>
      </c>
      <c r="E21" s="499" t="s">
        <v>1197</v>
      </c>
      <c r="F21" s="861" t="s">
        <v>1198</v>
      </c>
      <c r="G21" s="854"/>
      <c r="H21" s="33"/>
      <c r="I21" s="854"/>
      <c r="J21" s="33"/>
      <c r="K21" s="859"/>
      <c r="L21" s="637"/>
      <c r="W21" s="593"/>
    </row>
    <row r="22" spans="1:23" s="1555" customFormat="1" ht="33.75" hidden="1" customHeight="1">
      <c r="A22" s="8976"/>
      <c r="C22" s="867"/>
      <c r="D22" s="864" t="s">
        <v>1131</v>
      </c>
      <c r="E22" s="499" t="s">
        <v>1199</v>
      </c>
      <c r="F22" s="861" t="s">
        <v>1200</v>
      </c>
      <c r="G22" s="854"/>
      <c r="H22" s="33"/>
      <c r="I22" s="854"/>
      <c r="J22" s="33"/>
      <c r="K22" s="859"/>
      <c r="L22" s="637"/>
      <c r="W22" s="593"/>
    </row>
    <row r="23" spans="1:23" s="1555" customFormat="1" ht="22.5" hidden="1" customHeight="1">
      <c r="A23" s="8976"/>
      <c r="C23" s="867"/>
      <c r="D23" s="864" t="s">
        <v>1168</v>
      </c>
      <c r="E23" s="865" t="s">
        <v>1201</v>
      </c>
      <c r="F23" s="861" t="s">
        <v>769</v>
      </c>
      <c r="G23" s="861" t="s">
        <v>769</v>
      </c>
      <c r="H23" s="860" t="s">
        <v>769</v>
      </c>
      <c r="I23" s="861" t="s">
        <v>769</v>
      </c>
      <c r="J23" s="860" t="s">
        <v>769</v>
      </c>
      <c r="K23" s="859"/>
      <c r="L23" s="637"/>
      <c r="W23" s="593"/>
    </row>
    <row r="24" spans="1:23" s="1555" customFormat="1" ht="22.5" hidden="1" customHeight="1">
      <c r="A24" s="8976"/>
      <c r="C24" s="867"/>
      <c r="D24" s="864" t="s">
        <v>1202</v>
      </c>
      <c r="E24" s="499" t="s">
        <v>1203</v>
      </c>
      <c r="F24" s="861" t="s">
        <v>1204</v>
      </c>
      <c r="G24" s="854"/>
      <c r="H24" s="604"/>
      <c r="I24" s="854"/>
      <c r="J24" s="604"/>
      <c r="K24" s="859"/>
      <c r="L24" s="637"/>
      <c r="W24" s="593"/>
    </row>
    <row r="25" spans="1:23" s="1555" customFormat="1" ht="22.5" hidden="1" customHeight="1">
      <c r="A25" s="8976"/>
      <c r="C25" s="867"/>
      <c r="D25" s="864" t="s">
        <v>1205</v>
      </c>
      <c r="E25" s="499" t="s">
        <v>1206</v>
      </c>
      <c r="F25" s="861" t="s">
        <v>769</v>
      </c>
      <c r="G25" s="861" t="s">
        <v>769</v>
      </c>
      <c r="H25" s="860" t="s">
        <v>769</v>
      </c>
      <c r="I25" s="861" t="s">
        <v>769</v>
      </c>
      <c r="J25" s="860" t="s">
        <v>769</v>
      </c>
      <c r="K25" s="859"/>
      <c r="L25" s="637"/>
      <c r="W25" s="593"/>
    </row>
    <row r="26" spans="1:23" s="1555" customFormat="1" ht="18.75" hidden="1" customHeight="1">
      <c r="A26" s="8976"/>
      <c r="C26" s="867"/>
      <c r="D26" s="864" t="s">
        <v>1207</v>
      </c>
      <c r="E26" s="476" t="s">
        <v>1208</v>
      </c>
      <c r="F26" s="861" t="s">
        <v>1209</v>
      </c>
      <c r="G26" s="598"/>
      <c r="H26" s="604"/>
      <c r="I26" s="598"/>
      <c r="J26" s="604"/>
      <c r="K26" s="859"/>
      <c r="L26" s="637"/>
      <c r="W26" s="593"/>
    </row>
    <row r="27" spans="1:23" s="1555" customFormat="1" ht="18.75" hidden="1" customHeight="1">
      <c r="A27" s="8976"/>
      <c r="C27" s="867"/>
      <c r="D27" s="864" t="s">
        <v>1210</v>
      </c>
      <c r="E27" s="476" t="s">
        <v>1211</v>
      </c>
      <c r="F27" s="861" t="s">
        <v>1212</v>
      </c>
      <c r="G27" s="598"/>
      <c r="H27" s="604"/>
      <c r="I27" s="598"/>
      <c r="J27" s="604"/>
      <c r="K27" s="859"/>
      <c r="L27" s="637"/>
      <c r="W27" s="593"/>
    </row>
    <row r="28" spans="1:23" s="1555" customFormat="1" ht="18.75" hidden="1" customHeight="1">
      <c r="A28" s="8976"/>
      <c r="C28" s="867"/>
      <c r="D28" s="864" t="s">
        <v>1213</v>
      </c>
      <c r="E28" s="499" t="s">
        <v>1214</v>
      </c>
      <c r="F28" s="861" t="s">
        <v>769</v>
      </c>
      <c r="G28" s="861" t="s">
        <v>769</v>
      </c>
      <c r="H28" s="860" t="s">
        <v>769</v>
      </c>
      <c r="I28" s="861" t="s">
        <v>769</v>
      </c>
      <c r="J28" s="860" t="s">
        <v>769</v>
      </c>
      <c r="K28" s="859"/>
      <c r="L28" s="637"/>
      <c r="W28" s="593"/>
    </row>
    <row r="29" spans="1:23" s="1555" customFormat="1" ht="18.75" hidden="1" customHeight="1">
      <c r="A29" s="8976"/>
      <c r="C29" s="867"/>
      <c r="D29" s="864" t="s">
        <v>1215</v>
      </c>
      <c r="E29" s="476" t="s">
        <v>1208</v>
      </c>
      <c r="F29" s="861" t="s">
        <v>1216</v>
      </c>
      <c r="G29" s="598"/>
      <c r="H29" s="604"/>
      <c r="I29" s="598"/>
      <c r="J29" s="604"/>
      <c r="K29" s="859"/>
      <c r="L29" s="637"/>
      <c r="W29" s="593"/>
    </row>
    <row r="30" spans="1:23" s="1555" customFormat="1" ht="18.75" hidden="1" customHeight="1">
      <c r="A30" s="8976"/>
      <c r="C30" s="867"/>
      <c r="D30" s="864" t="s">
        <v>1217</v>
      </c>
      <c r="E30" s="476" t="s">
        <v>1218</v>
      </c>
      <c r="F30" s="861" t="s">
        <v>1219</v>
      </c>
      <c r="G30" s="598"/>
      <c r="H30" s="604"/>
      <c r="I30" s="598"/>
      <c r="J30" s="604"/>
      <c r="K30" s="859"/>
      <c r="L30" s="637"/>
      <c r="W30" s="593"/>
    </row>
    <row r="31" spans="1:23" ht="126.75" hidden="1" customHeight="1">
      <c r="A31" s="8976"/>
      <c r="D31" s="864" t="s">
        <v>113</v>
      </c>
      <c r="E31" s="195" t="s">
        <v>1220</v>
      </c>
      <c r="F31" s="578" t="s">
        <v>1016</v>
      </c>
      <c r="G31" s="480"/>
      <c r="H31" s="580"/>
      <c r="I31" s="480"/>
      <c r="J31" s="580"/>
      <c r="K31" s="204" t="s">
        <v>1221</v>
      </c>
      <c r="L31" s="637"/>
    </row>
    <row r="32" spans="1:23" ht="56.25" hidden="1" customHeight="1">
      <c r="A32" s="8976"/>
      <c r="D32" s="864" t="s">
        <v>88</v>
      </c>
      <c r="E32" s="195" t="s">
        <v>1222</v>
      </c>
      <c r="F32" s="462" t="s">
        <v>1192</v>
      </c>
      <c r="G32" s="480"/>
      <c r="H32" s="580"/>
      <c r="I32" s="480"/>
      <c r="J32" s="580"/>
      <c r="K32" s="204" t="s">
        <v>1223</v>
      </c>
      <c r="L32" s="637"/>
    </row>
    <row r="33" spans="1:11" ht="11.25" hidden="1" customHeight="1">
      <c r="A33" s="8976"/>
      <c r="E33" s="582"/>
      <c r="F33" s="99"/>
      <c r="G33" s="99"/>
      <c r="H33" s="99"/>
      <c r="I33" s="99"/>
      <c r="J33" s="99"/>
      <c r="K33" s="99"/>
    </row>
    <row r="34" spans="1:11" ht="12.75" hidden="1" customHeight="1">
      <c r="A34" s="8976"/>
      <c r="D34" s="1">
        <v>1</v>
      </c>
      <c r="E34" s="257" t="s">
        <v>1224</v>
      </c>
    </row>
    <row r="35" spans="1:11" ht="11.25" hidden="1" customHeight="1">
      <c r="A35" s="8976"/>
      <c r="D35" s="293"/>
      <c r="E35" s="257" t="s">
        <v>1225</v>
      </c>
    </row>
    <row r="36" spans="1:11" s="1555" customFormat="1" ht="11.25" customHeight="1">
      <c r="A36" s="944"/>
      <c r="B36" s="442"/>
      <c r="D36" s="945"/>
      <c r="E36" s="946"/>
    </row>
    <row r="37" spans="1:11" s="1555" customFormat="1" ht="22.5" customHeight="1">
      <c r="A37" s="8976" t="s">
        <v>1226</v>
      </c>
      <c r="B37" s="435"/>
      <c r="D37" s="864">
        <v>1</v>
      </c>
      <c r="E37" s="624" t="s">
        <v>1227</v>
      </c>
      <c r="F37" s="578" t="s">
        <v>1182</v>
      </c>
      <c r="G37" s="480"/>
      <c r="H37" s="443"/>
      <c r="I37" s="480"/>
      <c r="J37" s="443"/>
      <c r="K37" s="204" t="s">
        <v>1228</v>
      </c>
    </row>
    <row r="38" spans="1:11" s="1555" customFormat="1" ht="22.5" customHeight="1">
      <c r="A38" s="8976"/>
      <c r="B38" s="435"/>
      <c r="D38" s="587" t="s">
        <v>99</v>
      </c>
      <c r="E38" s="943" t="s">
        <v>1229</v>
      </c>
      <c r="F38" s="947" t="s">
        <v>1004</v>
      </c>
      <c r="G38" s="947" t="s">
        <v>1004</v>
      </c>
      <c r="H38" s="941"/>
      <c r="I38" s="947" t="s">
        <v>1004</v>
      </c>
      <c r="J38" s="941"/>
      <c r="K38" s="942"/>
    </row>
    <row r="39" spans="1:11" s="1555" customFormat="1" ht="33.75" customHeight="1">
      <c r="A39" s="8976"/>
      <c r="B39" s="435"/>
      <c r="D39" s="583" t="s">
        <v>1083</v>
      </c>
      <c r="E39" s="640" t="s">
        <v>1230</v>
      </c>
      <c r="F39" s="578" t="s">
        <v>1231</v>
      </c>
      <c r="G39" s="586"/>
      <c r="H39" s="934"/>
      <c r="I39" s="586"/>
      <c r="J39" s="934"/>
      <c r="K39" s="204" t="s">
        <v>1232</v>
      </c>
    </row>
    <row r="40" spans="1:11" s="1555" customFormat="1" ht="33.75" customHeight="1">
      <c r="A40" s="8976"/>
      <c r="B40" s="435"/>
      <c r="D40" s="583" t="s">
        <v>1086</v>
      </c>
      <c r="E40" s="640" t="s">
        <v>1233</v>
      </c>
      <c r="F40" s="938" t="s">
        <v>1234</v>
      </c>
      <c r="G40" s="657"/>
      <c r="H40" s="934"/>
      <c r="I40" s="657"/>
      <c r="J40" s="934"/>
      <c r="K40" s="204" t="s">
        <v>1235</v>
      </c>
    </row>
    <row r="41" spans="1:11" s="1555" customFormat="1" ht="22.5" customHeight="1">
      <c r="A41" s="8976"/>
      <c r="B41" s="435"/>
      <c r="D41" s="583" t="s">
        <v>86</v>
      </c>
      <c r="E41" s="639" t="s">
        <v>1236</v>
      </c>
      <c r="F41" s="578" t="s">
        <v>1004</v>
      </c>
      <c r="G41" s="578" t="s">
        <v>1004</v>
      </c>
      <c r="H41" s="935"/>
      <c r="I41" s="578" t="s">
        <v>1004</v>
      </c>
      <c r="J41" s="935"/>
      <c r="K41" s="216"/>
    </row>
    <row r="42" spans="1:11" s="1555" customFormat="1" ht="45" customHeight="1">
      <c r="A42" s="8976"/>
      <c r="B42" s="435"/>
      <c r="D42" s="583" t="s">
        <v>789</v>
      </c>
      <c r="E42" s="640" t="s">
        <v>1237</v>
      </c>
      <c r="F42" s="578" t="s">
        <v>1016</v>
      </c>
      <c r="G42" s="480"/>
      <c r="H42" s="935"/>
      <c r="I42" s="480"/>
      <c r="J42" s="935"/>
      <c r="K42" s="216" t="s">
        <v>1238</v>
      </c>
    </row>
    <row r="43" spans="1:11" s="1555" customFormat="1" ht="45" customHeight="1">
      <c r="A43" s="8976"/>
      <c r="B43" s="435"/>
      <c r="D43" s="583" t="s">
        <v>797</v>
      </c>
      <c r="E43" s="585" t="s">
        <v>1239</v>
      </c>
      <c r="F43" s="939" t="s">
        <v>1016</v>
      </c>
      <c r="G43" s="658"/>
      <c r="H43" s="934"/>
      <c r="I43" s="658"/>
      <c r="J43" s="934"/>
      <c r="K43" s="216" t="s">
        <v>1240</v>
      </c>
    </row>
    <row r="44" spans="1:11" s="1555" customFormat="1" ht="11.25" customHeight="1">
      <c r="A44" s="8976"/>
      <c r="B44" s="435"/>
      <c r="D44" s="583" t="s">
        <v>87</v>
      </c>
      <c r="E44" s="584" t="s">
        <v>1241</v>
      </c>
      <c r="F44" s="578" t="s">
        <v>1231</v>
      </c>
      <c r="G44" s="586"/>
      <c r="H44" s="934"/>
      <c r="I44" s="586"/>
      <c r="J44" s="934"/>
      <c r="K44" s="204"/>
    </row>
    <row r="45" spans="1:11" s="1555" customFormat="1" ht="11.25" customHeight="1">
      <c r="A45" s="8976"/>
      <c r="B45" s="435"/>
      <c r="D45" s="583" t="s">
        <v>1125</v>
      </c>
      <c r="E45" s="585" t="s">
        <v>1242</v>
      </c>
      <c r="F45" s="578" t="s">
        <v>1231</v>
      </c>
      <c r="G45" s="586"/>
      <c r="H45" s="934"/>
      <c r="I45" s="586"/>
      <c r="J45" s="934"/>
      <c r="K45" s="204"/>
    </row>
    <row r="46" spans="1:11" s="1555" customFormat="1" ht="11.25" customHeight="1">
      <c r="A46" s="8976"/>
      <c r="B46" s="435"/>
      <c r="D46" s="583" t="s">
        <v>1168</v>
      </c>
      <c r="E46" s="585" t="s">
        <v>1243</v>
      </c>
      <c r="F46" s="578" t="s">
        <v>1231</v>
      </c>
      <c r="G46" s="586"/>
      <c r="H46" s="934"/>
      <c r="I46" s="586"/>
      <c r="J46" s="934"/>
      <c r="K46" s="204"/>
    </row>
    <row r="47" spans="1:11" s="1555" customFormat="1" ht="11.25" customHeight="1">
      <c r="A47" s="8976"/>
      <c r="B47" s="435"/>
      <c r="D47" s="583" t="s">
        <v>1171</v>
      </c>
      <c r="E47" s="585" t="s">
        <v>1244</v>
      </c>
      <c r="F47" s="578" t="s">
        <v>1231</v>
      </c>
      <c r="G47" s="586"/>
      <c r="H47" s="934"/>
      <c r="I47" s="586"/>
      <c r="J47" s="934"/>
      <c r="K47" s="204"/>
    </row>
    <row r="48" spans="1:11" s="1555" customFormat="1" ht="11.25" customHeight="1">
      <c r="A48" s="8976"/>
      <c r="B48" s="435"/>
      <c r="D48" s="583" t="s">
        <v>1245</v>
      </c>
      <c r="E48" s="589" t="s">
        <v>1246</v>
      </c>
      <c r="F48" s="578" t="s">
        <v>1231</v>
      </c>
      <c r="G48" s="586"/>
      <c r="H48" s="934"/>
      <c r="I48" s="586"/>
      <c r="J48" s="934"/>
      <c r="K48" s="204"/>
    </row>
    <row r="49" spans="1:11" s="1555" customFormat="1" ht="11.25" customHeight="1">
      <c r="A49" s="8976"/>
      <c r="B49" s="435"/>
      <c r="D49" s="583" t="s">
        <v>1247</v>
      </c>
      <c r="E49" s="589" t="s">
        <v>1248</v>
      </c>
      <c r="F49" s="578" t="s">
        <v>1231</v>
      </c>
      <c r="G49" s="586"/>
      <c r="H49" s="934"/>
      <c r="I49" s="586"/>
      <c r="J49" s="934"/>
      <c r="K49" s="204"/>
    </row>
    <row r="50" spans="1:11" s="1555" customFormat="1" ht="11.25" customHeight="1">
      <c r="A50" s="8976"/>
      <c r="B50" s="435"/>
      <c r="D50" s="583" t="s">
        <v>1249</v>
      </c>
      <c r="E50" s="585" t="s">
        <v>1250</v>
      </c>
      <c r="F50" s="578" t="s">
        <v>1231</v>
      </c>
      <c r="G50" s="586"/>
      <c r="H50" s="934"/>
      <c r="I50" s="586"/>
      <c r="J50" s="934"/>
      <c r="K50" s="204"/>
    </row>
    <row r="51" spans="1:11" s="1555" customFormat="1" ht="11.25" customHeight="1">
      <c r="A51" s="8976"/>
      <c r="B51" s="435"/>
      <c r="D51" s="583" t="s">
        <v>1251</v>
      </c>
      <c r="E51" s="585" t="s">
        <v>1252</v>
      </c>
      <c r="F51" s="578" t="s">
        <v>1231</v>
      </c>
      <c r="G51" s="586"/>
      <c r="H51" s="934"/>
      <c r="I51" s="586"/>
      <c r="J51" s="934"/>
      <c r="K51" s="204"/>
    </row>
    <row r="52" spans="1:11" s="1555" customFormat="1" ht="45" customHeight="1">
      <c r="A52" s="8976"/>
      <c r="B52" s="435"/>
      <c r="D52" s="583" t="s">
        <v>113</v>
      </c>
      <c r="E52" s="584" t="s">
        <v>1253</v>
      </c>
      <c r="F52" s="578" t="s">
        <v>1231</v>
      </c>
      <c r="G52" s="586"/>
      <c r="H52" s="934"/>
      <c r="I52" s="586"/>
      <c r="J52" s="934"/>
      <c r="K52" s="204"/>
    </row>
    <row r="53" spans="1:11" s="1555" customFormat="1" ht="11.25" customHeight="1">
      <c r="A53" s="8976"/>
      <c r="B53" s="435"/>
      <c r="D53" s="583" t="s">
        <v>778</v>
      </c>
      <c r="E53" s="585" t="s">
        <v>1242</v>
      </c>
      <c r="F53" s="578" t="s">
        <v>1231</v>
      </c>
      <c r="G53" s="586"/>
      <c r="H53" s="934"/>
      <c r="I53" s="586"/>
      <c r="J53" s="934"/>
      <c r="K53" s="204"/>
    </row>
    <row r="54" spans="1:11" s="1555" customFormat="1" ht="11.25" customHeight="1">
      <c r="A54" s="8976"/>
      <c r="B54" s="435"/>
      <c r="D54" s="583" t="s">
        <v>780</v>
      </c>
      <c r="E54" s="585" t="s">
        <v>1243</v>
      </c>
      <c r="F54" s="578" t="s">
        <v>1231</v>
      </c>
      <c r="G54" s="586"/>
      <c r="H54" s="934"/>
      <c r="I54" s="586"/>
      <c r="J54" s="934"/>
      <c r="K54" s="204"/>
    </row>
    <row r="55" spans="1:11" s="1555" customFormat="1" ht="11.25" customHeight="1">
      <c r="A55" s="8976"/>
      <c r="B55" s="435"/>
      <c r="D55" s="583" t="s">
        <v>783</v>
      </c>
      <c r="E55" s="585" t="s">
        <v>1244</v>
      </c>
      <c r="F55" s="578" t="s">
        <v>1231</v>
      </c>
      <c r="G55" s="586"/>
      <c r="H55" s="934"/>
      <c r="I55" s="586"/>
      <c r="J55" s="934"/>
      <c r="K55" s="204"/>
    </row>
    <row r="56" spans="1:11" s="1555" customFormat="1" ht="11.25" customHeight="1">
      <c r="A56" s="8976"/>
      <c r="B56" s="435"/>
      <c r="D56" s="583" t="s">
        <v>1254</v>
      </c>
      <c r="E56" s="589" t="s">
        <v>1246</v>
      </c>
      <c r="F56" s="578" t="s">
        <v>1231</v>
      </c>
      <c r="G56" s="586"/>
      <c r="H56" s="934"/>
      <c r="I56" s="586"/>
      <c r="J56" s="934"/>
      <c r="K56" s="204"/>
    </row>
    <row r="57" spans="1:11" s="1555" customFormat="1" ht="11.25" customHeight="1">
      <c r="A57" s="8976"/>
      <c r="B57" s="435"/>
      <c r="D57" s="583" t="s">
        <v>1255</v>
      </c>
      <c r="E57" s="589" t="s">
        <v>1248</v>
      </c>
      <c r="F57" s="578" t="s">
        <v>1231</v>
      </c>
      <c r="G57" s="586"/>
      <c r="H57" s="934"/>
      <c r="I57" s="586"/>
      <c r="J57" s="934"/>
      <c r="K57" s="204"/>
    </row>
    <row r="58" spans="1:11" s="1555" customFormat="1" ht="11.25" customHeight="1">
      <c r="A58" s="8976"/>
      <c r="B58" s="435"/>
      <c r="D58" s="583" t="s">
        <v>785</v>
      </c>
      <c r="E58" s="585" t="s">
        <v>1250</v>
      </c>
      <c r="F58" s="578" t="s">
        <v>1231</v>
      </c>
      <c r="G58" s="586"/>
      <c r="H58" s="934"/>
      <c r="I58" s="586"/>
      <c r="J58" s="934"/>
      <c r="K58" s="204"/>
    </row>
    <row r="59" spans="1:11" s="1555" customFormat="1" ht="11.25" customHeight="1">
      <c r="A59" s="8976"/>
      <c r="B59" s="435"/>
      <c r="D59" s="583" t="s">
        <v>1256</v>
      </c>
      <c r="E59" s="585" t="s">
        <v>1252</v>
      </c>
      <c r="F59" s="578" t="s">
        <v>1231</v>
      </c>
      <c r="G59" s="586"/>
      <c r="H59" s="934"/>
      <c r="I59" s="586"/>
      <c r="J59" s="934"/>
      <c r="K59" s="204"/>
    </row>
    <row r="60" spans="1:11" s="1555" customFormat="1" ht="33.75" customHeight="1">
      <c r="A60" s="8976"/>
      <c r="B60" s="435"/>
      <c r="D60" s="583" t="s">
        <v>88</v>
      </c>
      <c r="E60" s="584" t="s">
        <v>1257</v>
      </c>
      <c r="F60" s="638" t="s">
        <v>1016</v>
      </c>
      <c r="G60" s="658"/>
      <c r="H60" s="934"/>
      <c r="I60" s="658"/>
      <c r="J60" s="934"/>
      <c r="K60" s="216" t="s">
        <v>1258</v>
      </c>
    </row>
    <row r="61" spans="1:11" s="1555" customFormat="1" ht="33.75" customHeight="1">
      <c r="A61" s="8976"/>
      <c r="B61" s="435"/>
      <c r="D61" s="583" t="s">
        <v>89</v>
      </c>
      <c r="E61" s="584" t="s">
        <v>1259</v>
      </c>
      <c r="F61" s="643" t="s">
        <v>1192</v>
      </c>
      <c r="G61" s="586"/>
      <c r="H61" s="934"/>
      <c r="I61" s="586"/>
      <c r="J61" s="934"/>
      <c r="K61" s="204"/>
    </row>
    <row r="62" spans="1:11" s="1555" customFormat="1" ht="22.5" customHeight="1">
      <c r="A62" s="8976"/>
      <c r="B62" s="435" t="s">
        <v>1046</v>
      </c>
      <c r="D62" s="583" t="s">
        <v>126</v>
      </c>
      <c r="E62" s="584" t="s">
        <v>1260</v>
      </c>
      <c r="F62" s="643" t="s">
        <v>769</v>
      </c>
      <c r="G62" s="311"/>
      <c r="H62" s="934"/>
      <c r="I62" s="311"/>
      <c r="J62" s="934"/>
      <c r="K62" s="204" t="s">
        <v>1261</v>
      </c>
    </row>
    <row r="63" spans="1:11" s="1555" customFormat="1" ht="45" customHeight="1">
      <c r="A63" s="8976"/>
      <c r="B63" s="435" t="s">
        <v>1046</v>
      </c>
      <c r="D63" s="583" t="s">
        <v>1262</v>
      </c>
      <c r="E63" s="585" t="s">
        <v>1263</v>
      </c>
      <c r="F63" s="638" t="s">
        <v>769</v>
      </c>
      <c r="G63" s="311"/>
      <c r="H63" s="934"/>
      <c r="I63" s="311"/>
      <c r="J63" s="934"/>
      <c r="K63" s="204" t="s">
        <v>1261</v>
      </c>
    </row>
    <row r="64" spans="1:11" s="1555" customFormat="1" ht="11.25" customHeight="1">
      <c r="A64" s="944"/>
      <c r="B64" s="442"/>
      <c r="D64" s="945"/>
      <c r="E64" s="946"/>
    </row>
    <row r="65" spans="1:11" s="1555" customFormat="1" ht="22.5" hidden="1" customHeight="1">
      <c r="A65" s="8976" t="s">
        <v>1264</v>
      </c>
      <c r="B65" s="435"/>
      <c r="D65" s="583">
        <v>1</v>
      </c>
      <c r="E65" s="660" t="s">
        <v>1265</v>
      </c>
      <c r="F65" s="656" t="s">
        <v>1182</v>
      </c>
      <c r="G65" s="657"/>
      <c r="H65" s="940"/>
      <c r="I65" s="657"/>
      <c r="J65" s="940"/>
      <c r="K65" s="215" t="s">
        <v>1266</v>
      </c>
    </row>
    <row r="66" spans="1:11" s="1555" customFormat="1" ht="56.25" hidden="1" customHeight="1">
      <c r="A66" s="8976"/>
      <c r="B66" s="435"/>
      <c r="D66" s="659" t="s">
        <v>99</v>
      </c>
      <c r="E66" s="624" t="s">
        <v>1267</v>
      </c>
      <c r="F66" s="578" t="s">
        <v>1004</v>
      </c>
      <c r="G66" s="578" t="s">
        <v>1004</v>
      </c>
      <c r="H66" s="443"/>
      <c r="I66" s="578" t="s">
        <v>1004</v>
      </c>
      <c r="J66" s="443"/>
      <c r="K66" s="204"/>
    </row>
    <row r="67" spans="1:11" s="1555" customFormat="1" ht="33.75" hidden="1" customHeight="1">
      <c r="A67" s="8976"/>
      <c r="B67" s="435"/>
      <c r="D67" s="659" t="s">
        <v>1080</v>
      </c>
      <c r="E67" s="865" t="s">
        <v>1268</v>
      </c>
      <c r="F67" s="578" t="s">
        <v>1234</v>
      </c>
      <c r="G67" s="644"/>
      <c r="H67" s="443"/>
      <c r="I67" s="644"/>
      <c r="J67" s="443"/>
      <c r="K67" s="204"/>
    </row>
    <row r="68" spans="1:11" s="1555" customFormat="1" ht="22.5" hidden="1" customHeight="1">
      <c r="A68" s="8976"/>
      <c r="B68" s="435"/>
      <c r="D68" s="659" t="s">
        <v>770</v>
      </c>
      <c r="E68" s="865" t="s">
        <v>1269</v>
      </c>
      <c r="F68" s="578" t="s">
        <v>1234</v>
      </c>
      <c r="G68" s="644"/>
      <c r="H68" s="443"/>
      <c r="I68" s="644"/>
      <c r="J68" s="443"/>
      <c r="K68" s="204"/>
    </row>
    <row r="69" spans="1:11" s="1555" customFormat="1" ht="22.5" hidden="1" customHeight="1">
      <c r="A69" s="8976"/>
      <c r="B69" s="435"/>
      <c r="D69" s="659" t="s">
        <v>773</v>
      </c>
      <c r="E69" s="865" t="s">
        <v>1270</v>
      </c>
      <c r="F69" s="638" t="s">
        <v>1016</v>
      </c>
      <c r="G69" s="658"/>
      <c r="H69" s="443"/>
      <c r="I69" s="658"/>
      <c r="J69" s="443"/>
      <c r="K69" s="204"/>
    </row>
    <row r="70" spans="1:11" s="1555" customFormat="1" ht="22.5" hidden="1" customHeight="1">
      <c r="A70" s="8976"/>
      <c r="B70" s="435"/>
      <c r="D70" s="659" t="s">
        <v>1100</v>
      </c>
      <c r="E70" s="865" t="s">
        <v>1271</v>
      </c>
      <c r="F70" s="638" t="s">
        <v>1016</v>
      </c>
      <c r="G70" s="658"/>
      <c r="H70" s="443"/>
      <c r="I70" s="658"/>
      <c r="J70" s="443"/>
      <c r="K70" s="204"/>
    </row>
    <row r="71" spans="1:11" s="1555" customFormat="1" ht="22.5" hidden="1" customHeight="1">
      <c r="A71" s="8976"/>
      <c r="B71" s="435"/>
      <c r="D71" s="583" t="s">
        <v>86</v>
      </c>
      <c r="E71" s="584" t="s">
        <v>1272</v>
      </c>
      <c r="F71" s="578" t="s">
        <v>1234</v>
      </c>
      <c r="G71" s="480"/>
      <c r="H71" s="941"/>
      <c r="I71" s="480"/>
      <c r="J71" s="941"/>
      <c r="K71" s="216"/>
    </row>
    <row r="72" spans="1:11" s="1555" customFormat="1" ht="56.25" hidden="1" customHeight="1">
      <c r="A72" s="8976"/>
      <c r="B72" s="435"/>
      <c r="D72" s="583" t="s">
        <v>87</v>
      </c>
      <c r="E72" s="584" t="s">
        <v>1273</v>
      </c>
      <c r="F72" s="638" t="s">
        <v>1016</v>
      </c>
      <c r="G72" s="658"/>
      <c r="H72" s="934"/>
      <c r="I72" s="658"/>
      <c r="J72" s="934"/>
      <c r="K72" s="216"/>
    </row>
    <row r="73" spans="1:11" s="1555" customFormat="1" ht="33.75" hidden="1" customHeight="1">
      <c r="A73" s="8976"/>
      <c r="B73" s="435"/>
      <c r="D73" s="583" t="s">
        <v>113</v>
      </c>
      <c r="E73" s="584" t="s">
        <v>1274</v>
      </c>
      <c r="F73" s="643" t="s">
        <v>1192</v>
      </c>
      <c r="G73" s="586"/>
      <c r="H73" s="934"/>
      <c r="I73" s="586"/>
      <c r="J73" s="934"/>
      <c r="K73" s="204"/>
    </row>
    <row r="74" spans="1:11" s="1555" customFormat="1" ht="22.5" hidden="1" customHeight="1">
      <c r="A74" s="8976"/>
      <c r="B74" s="435" t="s">
        <v>1046</v>
      </c>
      <c r="D74" s="583" t="s">
        <v>88</v>
      </c>
      <c r="E74" s="584" t="s">
        <v>1275</v>
      </c>
      <c r="F74" s="643" t="s">
        <v>769</v>
      </c>
      <c r="G74" s="311"/>
      <c r="H74" s="934"/>
      <c r="I74" s="311"/>
      <c r="J74" s="934"/>
      <c r="K74" s="204" t="s">
        <v>1261</v>
      </c>
    </row>
    <row r="75" spans="1:11" s="1555" customFormat="1" ht="45" hidden="1" customHeight="1">
      <c r="A75" s="8976"/>
      <c r="B75" s="435" t="s">
        <v>1046</v>
      </c>
      <c r="D75" s="583" t="s">
        <v>1276</v>
      </c>
      <c r="E75" s="585" t="s">
        <v>1277</v>
      </c>
      <c r="F75" s="638" t="s">
        <v>769</v>
      </c>
      <c r="G75" s="311"/>
      <c r="H75" s="934"/>
      <c r="I75" s="311"/>
      <c r="J75" s="934"/>
      <c r="K75" s="204" t="s">
        <v>1261</v>
      </c>
    </row>
    <row r="76" spans="1:11" s="1555" customFormat="1" ht="11.25" customHeight="1">
      <c r="A76" s="944"/>
      <c r="B76" s="442"/>
      <c r="D76" s="945"/>
      <c r="E76" s="946"/>
    </row>
    <row r="77" spans="1:11" s="1555" customFormat="1" ht="11.25" hidden="1" customHeight="1">
      <c r="A77" s="8976" t="s">
        <v>1278</v>
      </c>
      <c r="B77" s="435"/>
      <c r="D77" s="583">
        <v>1</v>
      </c>
      <c r="E77" s="584" t="s">
        <v>1279</v>
      </c>
      <c r="F77" s="638" t="s">
        <v>1182</v>
      </c>
      <c r="G77" s="641"/>
      <c r="H77" s="934"/>
      <c r="I77" s="641"/>
      <c r="J77" s="934"/>
      <c r="K77" s="204" t="s">
        <v>1280</v>
      </c>
    </row>
    <row r="78" spans="1:11" s="1555" customFormat="1" ht="11.25" hidden="1" customHeight="1">
      <c r="A78" s="8976"/>
      <c r="B78" s="435"/>
      <c r="D78" s="583" t="s">
        <v>99</v>
      </c>
      <c r="E78" s="584" t="s">
        <v>1281</v>
      </c>
      <c r="F78" s="638" t="s">
        <v>1182</v>
      </c>
      <c r="G78" s="641"/>
      <c r="H78" s="934"/>
      <c r="I78" s="641"/>
      <c r="J78" s="934"/>
      <c r="K78" s="204" t="s">
        <v>1282</v>
      </c>
    </row>
    <row r="79" spans="1:11" s="1555" customFormat="1" ht="22.5" hidden="1" customHeight="1">
      <c r="A79" s="8976"/>
      <c r="B79" s="435"/>
      <c r="D79" s="583" t="s">
        <v>86</v>
      </c>
      <c r="E79" s="639" t="s">
        <v>1283</v>
      </c>
      <c r="F79" s="578" t="s">
        <v>1231</v>
      </c>
      <c r="G79" s="641"/>
      <c r="H79" s="934"/>
      <c r="I79" s="641"/>
      <c r="J79" s="934"/>
      <c r="K79" s="204" t="s">
        <v>1284</v>
      </c>
    </row>
    <row r="80" spans="1:11" s="1555" customFormat="1" ht="11.25" hidden="1" customHeight="1">
      <c r="A80" s="8976"/>
      <c r="B80" s="435"/>
      <c r="D80" s="583" t="s">
        <v>789</v>
      </c>
      <c r="E80" s="640" t="s">
        <v>1285</v>
      </c>
      <c r="F80" s="578" t="s">
        <v>1231</v>
      </c>
      <c r="G80" s="641"/>
      <c r="H80" s="934"/>
      <c r="I80" s="641"/>
      <c r="J80" s="934"/>
      <c r="K80" s="204"/>
    </row>
    <row r="81" spans="1:11" s="1555" customFormat="1" ht="11.25" hidden="1" customHeight="1">
      <c r="A81" s="8976"/>
      <c r="B81" s="435"/>
      <c r="D81" s="583" t="s">
        <v>797</v>
      </c>
      <c r="E81" s="640" t="s">
        <v>1286</v>
      </c>
      <c r="F81" s="578" t="s">
        <v>1231</v>
      </c>
      <c r="G81" s="641"/>
      <c r="H81" s="934"/>
      <c r="I81" s="641"/>
      <c r="J81" s="934"/>
      <c r="K81" s="204"/>
    </row>
    <row r="82" spans="1:11" s="1555" customFormat="1" ht="11.25" hidden="1" customHeight="1">
      <c r="A82" s="8976"/>
      <c r="B82" s="435"/>
      <c r="D82" s="583" t="s">
        <v>799</v>
      </c>
      <c r="E82" s="640" t="s">
        <v>1287</v>
      </c>
      <c r="F82" s="578" t="s">
        <v>1231</v>
      </c>
      <c r="G82" s="641"/>
      <c r="H82" s="934"/>
      <c r="I82" s="641"/>
      <c r="J82" s="934"/>
      <c r="K82" s="204"/>
    </row>
    <row r="83" spans="1:11" s="1555" customFormat="1" ht="11.25" hidden="1" customHeight="1">
      <c r="A83" s="8976"/>
      <c r="B83" s="435"/>
      <c r="D83" s="583" t="s">
        <v>801</v>
      </c>
      <c r="E83" s="640" t="s">
        <v>1288</v>
      </c>
      <c r="F83" s="578" t="s">
        <v>1231</v>
      </c>
      <c r="G83" s="641"/>
      <c r="H83" s="934"/>
      <c r="I83" s="641"/>
      <c r="J83" s="934"/>
      <c r="K83" s="204"/>
    </row>
    <row r="84" spans="1:11" s="1555" customFormat="1" ht="11.25" hidden="1" customHeight="1">
      <c r="A84" s="8976"/>
      <c r="B84" s="435"/>
      <c r="D84" s="583" t="s">
        <v>1289</v>
      </c>
      <c r="E84" s="640" t="s">
        <v>1290</v>
      </c>
      <c r="F84" s="578" t="s">
        <v>1231</v>
      </c>
      <c r="G84" s="641"/>
      <c r="H84" s="934"/>
      <c r="I84" s="641"/>
      <c r="J84" s="934"/>
      <c r="K84" s="204"/>
    </row>
    <row r="85" spans="1:11" s="1555" customFormat="1" ht="11.25" hidden="1" customHeight="1">
      <c r="A85" s="8976"/>
      <c r="B85" s="435"/>
      <c r="D85" s="583" t="s">
        <v>1291</v>
      </c>
      <c r="E85" s="640" t="s">
        <v>1292</v>
      </c>
      <c r="F85" s="578" t="s">
        <v>1231</v>
      </c>
      <c r="G85" s="641"/>
      <c r="H85" s="934"/>
      <c r="I85" s="641"/>
      <c r="J85" s="934"/>
      <c r="K85" s="204"/>
    </row>
    <row r="86" spans="1:11" s="1555" customFormat="1" ht="11.25" hidden="1" customHeight="1">
      <c r="A86" s="8976"/>
      <c r="B86" s="435"/>
      <c r="D86" s="583" t="s">
        <v>1293</v>
      </c>
      <c r="E86" s="640" t="s">
        <v>1294</v>
      </c>
      <c r="F86" s="578" t="s">
        <v>1231</v>
      </c>
      <c r="G86" s="641"/>
      <c r="H86" s="934"/>
      <c r="I86" s="641"/>
      <c r="J86" s="934"/>
      <c r="K86" s="204"/>
    </row>
    <row r="87" spans="1:11" s="1555" customFormat="1" ht="45" hidden="1" customHeight="1">
      <c r="A87" s="8976"/>
      <c r="B87" s="435"/>
      <c r="D87" s="583" t="s">
        <v>87</v>
      </c>
      <c r="E87" s="584" t="s">
        <v>1295</v>
      </c>
      <c r="F87" s="578" t="s">
        <v>1231</v>
      </c>
      <c r="G87" s="641"/>
      <c r="H87" s="934"/>
      <c r="I87" s="641"/>
      <c r="J87" s="934"/>
      <c r="K87" s="204" t="s">
        <v>1296</v>
      </c>
    </row>
    <row r="88" spans="1:11" s="1555" customFormat="1" ht="11.25" hidden="1" customHeight="1">
      <c r="A88" s="8976"/>
      <c r="B88" s="435"/>
      <c r="D88" s="583" t="s">
        <v>1125</v>
      </c>
      <c r="E88" s="640" t="s">
        <v>1285</v>
      </c>
      <c r="F88" s="578" t="s">
        <v>1231</v>
      </c>
      <c r="G88" s="641"/>
      <c r="H88" s="934"/>
      <c r="I88" s="641"/>
      <c r="J88" s="934"/>
      <c r="K88" s="204"/>
    </row>
    <row r="89" spans="1:11" s="1555" customFormat="1" ht="11.25" hidden="1" customHeight="1">
      <c r="A89" s="8976"/>
      <c r="B89" s="435"/>
      <c r="D89" s="583" t="s">
        <v>1168</v>
      </c>
      <c r="E89" s="640" t="s">
        <v>1286</v>
      </c>
      <c r="F89" s="578" t="s">
        <v>1231</v>
      </c>
      <c r="G89" s="641"/>
      <c r="H89" s="934"/>
      <c r="I89" s="641"/>
      <c r="J89" s="934"/>
      <c r="K89" s="204"/>
    </row>
    <row r="90" spans="1:11" s="1555" customFormat="1" ht="11.25" hidden="1" customHeight="1">
      <c r="A90" s="8976"/>
      <c r="B90" s="435"/>
      <c r="D90" s="583" t="s">
        <v>1171</v>
      </c>
      <c r="E90" s="640" t="s">
        <v>1287</v>
      </c>
      <c r="F90" s="578" t="s">
        <v>1231</v>
      </c>
      <c r="G90" s="641"/>
      <c r="H90" s="934"/>
      <c r="I90" s="641"/>
      <c r="J90" s="934"/>
      <c r="K90" s="204"/>
    </row>
    <row r="91" spans="1:11" s="1555" customFormat="1" ht="11.25" hidden="1" customHeight="1">
      <c r="A91" s="8976"/>
      <c r="B91" s="435"/>
      <c r="D91" s="583" t="s">
        <v>1249</v>
      </c>
      <c r="E91" s="640" t="s">
        <v>1288</v>
      </c>
      <c r="F91" s="578" t="s">
        <v>1231</v>
      </c>
      <c r="G91" s="641"/>
      <c r="H91" s="934"/>
      <c r="I91" s="641"/>
      <c r="J91" s="934"/>
      <c r="K91" s="204"/>
    </row>
    <row r="92" spans="1:11" s="1555" customFormat="1" ht="11.25" hidden="1" customHeight="1">
      <c r="A92" s="8976"/>
      <c r="B92" s="435"/>
      <c r="D92" s="583" t="s">
        <v>1251</v>
      </c>
      <c r="E92" s="640" t="s">
        <v>1290</v>
      </c>
      <c r="F92" s="578" t="s">
        <v>1231</v>
      </c>
      <c r="G92" s="641"/>
      <c r="H92" s="934"/>
      <c r="I92" s="641"/>
      <c r="J92" s="934"/>
      <c r="K92" s="204"/>
    </row>
    <row r="93" spans="1:11" s="1555" customFormat="1" ht="11.25" hidden="1" customHeight="1">
      <c r="A93" s="8976"/>
      <c r="B93" s="435"/>
      <c r="D93" s="583" t="s">
        <v>1297</v>
      </c>
      <c r="E93" s="640" t="s">
        <v>1292</v>
      </c>
      <c r="F93" s="578" t="s">
        <v>1231</v>
      </c>
      <c r="G93" s="641"/>
      <c r="H93" s="934"/>
      <c r="I93" s="641"/>
      <c r="J93" s="934"/>
      <c r="K93" s="204"/>
    </row>
    <row r="94" spans="1:11" s="1555" customFormat="1" ht="11.25" hidden="1" customHeight="1">
      <c r="A94" s="8976"/>
      <c r="B94" s="435"/>
      <c r="D94" s="583" t="s">
        <v>1298</v>
      </c>
      <c r="E94" s="640" t="s">
        <v>1294</v>
      </c>
      <c r="F94" s="578" t="s">
        <v>1231</v>
      </c>
      <c r="G94" s="641"/>
      <c r="H94" s="934"/>
      <c r="I94" s="641"/>
      <c r="J94" s="934"/>
      <c r="K94" s="204"/>
    </row>
    <row r="95" spans="1:11" s="1555" customFormat="1" ht="24.75" hidden="1" customHeight="1">
      <c r="A95" s="8976"/>
      <c r="B95" s="435"/>
      <c r="D95" s="583" t="s">
        <v>113</v>
      </c>
      <c r="E95" s="584" t="s">
        <v>1299</v>
      </c>
      <c r="F95" s="642" t="s">
        <v>1016</v>
      </c>
      <c r="G95" s="644"/>
      <c r="H95" s="934"/>
      <c r="I95" s="644"/>
      <c r="J95" s="934"/>
      <c r="K95" s="204" t="s">
        <v>1300</v>
      </c>
    </row>
    <row r="96" spans="1:11" s="1555" customFormat="1" ht="33.75" hidden="1" customHeight="1">
      <c r="A96" s="8976"/>
      <c r="B96" s="435"/>
      <c r="D96" s="583" t="s">
        <v>88</v>
      </c>
      <c r="E96" s="584" t="s">
        <v>1301</v>
      </c>
      <c r="F96" s="643" t="s">
        <v>1192</v>
      </c>
      <c r="G96" s="645"/>
      <c r="H96" s="934"/>
      <c r="I96" s="645"/>
      <c r="J96" s="934"/>
      <c r="K96" s="204"/>
    </row>
    <row r="97" spans="1:11" s="1555" customFormat="1" ht="22.5" hidden="1" customHeight="1">
      <c r="A97" s="8976"/>
      <c r="B97" s="435" t="s">
        <v>1046</v>
      </c>
      <c r="D97" s="583" t="s">
        <v>89</v>
      </c>
      <c r="E97" s="584" t="s">
        <v>1302</v>
      </c>
      <c r="F97" s="643" t="s">
        <v>769</v>
      </c>
      <c r="G97" s="314"/>
      <c r="H97" s="934"/>
      <c r="I97" s="314"/>
      <c r="J97" s="934"/>
      <c r="K97" s="204" t="s">
        <v>1261</v>
      </c>
    </row>
    <row r="98" spans="1:11" s="1555" customFormat="1" ht="45" hidden="1" customHeight="1">
      <c r="A98" s="8976"/>
      <c r="B98" s="435" t="s">
        <v>1046</v>
      </c>
      <c r="D98" s="583" t="s">
        <v>1303</v>
      </c>
      <c r="E98" s="585" t="s">
        <v>1304</v>
      </c>
      <c r="F98" s="638" t="s">
        <v>769</v>
      </c>
      <c r="G98" s="314"/>
      <c r="H98" s="934"/>
      <c r="I98" s="314"/>
      <c r="J98" s="934"/>
      <c r="K98" s="204" t="s">
        <v>1261</v>
      </c>
    </row>
    <row r="99" spans="1:11" s="1555" customFormat="1" ht="95.25" hidden="1" customHeight="1">
      <c r="A99" s="8976"/>
      <c r="B99" s="435" t="s">
        <v>1046</v>
      </c>
      <c r="D99" s="583" t="s">
        <v>126</v>
      </c>
      <c r="E99" s="584" t="s">
        <v>1305</v>
      </c>
      <c r="F99" s="638" t="s">
        <v>769</v>
      </c>
      <c r="G99" s="314"/>
      <c r="H99" s="934"/>
      <c r="I99" s="314"/>
      <c r="J99" s="934"/>
      <c r="K99" s="204" t="s">
        <v>1261</v>
      </c>
    </row>
    <row r="100" spans="1:11" s="1555" customFormat="1" ht="22.5" hidden="1" customHeight="1">
      <c r="A100" s="8976"/>
      <c r="B100" s="435" t="s">
        <v>1046</v>
      </c>
      <c r="D100" s="583" t="s">
        <v>131</v>
      </c>
      <c r="E100" s="584" t="s">
        <v>1306</v>
      </c>
      <c r="F100" s="638" t="s">
        <v>769</v>
      </c>
      <c r="G100" s="314"/>
      <c r="H100" s="934"/>
      <c r="I100" s="314"/>
      <c r="J100" s="934"/>
      <c r="K100" s="204" t="s">
        <v>1261</v>
      </c>
    </row>
    <row r="101" spans="1:11" s="1555" customFormat="1" ht="11.25" customHeight="1">
      <c r="A101" s="944"/>
      <c r="B101" s="442"/>
      <c r="D101" s="945"/>
      <c r="E101" s="946"/>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36.7109375" style="1555" customWidth="1"/>
    <col min="6" max="6" width="9.5703125" style="1555" customWidth="1"/>
    <col min="7" max="7" width="25.7109375" style="1555" hidden="1" customWidth="1"/>
    <col min="8" max="8" width="33.7109375" style="1555" hidden="1" customWidth="1"/>
    <col min="9" max="9" width="25.7109375" style="1555" customWidth="1"/>
    <col min="10" max="10" width="33.7109375" style="1555" customWidth="1"/>
    <col min="11" max="11" width="93.42578125" style="1287" customWidth="1"/>
    <col min="12" max="20" width="10.5703125" style="1555"/>
    <col min="21" max="21" width="10.5703125" style="593"/>
  </cols>
  <sheetData>
    <row r="1" spans="1:21" s="1287" customFormat="1" ht="15" hidden="1" customHeight="1">
      <c r="C1" s="590"/>
      <c r="G1" s="346">
        <v>4</v>
      </c>
      <c r="I1" s="346">
        <v>4</v>
      </c>
      <c r="U1" s="348"/>
    </row>
    <row r="2" spans="1:21" s="1287" customFormat="1" ht="15" hidden="1" customHeight="1">
      <c r="C2" s="590"/>
      <c r="U2" s="348"/>
    </row>
    <row r="3" spans="1:21" ht="22.5" hidden="1" customHeight="1">
      <c r="A3" s="429"/>
      <c r="B3" s="8981"/>
      <c r="C3" s="8982"/>
      <c r="D3" s="607" t="str">
        <f>B3&amp;".1"</f>
        <v>.1</v>
      </c>
      <c r="E3" s="608" t="s">
        <v>1307</v>
      </c>
      <c r="F3" s="609" t="s">
        <v>769</v>
      </c>
      <c r="G3" s="604"/>
      <c r="H3" s="330"/>
      <c r="I3" s="604"/>
      <c r="J3" s="330"/>
      <c r="K3" s="204" t="s">
        <v>1308</v>
      </c>
    </row>
    <row r="4" spans="1:21" ht="15" hidden="1" customHeight="1">
      <c r="A4" s="429"/>
      <c r="B4" s="8981"/>
      <c r="C4" s="8982"/>
      <c r="D4" s="607" t="str">
        <f>B3&amp;".2"</f>
        <v>.2</v>
      </c>
      <c r="E4" s="608" t="s">
        <v>1309</v>
      </c>
      <c r="F4" s="609" t="s">
        <v>769</v>
      </c>
      <c r="G4" s="1657" t="s">
        <v>24</v>
      </c>
      <c r="H4" s="330"/>
      <c r="I4" s="1657" t="s">
        <v>24</v>
      </c>
      <c r="J4" s="330"/>
      <c r="K4" s="204" t="s">
        <v>1310</v>
      </c>
    </row>
    <row r="5" spans="1:21" s="1287" customFormat="1" ht="15" hidden="1" customHeight="1">
      <c r="C5" s="590"/>
      <c r="U5" s="348"/>
    </row>
    <row r="6" spans="1:21" ht="22.5" hidden="1" customHeight="1">
      <c r="A6" s="429"/>
      <c r="B6" s="8981"/>
      <c r="C6" s="8982"/>
      <c r="D6" s="607" t="str">
        <f>B6&amp;".1"</f>
        <v>.1</v>
      </c>
      <c r="E6" s="608" t="s">
        <v>1311</v>
      </c>
      <c r="F6" s="609" t="s">
        <v>769</v>
      </c>
      <c r="G6" s="604"/>
      <c r="H6" s="330"/>
      <c r="I6" s="604"/>
      <c r="J6" s="330"/>
      <c r="K6" s="204" t="s">
        <v>1312</v>
      </c>
    </row>
    <row r="7" spans="1:21" ht="15" hidden="1" customHeight="1">
      <c r="A7" s="429"/>
      <c r="B7" s="8981"/>
      <c r="C7" s="8982"/>
      <c r="D7" s="607" t="str">
        <f>B6&amp;".2"</f>
        <v>.2</v>
      </c>
      <c r="E7" s="608" t="s">
        <v>1309</v>
      </c>
      <c r="F7" s="609" t="s">
        <v>769</v>
      </c>
      <c r="G7" s="1657" t="s">
        <v>24</v>
      </c>
      <c r="H7" s="330"/>
      <c r="I7" s="1657" t="s">
        <v>24</v>
      </c>
      <c r="J7" s="330"/>
      <c r="K7" s="204" t="s">
        <v>1310</v>
      </c>
    </row>
    <row r="8" spans="1:21" s="1287" customFormat="1" ht="15" hidden="1" customHeight="1">
      <c r="C8" s="590"/>
      <c r="U8" s="348"/>
    </row>
    <row r="9" spans="1:21" ht="22.5" hidden="1" customHeight="1">
      <c r="A9" s="429"/>
      <c r="B9" s="8981"/>
      <c r="C9" s="8982"/>
      <c r="D9" s="607" t="str">
        <f>B9&amp;".1"</f>
        <v>.1</v>
      </c>
      <c r="E9" s="608" t="s">
        <v>1313</v>
      </c>
      <c r="F9" s="609" t="s">
        <v>769</v>
      </c>
      <c r="G9" s="615" t="s">
        <v>24</v>
      </c>
      <c r="H9" s="330" t="s">
        <v>24</v>
      </c>
      <c r="I9" s="615" t="s">
        <v>24</v>
      </c>
      <c r="J9" s="330" t="s">
        <v>24</v>
      </c>
      <c r="K9" s="204"/>
    </row>
    <row r="10" spans="1:21" ht="15" hidden="1" customHeight="1">
      <c r="A10" s="429"/>
      <c r="B10" s="8981"/>
      <c r="C10" s="8982"/>
      <c r="D10" s="607" t="str">
        <f>B9&amp;".2"</f>
        <v>.2</v>
      </c>
      <c r="E10" s="608" t="s">
        <v>1314</v>
      </c>
      <c r="F10" s="609" t="s">
        <v>769</v>
      </c>
      <c r="G10" s="1651" t="s">
        <v>24</v>
      </c>
      <c r="H10" s="330" t="s">
        <v>24</v>
      </c>
      <c r="I10" s="1651" t="s">
        <v>24</v>
      </c>
      <c r="J10" s="330" t="s">
        <v>24</v>
      </c>
      <c r="K10" s="204" t="s">
        <v>1315</v>
      </c>
    </row>
    <row r="11" spans="1:21" ht="15" hidden="1" customHeight="1">
      <c r="A11" s="429"/>
      <c r="B11" s="8981"/>
      <c r="C11" s="8982"/>
      <c r="D11" s="607" t="str">
        <f>B9&amp;".3"</f>
        <v>.3</v>
      </c>
      <c r="E11" s="608" t="s">
        <v>1316</v>
      </c>
      <c r="F11" s="609" t="s">
        <v>769</v>
      </c>
      <c r="G11" s="1651" t="s">
        <v>24</v>
      </c>
      <c r="H11" s="330" t="s">
        <v>24</v>
      </c>
      <c r="I11" s="1651" t="s">
        <v>24</v>
      </c>
      <c r="J11" s="330" t="s">
        <v>24</v>
      </c>
      <c r="K11" s="204" t="s">
        <v>1317</v>
      </c>
    </row>
    <row r="12" spans="1:21" s="1287" customFormat="1" ht="15" hidden="1" customHeight="1">
      <c r="C12" s="590"/>
      <c r="U12" s="348"/>
    </row>
    <row r="13" spans="1:21" ht="33.75" hidden="1" customHeight="1">
      <c r="A13" s="429"/>
      <c r="B13" s="8981"/>
      <c r="C13" s="8982"/>
      <c r="D13" s="607" t="str">
        <f>B13&amp;".1"</f>
        <v>.1</v>
      </c>
      <c r="E13" s="608" t="s">
        <v>1318</v>
      </c>
      <c r="F13" s="609" t="s">
        <v>769</v>
      </c>
      <c r="G13" s="615" t="s">
        <v>24</v>
      </c>
      <c r="H13" s="330" t="s">
        <v>24</v>
      </c>
      <c r="I13" s="615" t="s">
        <v>24</v>
      </c>
      <c r="J13" s="330" t="s">
        <v>24</v>
      </c>
      <c r="K13" s="204" t="s">
        <v>1319</v>
      </c>
    </row>
    <row r="14" spans="1:21" ht="15" hidden="1" customHeight="1">
      <c r="B14" s="8981"/>
      <c r="C14" s="8982"/>
      <c r="D14" s="607" t="str">
        <f>B13&amp;".2"</f>
        <v>.2</v>
      </c>
      <c r="E14" s="608" t="s">
        <v>1320</v>
      </c>
      <c r="F14" s="609" t="s">
        <v>769</v>
      </c>
      <c r="G14" s="1651" t="s">
        <v>24</v>
      </c>
      <c r="H14" s="330" t="s">
        <v>24</v>
      </c>
      <c r="I14" s="1651" t="s">
        <v>24</v>
      </c>
      <c r="J14" s="330" t="s">
        <v>24</v>
      </c>
      <c r="K14" s="204" t="s">
        <v>1321</v>
      </c>
    </row>
    <row r="15" spans="1:21" s="1287" customFormat="1" ht="15" hidden="1" customHeight="1">
      <c r="C15" s="590"/>
      <c r="U15" s="348"/>
    </row>
    <row r="16" spans="1:21" s="1287" customFormat="1" ht="15" hidden="1" customHeight="1">
      <c r="C16" s="590"/>
      <c r="U16" s="348"/>
    </row>
    <row r="17" spans="1:21" s="1287" customFormat="1" ht="15" hidden="1" customHeight="1">
      <c r="C17" s="590"/>
      <c r="U17" s="348"/>
    </row>
    <row r="18" spans="1:21" s="1287" customFormat="1" ht="15" hidden="1" customHeight="1">
      <c r="C18" s="590"/>
      <c r="U18" s="348"/>
    </row>
    <row r="19" spans="1:21" s="1287" customFormat="1" ht="15" hidden="1" customHeight="1">
      <c r="C19" s="590"/>
      <c r="U19" s="348"/>
    </row>
    <row r="20" spans="1:21" s="1287" customFormat="1" ht="15" hidden="1" customHeight="1">
      <c r="C20" s="590"/>
      <c r="U20" s="348"/>
    </row>
    <row r="21" spans="1:21" ht="15" customHeight="1">
      <c r="C21" s="94"/>
      <c r="D21" s="433"/>
      <c r="E21" s="433"/>
      <c r="F21" s="433"/>
      <c r="G21" s="433"/>
      <c r="H21" s="433"/>
      <c r="I21" s="433"/>
      <c r="J21" s="433"/>
    </row>
    <row r="22" spans="1:21" ht="22.5" customHeight="1">
      <c r="C22" s="94"/>
      <c r="D22" s="886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8867"/>
      <c r="F22" s="8867"/>
      <c r="G22" s="8867"/>
      <c r="H22" s="8867"/>
      <c r="I22" s="8867"/>
      <c r="J22" s="594"/>
      <c r="K22" s="460"/>
    </row>
    <row r="23" spans="1:21" ht="15" customHeight="1">
      <c r="C23" s="94"/>
      <c r="D23" s="8814" t="str">
        <f>IF(org=0,"Не определено",org)</f>
        <v>ГУП СК "Ставрополькрайводоканал"</v>
      </c>
      <c r="E23" s="8814"/>
      <c r="F23" s="8814"/>
      <c r="G23" s="8814"/>
      <c r="H23" s="8814"/>
      <c r="I23" s="8814"/>
      <c r="J23" s="594"/>
      <c r="K23" s="460"/>
    </row>
    <row r="24" spans="1:21" ht="15" customHeight="1">
      <c r="C24" s="94"/>
      <c r="D24" s="433"/>
      <c r="E24" s="433"/>
      <c r="F24" s="433"/>
      <c r="G24" s="460">
        <v>22</v>
      </c>
      <c r="H24" s="667"/>
      <c r="I24" s="460">
        <v>22</v>
      </c>
      <c r="J24" s="667"/>
    </row>
    <row r="25" spans="1:21" s="1555" customFormat="1" ht="0.75" customHeight="1">
      <c r="A25" s="674"/>
      <c r="C25" s="94"/>
      <c r="D25" s="433"/>
      <c r="E25" s="433"/>
      <c r="F25" s="433"/>
      <c r="G25" s="460"/>
      <c r="H25" s="667"/>
      <c r="I25" s="460" t="s">
        <v>205</v>
      </c>
      <c r="J25" s="667"/>
      <c r="K25" s="346"/>
      <c r="U25" s="593"/>
    </row>
    <row r="26" spans="1:21" ht="15" customHeight="1">
      <c r="C26" s="94"/>
      <c r="D26" s="628"/>
      <c r="E26" s="8958" t="s">
        <v>197</v>
      </c>
      <c r="F26" s="8959"/>
      <c r="G26" s="8979" t="str">
        <f>IF(G25="","",INDEX(DIFFERENTIATION_UNMERGE_VD,MATCH(G25,DIFFERENTIATION_ID_DIFF,0)))</f>
        <v/>
      </c>
      <c r="H26" s="8980"/>
      <c r="I26" s="8979">
        <f>IF(I25="","",INDEX(DIFFERENTIATION_UNMERGE_VD,MATCH(I25,DIFFERENTIATION_ID_DIFF,0)))</f>
        <v>0</v>
      </c>
      <c r="J26" s="8980"/>
      <c r="K26" s="8813" t="s">
        <v>764</v>
      </c>
    </row>
    <row r="27" spans="1:21" s="1555" customFormat="1" ht="15" customHeight="1">
      <c r="A27" s="674"/>
      <c r="C27" s="94"/>
      <c r="D27" s="628"/>
      <c r="E27" s="8958" t="s">
        <v>1022</v>
      </c>
      <c r="F27" s="8959"/>
      <c r="G27" s="8979" t="str">
        <f>IF(G25="","",INDEX(DIFFERENTIATION_UNMERGE_AREA,MATCH(G25,DIFFERENTIATION_ID_DIFF,0)))</f>
        <v/>
      </c>
      <c r="H27" s="8980"/>
      <c r="I27" s="8979" t="str">
        <f>IF(I25="","",INDEX(DIFFERENTIATION_UNMERGE_AREA,MATCH(I25,DIFFERENTIATION_ID_DIFF,0)))</f>
        <v/>
      </c>
      <c r="J27" s="8980"/>
      <c r="K27" s="8831"/>
      <c r="U27" s="593"/>
    </row>
    <row r="28" spans="1:21" s="1555" customFormat="1" ht="15" customHeight="1">
      <c r="A28" s="674"/>
      <c r="C28" s="94"/>
      <c r="D28" s="628"/>
      <c r="E28" s="8958" t="s">
        <v>1023</v>
      </c>
      <c r="F28" s="8959"/>
      <c r="G28" s="8979" t="str">
        <f>IF(G25="","",INDEX(DIFFERENTIATION_UNMERGE_SYSTEM,MATCH(G25,DIFFERENTIATION_ID_DIFF,0)))</f>
        <v/>
      </c>
      <c r="H28" s="8980"/>
      <c r="I28" s="8979" t="str">
        <f>IF(I25="","",INDEX(DIFFERENTIATION_UNMERGE_SYSTEM,MATCH(I25,DIFFERENTIATION_ID_DIFF,0)))</f>
        <v>без дифференциации</v>
      </c>
      <c r="J28" s="8980"/>
      <c r="K28" s="8831"/>
      <c r="U28" s="593"/>
    </row>
    <row r="29" spans="1:21" s="1555" customFormat="1" ht="15" customHeight="1">
      <c r="A29" s="674"/>
      <c r="C29" s="94"/>
      <c r="D29" s="8960" t="s">
        <v>763</v>
      </c>
      <c r="E29" s="8961"/>
      <c r="F29" s="8961"/>
      <c r="G29" s="801"/>
      <c r="H29" s="801"/>
      <c r="I29" s="801"/>
      <c r="J29" s="802"/>
      <c r="K29" s="8831"/>
      <c r="U29" s="593"/>
    </row>
    <row r="30" spans="1:21" ht="33.75" customHeight="1">
      <c r="C30" s="94"/>
      <c r="D30" s="676" t="s">
        <v>84</v>
      </c>
      <c r="E30" s="675" t="s">
        <v>765</v>
      </c>
      <c r="F30" s="675" t="s">
        <v>1024</v>
      </c>
      <c r="G30" s="722" t="s">
        <v>766</v>
      </c>
      <c r="H30" s="721" t="s">
        <v>855</v>
      </c>
      <c r="I30" s="602" t="s">
        <v>766</v>
      </c>
      <c r="J30" s="389" t="s">
        <v>855</v>
      </c>
      <c r="K30" s="8834"/>
    </row>
    <row r="31" spans="1:21" ht="15" hidden="1" customHeight="1">
      <c r="C31" s="94"/>
      <c r="D31" s="514"/>
      <c r="E31" s="514"/>
      <c r="F31" s="514"/>
      <c r="G31" s="577"/>
      <c r="H31" s="577"/>
      <c r="I31" s="577"/>
      <c r="J31" s="577"/>
      <c r="K31" s="204"/>
    </row>
    <row r="32" spans="1:21" ht="22.5" customHeight="1">
      <c r="A32" s="429"/>
      <c r="B32" s="429" t="s">
        <v>1322</v>
      </c>
      <c r="C32" s="450"/>
      <c r="D32" s="610">
        <v>1</v>
      </c>
      <c r="E32" s="611" t="s">
        <v>1323</v>
      </c>
      <c r="F32" s="609" t="s">
        <v>769</v>
      </c>
      <c r="G32" s="727" t="s">
        <v>769</v>
      </c>
      <c r="H32" s="727" t="s">
        <v>769</v>
      </c>
      <c r="I32" s="609" t="s">
        <v>769</v>
      </c>
      <c r="J32" s="609" t="s">
        <v>769</v>
      </c>
      <c r="K32" s="204"/>
    </row>
    <row r="33" spans="1:21" ht="11.25" customHeight="1">
      <c r="A33" s="429"/>
      <c r="C33" s="429"/>
      <c r="D33" s="268"/>
      <c r="E33" s="503" t="s">
        <v>1044</v>
      </c>
      <c r="F33" s="495"/>
      <c r="G33" s="495"/>
      <c r="H33" s="495"/>
      <c r="I33" s="495"/>
      <c r="J33" s="495"/>
      <c r="K33" s="496"/>
      <c r="U33" s="429"/>
    </row>
    <row r="34" spans="1:21" ht="22.5" customHeight="1">
      <c r="A34" s="429"/>
      <c r="B34" s="504" t="s">
        <v>1324</v>
      </c>
      <c r="C34" s="450"/>
      <c r="D34" s="610">
        <v>2</v>
      </c>
      <c r="E34" s="611" t="s">
        <v>1325</v>
      </c>
      <c r="F34" s="734" t="s">
        <v>769</v>
      </c>
      <c r="G34" s="734" t="s">
        <v>769</v>
      </c>
      <c r="H34" s="734" t="s">
        <v>769</v>
      </c>
      <c r="I34" s="609"/>
      <c r="J34" s="609"/>
      <c r="K34" s="204"/>
    </row>
    <row r="35" spans="1:21" ht="11.25" customHeight="1">
      <c r="A35" s="429"/>
      <c r="C35" s="429"/>
      <c r="D35" s="268"/>
      <c r="E35" s="503" t="s">
        <v>1326</v>
      </c>
      <c r="F35" s="495"/>
      <c r="G35" s="612"/>
      <c r="H35" s="495"/>
      <c r="I35" s="612"/>
      <c r="J35" s="495"/>
      <c r="K35" s="496"/>
      <c r="U35" s="429"/>
    </row>
    <row r="36" spans="1:21" ht="67.5" customHeight="1">
      <c r="A36" s="429"/>
      <c r="B36" s="429" t="s">
        <v>1327</v>
      </c>
      <c r="C36" s="450"/>
      <c r="D36" s="610">
        <v>3</v>
      </c>
      <c r="E36" s="611" t="s">
        <v>1328</v>
      </c>
      <c r="F36" s="613" t="s">
        <v>769</v>
      </c>
      <c r="G36" s="728" t="s">
        <v>1329</v>
      </c>
      <c r="H36" s="727" t="s">
        <v>769</v>
      </c>
      <c r="I36" s="448" t="s">
        <v>1329</v>
      </c>
      <c r="J36" s="609" t="s">
        <v>769</v>
      </c>
      <c r="K36" s="204" t="s">
        <v>1330</v>
      </c>
    </row>
    <row r="37" spans="1:21" ht="11.25" customHeight="1">
      <c r="A37" s="429"/>
      <c r="C37" s="429"/>
      <c r="D37" s="268"/>
      <c r="E37" s="503" t="s">
        <v>1331</v>
      </c>
      <c r="F37" s="495"/>
      <c r="G37" s="612"/>
      <c r="H37" s="612"/>
      <c r="I37" s="612"/>
      <c r="J37" s="612"/>
      <c r="K37" s="496"/>
      <c r="U37" s="429"/>
    </row>
    <row r="38" spans="1:21" ht="67.5" customHeight="1">
      <c r="A38" s="429"/>
      <c r="B38" s="429" t="s">
        <v>1332</v>
      </c>
      <c r="C38" s="450"/>
      <c r="D38" s="610">
        <v>4</v>
      </c>
      <c r="E38" s="611" t="s">
        <v>1333</v>
      </c>
      <c r="F38" s="613" t="s">
        <v>769</v>
      </c>
      <c r="G38" s="728" t="s">
        <v>1329</v>
      </c>
      <c r="H38" s="729" t="s">
        <v>769</v>
      </c>
      <c r="I38" s="448" t="s">
        <v>1329</v>
      </c>
      <c r="J38" s="445" t="s">
        <v>769</v>
      </c>
      <c r="K38" s="597" t="s">
        <v>1334</v>
      </c>
    </row>
    <row r="39" spans="1:21" ht="11.25" customHeight="1">
      <c r="A39" s="429"/>
      <c r="C39" s="429"/>
      <c r="D39" s="268"/>
      <c r="E39" s="503" t="s">
        <v>1335</v>
      </c>
      <c r="F39" s="495"/>
      <c r="G39" s="495"/>
      <c r="H39" s="614"/>
      <c r="I39" s="495"/>
      <c r="J39" s="614"/>
      <c r="K39" s="496"/>
      <c r="U39" s="429"/>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71" hidden="1" customWidth="1"/>
    <col min="4" max="4" width="6.7109375" style="1287" hidden="1" customWidth="1"/>
    <col min="5" max="5" width="3.7109375" style="1555" customWidth="1"/>
    <col min="6" max="6" width="6.28515625" style="1555" customWidth="1"/>
    <col min="7" max="7" width="37.7109375" style="1555" customWidth="1"/>
    <col min="8" max="8" width="16.5703125" style="1555" customWidth="1"/>
    <col min="9" max="10" width="19.7109375" style="1555" customWidth="1"/>
    <col min="11" max="11" width="25" style="1555" customWidth="1"/>
    <col min="12" max="13" width="25.7109375" style="1555" customWidth="1"/>
    <col min="14" max="16" width="17.7109375" style="1555" customWidth="1"/>
    <col min="17" max="24" width="19.7109375" style="1555" customWidth="1"/>
    <col min="25" max="25" width="8" style="1555" customWidth="1"/>
    <col min="26" max="26" width="3.28515625" style="1555" customWidth="1"/>
    <col min="27" max="27" width="6.28515625" style="1555" customWidth="1"/>
    <col min="28" max="28" width="34.140625" style="1555" customWidth="1"/>
    <col min="29" max="30" width="9.140625" style="1555"/>
  </cols>
  <sheetData>
    <row r="1" spans="1:30" s="1287" customFormat="1" ht="10.5" hidden="1" customHeight="1">
      <c r="A1" s="809"/>
      <c r="B1" s="809"/>
      <c r="C1" s="809"/>
      <c r="E1" s="460"/>
      <c r="H1" s="1065"/>
    </row>
    <row r="2" spans="1:30" ht="10.5" hidden="1" customHeight="1"/>
    <row r="3" spans="1:30" s="1552" customFormat="1" ht="10.5" hidden="1" customHeight="1">
      <c r="A3" s="809"/>
      <c r="B3" s="809"/>
      <c r="C3" s="809"/>
      <c r="D3" s="346"/>
      <c r="E3" s="285"/>
      <c r="H3" s="1061"/>
    </row>
    <row r="4" spans="1:30" ht="3" customHeight="1"/>
    <row r="5" spans="1:30" ht="25.5" customHeight="1">
      <c r="F5" s="8867" t="str">
        <f>IP_NAME_FORM</f>
        <v>Форма 7. Информация об инвестиционных программах организации холодного водоснабжения и отчетах об их исполнении</v>
      </c>
      <c r="G5" s="8867"/>
      <c r="H5" s="8867"/>
      <c r="I5" s="8867"/>
      <c r="J5" s="8867"/>
      <c r="K5" s="8867"/>
      <c r="M5" s="505"/>
      <c r="AB5" s="820"/>
    </row>
    <row r="6" spans="1:30" s="1555" customFormat="1" ht="15.75" customHeight="1">
      <c r="A6" s="1071"/>
      <c r="B6" s="1071"/>
      <c r="C6" s="1071"/>
      <c r="D6" s="1065"/>
      <c r="F6" s="8814" t="str">
        <f>IF(org=0,"Не определено",org)</f>
        <v>ГУП СК "Ставрополькрайводоканал"</v>
      </c>
      <c r="G6" s="8814"/>
      <c r="H6" s="8814"/>
      <c r="I6" s="8814"/>
      <c r="J6" s="8814"/>
      <c r="K6" s="8814"/>
      <c r="M6" s="505"/>
      <c r="AB6" s="1053"/>
    </row>
    <row r="8" spans="1:30" ht="10.5" customHeight="1">
      <c r="A8" s="962"/>
      <c r="B8" s="962"/>
      <c r="C8" s="962"/>
      <c r="F8" s="8724" t="s">
        <v>763</v>
      </c>
      <c r="G8" s="8729"/>
      <c r="H8" s="8729"/>
      <c r="I8" s="8729"/>
      <c r="J8" s="8729"/>
      <c r="K8" s="8729"/>
      <c r="L8" s="8729"/>
      <c r="M8" s="8729"/>
      <c r="N8" s="8729"/>
      <c r="O8" s="8729"/>
      <c r="P8" s="8729"/>
      <c r="Q8" s="8729"/>
      <c r="R8" s="8729"/>
      <c r="S8" s="8729"/>
      <c r="T8" s="8729"/>
      <c r="U8" s="8729"/>
      <c r="V8" s="8729"/>
      <c r="W8" s="8729"/>
      <c r="X8" s="8729"/>
      <c r="Y8" s="8729"/>
      <c r="Z8" s="8729"/>
      <c r="AA8" s="8729"/>
      <c r="AB8" s="8723"/>
    </row>
    <row r="9" spans="1:30" ht="41.25" customHeight="1">
      <c r="A9" s="819"/>
      <c r="B9" s="819"/>
      <c r="C9" s="819"/>
      <c r="F9" s="8753" t="s">
        <v>84</v>
      </c>
      <c r="G9" s="8753" t="s">
        <v>1336</v>
      </c>
      <c r="H9" s="8813" t="s">
        <v>1337</v>
      </c>
      <c r="I9" s="8753" t="s">
        <v>1338</v>
      </c>
      <c r="J9" s="8753" t="s">
        <v>1339</v>
      </c>
      <c r="K9" s="8753" t="s">
        <v>1340</v>
      </c>
      <c r="L9" s="8753" t="s">
        <v>1341</v>
      </c>
      <c r="M9" s="8753" t="s">
        <v>1342</v>
      </c>
      <c r="N9" s="8843" t="s">
        <v>1343</v>
      </c>
      <c r="O9" s="8843"/>
      <c r="P9" s="8843"/>
      <c r="Q9" s="8892" t="s">
        <v>1344</v>
      </c>
      <c r="R9" s="8893"/>
      <c r="S9" s="8893"/>
      <c r="T9" s="8894"/>
      <c r="U9" s="8892" t="s">
        <v>1345</v>
      </c>
      <c r="V9" s="8893"/>
      <c r="W9" s="8893"/>
      <c r="X9" s="8894"/>
      <c r="Y9" s="8724" t="s">
        <v>1346</v>
      </c>
      <c r="Z9" s="8729"/>
      <c r="AA9" s="8729"/>
      <c r="AB9" s="8723"/>
    </row>
    <row r="10" spans="1:30" ht="41.25" customHeight="1">
      <c r="A10" s="819"/>
      <c r="B10" s="819"/>
      <c r="C10" s="819"/>
      <c r="F10" s="8813"/>
      <c r="G10" s="8813"/>
      <c r="H10" s="8862"/>
      <c r="I10" s="8813"/>
      <c r="J10" s="8813"/>
      <c r="K10" s="8813"/>
      <c r="L10" s="8813"/>
      <c r="M10" s="8813"/>
      <c r="N10" s="817" t="s">
        <v>1347</v>
      </c>
      <c r="O10" s="817" t="s">
        <v>1348</v>
      </c>
      <c r="P10" s="818" t="s">
        <v>1349</v>
      </c>
      <c r="Q10" s="829" t="s">
        <v>85</v>
      </c>
      <c r="R10" s="829" t="s">
        <v>1350</v>
      </c>
      <c r="S10" s="829" t="s">
        <v>1351</v>
      </c>
      <c r="T10" s="830" t="s">
        <v>1352</v>
      </c>
      <c r="U10" s="829" t="s">
        <v>85</v>
      </c>
      <c r="V10" s="829" t="s">
        <v>1353</v>
      </c>
      <c r="W10" s="829" t="s">
        <v>1351</v>
      </c>
      <c r="X10" s="830" t="s">
        <v>1352</v>
      </c>
      <c r="Y10" s="215" t="s">
        <v>1354</v>
      </c>
      <c r="Z10" s="8724" t="s">
        <v>84</v>
      </c>
      <c r="AA10" s="8723"/>
      <c r="AB10" s="960" t="s">
        <v>1355</v>
      </c>
    </row>
    <row r="11" spans="1:30" s="1562" customFormat="1" ht="5.25" hidden="1" customHeight="1">
      <c r="A11" s="963"/>
      <c r="B11" s="963"/>
      <c r="C11" s="963"/>
      <c r="E11" s="961"/>
      <c r="F11" s="8804" t="s">
        <v>841</v>
      </c>
      <c r="G11" s="8984"/>
      <c r="H11" s="8983"/>
      <c r="I11" s="8983"/>
      <c r="J11" s="8983"/>
      <c r="K11" s="8985"/>
      <c r="L11" s="8985"/>
      <c r="M11" s="8985"/>
      <c r="N11" s="8983"/>
      <c r="O11" s="8983"/>
      <c r="P11" s="8753"/>
      <c r="Q11" s="8817"/>
      <c r="R11" s="8817"/>
      <c r="S11" s="8817"/>
      <c r="T11" s="8983"/>
      <c r="U11" s="8817"/>
      <c r="V11" s="8817"/>
      <c r="W11" s="8817"/>
      <c r="X11" s="8983"/>
      <c r="Y11" s="8735"/>
      <c r="Z11" s="8735"/>
      <c r="AA11" s="8735"/>
      <c r="AB11" s="8735"/>
      <c r="AD11" s="435" t="s">
        <v>1356</v>
      </c>
    </row>
    <row r="12" spans="1:30" s="1562" customFormat="1" ht="5.25" hidden="1" customHeight="1">
      <c r="A12" s="810"/>
      <c r="B12" s="810"/>
      <c r="C12" s="810"/>
      <c r="E12" s="442"/>
      <c r="F12" s="8804"/>
      <c r="G12" s="8984"/>
      <c r="H12" s="8983"/>
      <c r="I12" s="8983"/>
      <c r="J12" s="8983"/>
      <c r="K12" s="8985"/>
      <c r="L12" s="8985"/>
      <c r="M12" s="8985"/>
      <c r="N12" s="8983"/>
      <c r="O12" s="8983"/>
      <c r="P12" s="8753"/>
      <c r="Q12" s="8817"/>
      <c r="R12" s="8817"/>
      <c r="S12" s="8817"/>
      <c r="T12" s="8983"/>
      <c r="U12" s="8817"/>
      <c r="V12" s="8817"/>
      <c r="W12" s="8817"/>
      <c r="X12" s="8983"/>
      <c r="Y12" s="8986"/>
      <c r="Z12" s="8986"/>
      <c r="AA12" s="8986"/>
      <c r="AB12" s="8986"/>
    </row>
    <row r="13" spans="1:30" ht="10.5" customHeight="1">
      <c r="F13" s="816"/>
      <c r="G13" s="568" t="s">
        <v>1357</v>
      </c>
      <c r="H13" s="1073"/>
      <c r="I13" s="495"/>
      <c r="J13" s="495"/>
      <c r="K13" s="495"/>
      <c r="L13" s="495"/>
      <c r="M13" s="495"/>
      <c r="N13" s="495"/>
      <c r="O13" s="495"/>
      <c r="P13" s="495"/>
      <c r="Q13" s="495"/>
      <c r="R13" s="495"/>
      <c r="S13" s="495"/>
      <c r="T13" s="495"/>
      <c r="U13" s="495"/>
      <c r="V13" s="495"/>
      <c r="W13" s="495"/>
      <c r="X13" s="495"/>
      <c r="Y13" s="495"/>
      <c r="Z13" s="614"/>
      <c r="AA13" s="614"/>
      <c r="AB13" s="831"/>
    </row>
    <row r="15" spans="1:30" s="1562" customFormat="1" ht="10.5" customHeight="1">
      <c r="A15" s="1072"/>
      <c r="B15" s="1072"/>
      <c r="C15" s="1072"/>
      <c r="E15" s="442"/>
      <c r="H15" s="435">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14.42578125" style="1555" customWidth="1"/>
    <col min="7" max="7" width="3.7109375" style="1555" customWidth="1"/>
    <col min="8" max="8" width="7.7109375" style="1555" customWidth="1"/>
    <col min="9" max="10" width="16.7109375" style="1555" customWidth="1"/>
    <col min="11" max="11" width="25.7109375" style="1555" customWidth="1"/>
    <col min="12" max="12" width="8" style="1555" customWidth="1"/>
    <col min="13" max="13" width="15.5703125" style="1555" customWidth="1"/>
    <col min="14" max="14" width="3.28515625" style="1555" customWidth="1"/>
    <col min="15" max="15" width="4.7109375" style="1555" customWidth="1"/>
    <col min="16" max="16" width="9" style="1555" customWidth="1"/>
    <col min="17" max="17" width="21.7109375" style="1555" customWidth="1"/>
    <col min="18" max="18" width="14.7109375" style="1555" customWidth="1"/>
    <col min="19" max="20" width="17.7109375" style="1555" customWidth="1"/>
    <col min="21" max="21" width="9.7109375" style="1555" customWidth="1"/>
    <col min="22" max="22" width="12.7109375" style="1555" customWidth="1"/>
    <col min="23" max="23" width="9.7109375" style="1555" customWidth="1"/>
    <col min="24" max="24" width="21.7109375" style="1555" customWidth="1"/>
    <col min="25" max="25" width="12.7109375" style="1555" customWidth="1"/>
    <col min="26" max="26" width="3.28515625" style="1555" customWidth="1"/>
    <col min="27" max="27" width="7.140625" style="1555" customWidth="1"/>
    <col min="28" max="28" width="38.42578125" style="1555" customWidth="1"/>
    <col min="29" max="29" width="15.7109375" style="1555" customWidth="1"/>
    <col min="30" max="30" width="37.5703125" style="1555" customWidth="1"/>
    <col min="31" max="31" width="15.7109375" style="1555" customWidth="1"/>
    <col min="32" max="37" width="16.7109375" style="1555" customWidth="1"/>
    <col min="38" max="58" width="9.140625" style="1555"/>
  </cols>
  <sheetData>
    <row r="1" spans="1:58" s="1287" customFormat="1" ht="10.5" hidden="1" customHeight="1">
      <c r="A1" s="809"/>
      <c r="B1" s="809"/>
      <c r="C1" s="809"/>
      <c r="E1" s="460"/>
      <c r="H1" s="1065"/>
      <c r="L1" s="1035"/>
      <c r="M1" s="1035"/>
      <c r="AD1" s="1035"/>
      <c r="AH1" s="1052"/>
      <c r="AI1" s="1046"/>
    </row>
    <row r="2" spans="1:58" ht="10.5" hidden="1" customHeight="1"/>
    <row r="3" spans="1:58" s="1552" customFormat="1" ht="10.5" hidden="1" customHeight="1">
      <c r="A3" s="809"/>
      <c r="B3" s="809"/>
      <c r="C3" s="809"/>
      <c r="D3" s="346"/>
      <c r="E3" s="285"/>
      <c r="H3" s="1061"/>
      <c r="L3" s="1033"/>
      <c r="M3" s="1033"/>
      <c r="AD3" s="1033"/>
      <c r="AH3" s="1050"/>
      <c r="AI3" s="1044"/>
    </row>
    <row r="4" spans="1:58" ht="3" customHeight="1"/>
    <row r="5" spans="1:58" ht="25.5" customHeight="1">
      <c r="F5" s="8867" t="str">
        <f>IP_NAME_FORM</f>
        <v>Форма 7. Информация об инвестиционных программах организации холодного водоснабжения и отчетах об их исполнении</v>
      </c>
      <c r="G5" s="8867"/>
      <c r="H5" s="8867"/>
      <c r="I5" s="8867"/>
      <c r="J5" s="8867"/>
      <c r="K5" s="8867"/>
      <c r="L5" s="1042"/>
      <c r="M5" s="1042"/>
      <c r="AG5" s="820"/>
      <c r="AH5" s="1053"/>
    </row>
    <row r="6" spans="1:58" ht="10.5" customHeight="1">
      <c r="F6" s="8814" t="str">
        <f>IF(org=0,"Не определено",org)</f>
        <v>ГУП СК "Ставрополькрайводоканал"</v>
      </c>
      <c r="G6" s="8814"/>
      <c r="H6" s="8814"/>
      <c r="I6" s="8814"/>
      <c r="J6" s="8814"/>
      <c r="K6" s="8814"/>
      <c r="L6" s="1043"/>
      <c r="M6" s="1043"/>
    </row>
    <row r="7" spans="1:58" ht="11.25" customHeight="1">
      <c r="E7" s="822"/>
      <c r="F7" s="833"/>
      <c r="G7" s="833"/>
      <c r="H7" s="1091"/>
      <c r="I7" s="833"/>
      <c r="J7" s="833"/>
      <c r="K7" s="835"/>
      <c r="L7" s="1040"/>
      <c r="M7" s="1040"/>
      <c r="N7" s="833"/>
      <c r="O7" s="833"/>
      <c r="P7" s="833"/>
      <c r="Q7" s="835"/>
      <c r="R7" s="833"/>
      <c r="S7" s="833"/>
      <c r="T7" s="833"/>
      <c r="U7" s="833"/>
      <c r="V7" s="833"/>
      <c r="W7" s="833"/>
      <c r="X7" s="833"/>
      <c r="Y7" s="833"/>
      <c r="Z7" s="833"/>
      <c r="AA7" s="833"/>
      <c r="AB7" s="833"/>
      <c r="AC7" s="834"/>
      <c r="AD7" s="1039"/>
      <c r="AE7" s="834"/>
      <c r="AF7" s="833"/>
      <c r="AG7" s="833"/>
      <c r="AH7" s="1055"/>
      <c r="AI7" s="1049"/>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8990" t="s">
        <v>763</v>
      </c>
      <c r="G8" s="8991"/>
      <c r="H8" s="8991"/>
      <c r="I8" s="8991"/>
      <c r="J8" s="8991"/>
      <c r="K8" s="8991"/>
      <c r="L8" s="8991"/>
      <c r="M8" s="8991"/>
      <c r="N8" s="8991"/>
      <c r="O8" s="8991"/>
      <c r="P8" s="8991"/>
      <c r="Q8" s="8991"/>
      <c r="R8" s="8991"/>
      <c r="S8" s="8991"/>
      <c r="T8" s="8991"/>
      <c r="U8" s="8991"/>
      <c r="V8" s="8991"/>
      <c r="W8" s="8991"/>
      <c r="X8" s="8991"/>
      <c r="Y8" s="8991"/>
      <c r="Z8" s="8991"/>
      <c r="AA8" s="8991"/>
      <c r="AB8" s="8991"/>
      <c r="AC8" s="8991"/>
      <c r="AD8" s="8991"/>
      <c r="AE8" s="8991"/>
      <c r="AF8" s="8991"/>
      <c r="AG8" s="8991"/>
      <c r="AH8" s="8991"/>
      <c r="AI8" s="8991"/>
      <c r="AJ8" s="8991"/>
      <c r="AK8" s="8992"/>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8843" t="s">
        <v>1358</v>
      </c>
      <c r="G9" s="8929" t="s">
        <v>1359</v>
      </c>
      <c r="H9" s="8988"/>
      <c r="I9" s="8753" t="s">
        <v>1360</v>
      </c>
      <c r="J9" s="8753"/>
      <c r="K9" s="8753" t="s">
        <v>1361</v>
      </c>
      <c r="L9" s="8753"/>
      <c r="M9" s="8753"/>
      <c r="N9" s="8753"/>
      <c r="O9" s="8753"/>
      <c r="P9" s="8753"/>
      <c r="Q9" s="8753"/>
      <c r="R9" s="8753"/>
      <c r="S9" s="8753"/>
      <c r="T9" s="8753"/>
      <c r="U9" s="8753"/>
      <c r="V9" s="8753"/>
      <c r="W9" s="8753"/>
      <c r="X9" s="8753"/>
      <c r="Y9" s="8753"/>
      <c r="Z9" s="8828" t="s">
        <v>1362</v>
      </c>
      <c r="AA9" s="8829"/>
      <c r="AB9" s="8753" t="s">
        <v>1363</v>
      </c>
      <c r="AC9" s="8753"/>
      <c r="AD9" s="8753"/>
      <c r="AE9" s="8753"/>
      <c r="AF9" s="8813" t="s">
        <v>1364</v>
      </c>
      <c r="AG9" s="8753" t="s">
        <v>1365</v>
      </c>
      <c r="AH9" s="8753"/>
      <c r="AI9" s="8813" t="s">
        <v>1366</v>
      </c>
      <c r="AJ9" s="8753" t="s">
        <v>1367</v>
      </c>
      <c r="AK9" s="8753"/>
      <c r="AL9" s="1048"/>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8843"/>
      <c r="G10" s="8930"/>
      <c r="H10" s="8844"/>
      <c r="I10" s="8753"/>
      <c r="J10" s="8753"/>
      <c r="K10" s="8753" t="s">
        <v>1368</v>
      </c>
      <c r="L10" s="8724" t="s">
        <v>1369</v>
      </c>
      <c r="M10" s="8723"/>
      <c r="N10" s="8753" t="s">
        <v>1370</v>
      </c>
      <c r="O10" s="8753"/>
      <c r="P10" s="8753"/>
      <c r="Q10" s="8753"/>
      <c r="R10" s="8753"/>
      <c r="S10" s="8753"/>
      <c r="T10" s="8753"/>
      <c r="U10" s="8753"/>
      <c r="V10" s="8753"/>
      <c r="W10" s="8753"/>
      <c r="X10" s="8753"/>
      <c r="Y10" s="8753"/>
      <c r="Z10" s="8830"/>
      <c r="AA10" s="8831"/>
      <c r="AB10" s="8753"/>
      <c r="AC10" s="8753"/>
      <c r="AD10" s="8753"/>
      <c r="AE10" s="8753"/>
      <c r="AF10" s="8832"/>
      <c r="AG10" s="8753"/>
      <c r="AH10" s="8753"/>
      <c r="AI10" s="8832"/>
      <c r="AJ10" s="8753"/>
      <c r="AK10" s="8753"/>
      <c r="AL10" s="1048"/>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1555" customFormat="1" ht="23.25" customHeight="1">
      <c r="A11" s="1036"/>
      <c r="B11" s="1036"/>
      <c r="C11" s="1036"/>
      <c r="D11" s="1035"/>
      <c r="E11" s="1037"/>
      <c r="F11" s="8843"/>
      <c r="G11" s="8930"/>
      <c r="H11" s="8844"/>
      <c r="I11" s="8753"/>
      <c r="J11" s="8753"/>
      <c r="K11" s="8753"/>
      <c r="L11" s="8813" t="s">
        <v>1371</v>
      </c>
      <c r="M11" s="8813" t="s">
        <v>1372</v>
      </c>
      <c r="N11" s="8753" t="s">
        <v>1373</v>
      </c>
      <c r="O11" s="8753"/>
      <c r="P11" s="8786" t="s">
        <v>1354</v>
      </c>
      <c r="Q11" s="8786" t="s">
        <v>1374</v>
      </c>
      <c r="R11" s="8786" t="s">
        <v>1375</v>
      </c>
      <c r="S11" s="8786" t="s">
        <v>1376</v>
      </c>
      <c r="T11" s="8786"/>
      <c r="U11" s="8786"/>
      <c r="V11" s="8786"/>
      <c r="W11" s="8786"/>
      <c r="X11" s="8786"/>
      <c r="Y11" s="8786"/>
      <c r="Z11" s="8830"/>
      <c r="AA11" s="8831"/>
      <c r="AB11" s="8753" t="s">
        <v>1377</v>
      </c>
      <c r="AC11" s="8753"/>
      <c r="AD11" s="8724" t="s">
        <v>1378</v>
      </c>
      <c r="AE11" s="8723"/>
      <c r="AF11" s="8832"/>
      <c r="AG11" s="8753"/>
      <c r="AH11" s="8753"/>
      <c r="AI11" s="8832"/>
      <c r="AJ11" s="8753"/>
      <c r="AK11" s="8753"/>
      <c r="AL11" s="1048"/>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row>
    <row r="12" spans="1:58" ht="33.75" customHeight="1">
      <c r="A12" s="819"/>
      <c r="B12" s="819"/>
      <c r="C12" s="819"/>
      <c r="E12" s="822"/>
      <c r="F12" s="8843"/>
      <c r="G12" s="8931"/>
      <c r="H12" s="8989"/>
      <c r="I12" s="1058" t="s">
        <v>85</v>
      </c>
      <c r="J12" s="1058" t="s">
        <v>1379</v>
      </c>
      <c r="K12" s="8753"/>
      <c r="L12" s="8862"/>
      <c r="M12" s="8862"/>
      <c r="N12" s="8753"/>
      <c r="O12" s="8753"/>
      <c r="P12" s="8786"/>
      <c r="Q12" s="8786"/>
      <c r="R12" s="8786"/>
      <c r="S12" s="1041" t="s">
        <v>82</v>
      </c>
      <c r="T12" s="1041" t="s">
        <v>83</v>
      </c>
      <c r="U12" s="1041" t="s">
        <v>81</v>
      </c>
      <c r="V12" s="1041" t="s">
        <v>1380</v>
      </c>
      <c r="W12" s="1041" t="s">
        <v>81</v>
      </c>
      <c r="X12" s="1041" t="s">
        <v>1381</v>
      </c>
      <c r="Y12" s="1041" t="s">
        <v>1382</v>
      </c>
      <c r="Z12" s="8833"/>
      <c r="AA12" s="8834"/>
      <c r="AB12" s="1047" t="s">
        <v>1383</v>
      </c>
      <c r="AC12" s="1047" t="s">
        <v>1384</v>
      </c>
      <c r="AD12" s="1047" t="s">
        <v>1383</v>
      </c>
      <c r="AE12" s="1047" t="s">
        <v>1384</v>
      </c>
      <c r="AF12" s="8862"/>
      <c r="AG12" s="1059" t="s">
        <v>1385</v>
      </c>
      <c r="AH12" s="1059" t="s">
        <v>1386</v>
      </c>
      <c r="AI12" s="8862"/>
      <c r="AJ12" s="1059" t="s">
        <v>1385</v>
      </c>
      <c r="AK12" s="1059" t="s">
        <v>1386</v>
      </c>
      <c r="AL12" s="1048"/>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32">
        <v>0</v>
      </c>
      <c r="G13" s="1032"/>
      <c r="H13" s="1032"/>
      <c r="I13" s="1032"/>
      <c r="J13" s="1032"/>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54"/>
      <c r="AI13" s="1048"/>
      <c r="AJ13" s="1038"/>
      <c r="AK13" s="1038"/>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8"/>
      <c r="I14" s="832"/>
      <c r="J14" s="832"/>
      <c r="K14" s="832"/>
      <c r="L14" s="1038"/>
      <c r="M14" s="1038"/>
      <c r="N14" s="832"/>
      <c r="O14" s="832"/>
      <c r="P14" s="832"/>
      <c r="Q14" s="832"/>
      <c r="R14" s="832"/>
      <c r="S14" s="832"/>
      <c r="T14" s="832"/>
      <c r="U14" s="832"/>
      <c r="V14" s="832"/>
      <c r="W14" s="832"/>
      <c r="X14" s="832"/>
      <c r="Y14" s="832"/>
      <c r="Z14" s="832"/>
      <c r="AA14" s="832"/>
      <c r="AB14" s="832"/>
      <c r="AC14" s="832"/>
      <c r="AD14" s="1038"/>
      <c r="AE14" s="832"/>
      <c r="AF14" s="832"/>
      <c r="AG14" s="832"/>
      <c r="AH14" s="1054"/>
      <c r="AI14" s="1048"/>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1387</v>
      </c>
      <c r="G15" s="828"/>
      <c r="H15" s="1077"/>
      <c r="I15" s="828"/>
      <c r="J15" s="828"/>
      <c r="K15" s="825"/>
      <c r="L15" s="1034"/>
      <c r="M15" s="1034"/>
      <c r="N15" s="827"/>
      <c r="O15" s="827"/>
      <c r="P15" s="827"/>
      <c r="Q15" s="827"/>
      <c r="R15" s="827"/>
      <c r="S15" s="827"/>
      <c r="T15" s="827"/>
      <c r="U15" s="827"/>
      <c r="V15" s="827"/>
      <c r="W15" s="827"/>
      <c r="X15" s="827"/>
      <c r="Y15" s="827"/>
      <c r="Z15" s="825"/>
      <c r="AA15" s="825"/>
      <c r="AB15" s="825"/>
      <c r="AC15" s="825"/>
      <c r="AD15" s="1034"/>
      <c r="AE15" s="825"/>
      <c r="AF15" s="825"/>
      <c r="AG15" s="825"/>
      <c r="AH15" s="1051"/>
      <c r="AI15" s="1045"/>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8987"/>
      <c r="G17" s="8987"/>
      <c r="H17" s="8987"/>
      <c r="I17" s="8987"/>
      <c r="J17" s="8987"/>
      <c r="K17" s="825"/>
      <c r="L17" s="1034"/>
      <c r="M17" s="1034"/>
      <c r="N17" s="827"/>
      <c r="O17" s="827"/>
      <c r="P17" s="827"/>
      <c r="Q17" s="827"/>
      <c r="R17" s="827"/>
      <c r="S17" s="827"/>
      <c r="T17" s="827"/>
      <c r="U17" s="827"/>
      <c r="V17" s="827"/>
      <c r="W17" s="827"/>
      <c r="X17" s="827"/>
      <c r="Y17" s="827"/>
      <c r="Z17" s="825"/>
      <c r="AA17" s="825"/>
      <c r="AB17" s="825"/>
      <c r="AC17" s="825"/>
      <c r="AD17" s="1034"/>
      <c r="AE17" s="825"/>
      <c r="AF17" s="825"/>
      <c r="AG17" s="825"/>
      <c r="AH17" s="1051"/>
      <c r="AI17" s="1045"/>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8987"/>
      <c r="G18" s="8987"/>
      <c r="H18" s="8987"/>
      <c r="I18" s="8987"/>
      <c r="J18" s="8987"/>
      <c r="K18" s="825"/>
      <c r="L18" s="1034"/>
      <c r="M18" s="1034"/>
      <c r="N18" s="827"/>
      <c r="O18" s="827"/>
      <c r="P18" s="827"/>
      <c r="Q18" s="827"/>
      <c r="R18" s="827"/>
      <c r="S18" s="827"/>
      <c r="T18" s="827"/>
      <c r="U18" s="827"/>
      <c r="V18" s="827"/>
      <c r="W18" s="827"/>
      <c r="X18" s="827"/>
      <c r="Y18" s="827"/>
      <c r="Z18" s="825"/>
      <c r="AA18" s="825"/>
      <c r="AB18" s="825"/>
      <c r="AC18" s="825"/>
      <c r="AD18" s="1034"/>
      <c r="AE18" s="825"/>
      <c r="AF18" s="825"/>
      <c r="AG18" s="825"/>
      <c r="AH18" s="1051"/>
      <c r="AI18" s="1045"/>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8987"/>
      <c r="G19" s="8987"/>
      <c r="H19" s="8987"/>
      <c r="I19" s="8987"/>
      <c r="J19" s="8987"/>
      <c r="K19" s="825"/>
      <c r="L19" s="1034"/>
      <c r="M19" s="1034"/>
      <c r="N19" s="827"/>
      <c r="O19" s="827"/>
      <c r="P19" s="827"/>
      <c r="Q19" s="827"/>
      <c r="R19" s="827"/>
      <c r="S19" s="827"/>
      <c r="T19" s="827"/>
      <c r="U19" s="827"/>
      <c r="V19" s="827"/>
      <c r="W19" s="827"/>
      <c r="X19" s="827"/>
      <c r="Y19" s="827"/>
      <c r="Z19" s="825"/>
      <c r="AA19" s="825"/>
      <c r="AB19" s="825"/>
      <c r="AC19" s="825"/>
      <c r="AD19" s="1034"/>
      <c r="AE19" s="825"/>
      <c r="AF19" s="825"/>
      <c r="AG19" s="825"/>
      <c r="AH19" s="1051"/>
      <c r="AI19" s="1045"/>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6.28515625" style="1555" customWidth="1"/>
    <col min="7" max="7" width="60.140625" style="1555" customWidth="1"/>
    <col min="8" max="9" width="21.7109375" style="1555" hidden="1" customWidth="1"/>
    <col min="10" max="10" width="0.140625" style="1555" customWidth="1"/>
    <col min="11" max="11" width="1.7109375" style="1555" customWidth="1"/>
    <col min="12" max="22" width="9.140625" style="1555"/>
  </cols>
  <sheetData>
    <row r="1" spans="1:22" s="1287" customFormat="1" ht="10.5" hidden="1" customHeight="1">
      <c r="A1" s="1071"/>
      <c r="B1" s="1071"/>
      <c r="C1" s="1071"/>
      <c r="E1" s="460"/>
    </row>
    <row r="2" spans="1:22" ht="10.5" hidden="1" customHeight="1"/>
    <row r="3" spans="1:22" s="1552" customFormat="1" ht="10.5" hidden="1" customHeight="1">
      <c r="A3" s="1071"/>
      <c r="B3" s="1071"/>
      <c r="C3" s="1071"/>
      <c r="D3" s="1065"/>
      <c r="E3" s="285"/>
    </row>
    <row r="4" spans="1:22" ht="3" customHeight="1"/>
    <row r="5" spans="1:22" ht="25.5" customHeight="1">
      <c r="F5" s="886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8867"/>
      <c r="H5" s="8867"/>
      <c r="I5" s="8867"/>
      <c r="J5" s="8867"/>
    </row>
    <row r="6" spans="1:22" ht="10.5" customHeight="1">
      <c r="F6" s="8814" t="str">
        <f>IF(org=0,"Не определено",org)</f>
        <v>ГУП СК "Ставрополькрайводоканал"</v>
      </c>
      <c r="G6" s="8814"/>
      <c r="H6" s="8814"/>
      <c r="I6" s="8814"/>
      <c r="J6" s="8814"/>
    </row>
    <row r="7" spans="1:22" ht="11.25" customHeight="1">
      <c r="E7" s="1075"/>
      <c r="F7" s="1141"/>
      <c r="G7" s="1141"/>
      <c r="H7" s="1141"/>
      <c r="I7" s="1141"/>
      <c r="J7" s="1141"/>
      <c r="K7" s="1062"/>
      <c r="L7" s="1062"/>
      <c r="M7" s="1062"/>
      <c r="N7" s="1062"/>
      <c r="O7" s="1062"/>
      <c r="P7" s="1062"/>
      <c r="Q7" s="1062"/>
      <c r="R7" s="1062"/>
      <c r="S7" s="1062"/>
      <c r="T7" s="1062"/>
      <c r="U7" s="1062"/>
      <c r="V7" s="1062"/>
    </row>
    <row r="8" spans="1:22" s="1562" customFormat="1" ht="5.25" customHeight="1">
      <c r="A8" s="1072"/>
      <c r="B8" s="1072"/>
      <c r="C8" s="1072"/>
      <c r="E8" s="1142"/>
      <c r="F8" s="1143"/>
      <c r="G8" s="1143"/>
      <c r="H8" s="1143"/>
      <c r="I8" s="1143"/>
      <c r="J8" s="1143"/>
      <c r="K8" s="1142"/>
      <c r="L8" s="1142"/>
      <c r="M8" s="1142"/>
      <c r="N8" s="1142"/>
      <c r="O8" s="1142"/>
      <c r="P8" s="1142"/>
      <c r="Q8" s="1142"/>
      <c r="R8" s="1142"/>
      <c r="S8" s="1142"/>
      <c r="T8" s="1142"/>
      <c r="U8" s="1142"/>
      <c r="V8" s="1142"/>
    </row>
    <row r="9" spans="1:22" ht="10.5" customHeight="1">
      <c r="E9" s="1075"/>
      <c r="F9" s="8993" t="s">
        <v>763</v>
      </c>
      <c r="G9" s="8994"/>
      <c r="H9" s="8994"/>
      <c r="I9" s="8994"/>
      <c r="J9" s="8994"/>
      <c r="K9" s="1154"/>
      <c r="L9" s="1062"/>
      <c r="M9" s="1062"/>
      <c r="N9" s="1062"/>
      <c r="O9" s="1062"/>
      <c r="P9" s="1062"/>
      <c r="Q9" s="1062"/>
      <c r="R9" s="1062"/>
      <c r="S9" s="1062"/>
      <c r="T9" s="1062"/>
      <c r="U9" s="1062"/>
      <c r="V9" s="1062"/>
    </row>
    <row r="10" spans="1:22" ht="24" customHeight="1">
      <c r="E10" s="1062"/>
      <c r="F10" s="8997" t="s">
        <v>84</v>
      </c>
      <c r="G10" s="9001" t="s">
        <v>1388</v>
      </c>
      <c r="H10" s="8983" t="s">
        <v>1389</v>
      </c>
      <c r="I10" s="8983"/>
      <c r="J10" s="8983"/>
      <c r="K10" s="1147"/>
      <c r="L10" s="1062"/>
      <c r="M10" s="1062"/>
      <c r="N10" s="1062"/>
      <c r="O10" s="1062"/>
      <c r="P10" s="1062"/>
      <c r="Q10" s="1062"/>
      <c r="R10" s="1062"/>
      <c r="S10" s="1062"/>
      <c r="T10" s="1062"/>
      <c r="U10" s="1062"/>
      <c r="V10" s="1062"/>
    </row>
    <row r="11" spans="1:22" ht="24" customHeight="1">
      <c r="E11" s="1062"/>
      <c r="F11" s="8998"/>
      <c r="G11" s="9001"/>
      <c r="H11" s="9000" t="e">
        <f>INDEX(IP_MAIN_LIST_NAME_IP,MATCH(H8,IP_MAIN_LIST_IP_ID,0))&amp;" ("&amp;INDEX(IP_MAIN_START_DATE,MATCH(H8,IP_MAIN_LIST_IP_ID,0))&amp;"-"&amp;INDEX(IP_MAIN_END_DATE,MATCH(H8,IP_MAIN_LIST_IP_ID,0))&amp;")"</f>
        <v>#N/A</v>
      </c>
      <c r="I11" s="9000"/>
      <c r="J11" s="9000"/>
      <c r="K11" s="1147"/>
      <c r="L11" s="1062"/>
      <c r="M11" s="1062"/>
      <c r="N11" s="1062"/>
      <c r="O11" s="1062"/>
      <c r="P11" s="1062"/>
      <c r="Q11" s="1062"/>
      <c r="R11" s="1062"/>
      <c r="S11" s="1062"/>
      <c r="T11" s="1062"/>
      <c r="U11" s="1062"/>
      <c r="V11" s="1062"/>
    </row>
    <row r="12" spans="1:22" ht="10.5" customHeight="1">
      <c r="F12" s="8999"/>
      <c r="G12" s="9001"/>
      <c r="H12" s="1140" t="s">
        <v>1390</v>
      </c>
      <c r="I12" s="1146"/>
      <c r="J12" s="1140"/>
      <c r="K12" s="1148"/>
    </row>
    <row r="13" spans="1:22" ht="10.5" hidden="1" customHeight="1">
      <c r="F13" s="1140">
        <v>1</v>
      </c>
      <c r="G13" s="1140">
        <v>2</v>
      </c>
      <c r="H13" s="1140">
        <v>3</v>
      </c>
      <c r="I13" s="1140">
        <v>4</v>
      </c>
      <c r="J13" s="1140">
        <v>5</v>
      </c>
      <c r="K13" s="1148"/>
    </row>
    <row r="14" spans="1:22" ht="11.25" customHeight="1">
      <c r="F14" s="1139" t="s">
        <v>1391</v>
      </c>
      <c r="G14" s="8995" t="s">
        <v>1392</v>
      </c>
      <c r="H14" s="8995"/>
      <c r="I14" s="8995"/>
      <c r="J14" s="8995"/>
      <c r="K14" s="1148"/>
    </row>
    <row r="15" spans="1:22" ht="11.25" customHeight="1">
      <c r="F15" s="1144">
        <v>1</v>
      </c>
      <c r="G15" s="608" t="s">
        <v>1393</v>
      </c>
      <c r="H15" s="1150">
        <f t="shared" ref="H15:H36" si="0">SUM(I15:J15)</f>
        <v>0</v>
      </c>
      <c r="I15" s="1150">
        <f>SUM(I16:I27)</f>
        <v>0</v>
      </c>
      <c r="J15" s="1139"/>
      <c r="K15" s="1148"/>
    </row>
    <row r="16" spans="1:22" ht="22.5" customHeight="1">
      <c r="F16" s="1144" t="s">
        <v>1394</v>
      </c>
      <c r="G16" s="1151" t="s">
        <v>1395</v>
      </c>
      <c r="H16" s="1150">
        <f t="shared" si="0"/>
        <v>0</v>
      </c>
      <c r="I16" s="1149"/>
      <c r="J16" s="1139"/>
      <c r="K16" s="1148"/>
    </row>
    <row r="17" spans="6:11" ht="22.5" customHeight="1">
      <c r="F17" s="1144" t="s">
        <v>1396</v>
      </c>
      <c r="G17" s="1151" t="s">
        <v>1397</v>
      </c>
      <c r="H17" s="1150">
        <f t="shared" si="0"/>
        <v>0</v>
      </c>
      <c r="I17" s="1149"/>
      <c r="J17" s="1139"/>
      <c r="K17" s="1148"/>
    </row>
    <row r="18" spans="6:11" ht="33.75" customHeight="1">
      <c r="F18" s="1144" t="s">
        <v>1398</v>
      </c>
      <c r="G18" s="1151" t="s">
        <v>1399</v>
      </c>
      <c r="H18" s="1150">
        <f t="shared" si="0"/>
        <v>0</v>
      </c>
      <c r="I18" s="1149"/>
      <c r="J18" s="1139"/>
      <c r="K18" s="1148"/>
    </row>
    <row r="19" spans="6:11" ht="33.75" customHeight="1">
      <c r="F19" s="1144" t="s">
        <v>1400</v>
      </c>
      <c r="G19" s="1151" t="s">
        <v>1401</v>
      </c>
      <c r="H19" s="1150">
        <f t="shared" si="0"/>
        <v>0</v>
      </c>
      <c r="I19" s="1149"/>
      <c r="J19" s="1139"/>
      <c r="K19" s="1148"/>
    </row>
    <row r="20" spans="6:11" ht="45" customHeight="1">
      <c r="F20" s="1144" t="s">
        <v>1402</v>
      </c>
      <c r="G20" s="1151" t="s">
        <v>1403</v>
      </c>
      <c r="H20" s="1150">
        <f t="shared" si="0"/>
        <v>0</v>
      </c>
      <c r="I20" s="1149"/>
      <c r="J20" s="1139"/>
      <c r="K20" s="1148"/>
    </row>
    <row r="21" spans="6:11" ht="33.75" customHeight="1">
      <c r="F21" s="1144" t="s">
        <v>1404</v>
      </c>
      <c r="G21" s="1151" t="s">
        <v>1405</v>
      </c>
      <c r="H21" s="1150">
        <f t="shared" si="0"/>
        <v>0</v>
      </c>
      <c r="I21" s="1149"/>
      <c r="J21" s="1139"/>
      <c r="K21" s="1148"/>
    </row>
    <row r="22" spans="6:11" ht="33.75" customHeight="1">
      <c r="F22" s="1144" t="s">
        <v>1406</v>
      </c>
      <c r="G22" s="1151" t="s">
        <v>1407</v>
      </c>
      <c r="H22" s="1150">
        <f t="shared" si="0"/>
        <v>0</v>
      </c>
      <c r="I22" s="1149"/>
      <c r="J22" s="1139"/>
      <c r="K22" s="1148"/>
    </row>
    <row r="23" spans="6:11" ht="22.5" customHeight="1">
      <c r="F23" s="1144" t="s">
        <v>1408</v>
      </c>
      <c r="G23" s="1151" t="s">
        <v>1409</v>
      </c>
      <c r="H23" s="1150">
        <f t="shared" si="0"/>
        <v>0</v>
      </c>
      <c r="I23" s="1149"/>
      <c r="J23" s="1139"/>
      <c r="K23" s="1148"/>
    </row>
    <row r="24" spans="6:11" ht="22.5" customHeight="1">
      <c r="F24" s="1144" t="s">
        <v>1410</v>
      </c>
      <c r="G24" s="1151" t="s">
        <v>1411</v>
      </c>
      <c r="H24" s="1150">
        <f t="shared" si="0"/>
        <v>0</v>
      </c>
      <c r="I24" s="1149"/>
      <c r="J24" s="1139"/>
      <c r="K24" s="1148"/>
    </row>
    <row r="25" spans="6:11" ht="33.75" customHeight="1">
      <c r="F25" s="1144" t="s">
        <v>1412</v>
      </c>
      <c r="G25" s="1151" t="s">
        <v>1413</v>
      </c>
      <c r="H25" s="1150">
        <f t="shared" si="0"/>
        <v>0</v>
      </c>
      <c r="I25" s="1149"/>
      <c r="J25" s="1139"/>
      <c r="K25" s="1148"/>
    </row>
    <row r="26" spans="6:11" ht="33.75" customHeight="1">
      <c r="F26" s="1144" t="s">
        <v>1414</v>
      </c>
      <c r="G26" s="1151" t="s">
        <v>1415</v>
      </c>
      <c r="H26" s="1150">
        <f t="shared" si="0"/>
        <v>0</v>
      </c>
      <c r="I26" s="1149"/>
      <c r="J26" s="1139"/>
      <c r="K26" s="1148"/>
    </row>
    <row r="27" spans="6:11" ht="11.25" customHeight="1">
      <c r="F27" s="1144" t="s">
        <v>1416</v>
      </c>
      <c r="G27" s="1151" t="s">
        <v>1417</v>
      </c>
      <c r="H27" s="1150">
        <f t="shared" si="0"/>
        <v>0</v>
      </c>
      <c r="I27" s="1149"/>
      <c r="J27" s="1139"/>
      <c r="K27" s="1148"/>
    </row>
    <row r="28" spans="6:11" ht="11.25" customHeight="1">
      <c r="F28" s="1144">
        <v>2</v>
      </c>
      <c r="G28" s="608" t="s">
        <v>1418</v>
      </c>
      <c r="H28" s="1150">
        <f t="shared" si="0"/>
        <v>0</v>
      </c>
      <c r="I28" s="1150">
        <f>SUM(I29:I31)</f>
        <v>0</v>
      </c>
      <c r="J28" s="1139"/>
      <c r="K28" s="1148"/>
    </row>
    <row r="29" spans="6:11" ht="11.25" customHeight="1">
      <c r="F29" s="1144" t="s">
        <v>1080</v>
      </c>
      <c r="G29" s="1151" t="s">
        <v>1419</v>
      </c>
      <c r="H29" s="1150">
        <f t="shared" si="0"/>
        <v>0</v>
      </c>
      <c r="I29" s="1149"/>
      <c r="J29" s="1139"/>
      <c r="K29" s="1148"/>
    </row>
    <row r="30" spans="6:11" ht="11.25" customHeight="1">
      <c r="F30" s="1144" t="s">
        <v>770</v>
      </c>
      <c r="G30" s="1151" t="s">
        <v>1420</v>
      </c>
      <c r="H30" s="1150">
        <f t="shared" si="0"/>
        <v>0</v>
      </c>
      <c r="I30" s="1149"/>
      <c r="J30" s="1139"/>
      <c r="K30" s="1148"/>
    </row>
    <row r="31" spans="6:11" ht="11.25" customHeight="1">
      <c r="F31" s="1144" t="s">
        <v>773</v>
      </c>
      <c r="G31" s="1151" t="s">
        <v>1421</v>
      </c>
      <c r="H31" s="1150">
        <f t="shared" si="0"/>
        <v>0</v>
      </c>
      <c r="I31" s="1149"/>
      <c r="J31" s="1139"/>
      <c r="K31" s="1148"/>
    </row>
    <row r="32" spans="6:11" ht="11.25" customHeight="1">
      <c r="F32" s="1144">
        <v>3</v>
      </c>
      <c r="G32" s="608" t="s">
        <v>1422</v>
      </c>
      <c r="H32" s="1150">
        <f t="shared" si="0"/>
        <v>0</v>
      </c>
      <c r="I32" s="1150">
        <f>SUM(I33:I34)</f>
        <v>0</v>
      </c>
      <c r="J32" s="1139"/>
      <c r="K32" s="1148"/>
    </row>
    <row r="33" spans="6:11" ht="33.75" customHeight="1">
      <c r="F33" s="1144" t="s">
        <v>789</v>
      </c>
      <c r="G33" s="1151" t="s">
        <v>1423</v>
      </c>
      <c r="H33" s="1150">
        <f t="shared" si="0"/>
        <v>0</v>
      </c>
      <c r="I33" s="1149"/>
      <c r="J33" s="1139"/>
      <c r="K33" s="1148"/>
    </row>
    <row r="34" spans="6:11" ht="11.25" customHeight="1">
      <c r="F34" s="1144" t="s">
        <v>797</v>
      </c>
      <c r="G34" s="1151" t="s">
        <v>1424</v>
      </c>
      <c r="H34" s="1150">
        <f t="shared" si="0"/>
        <v>0</v>
      </c>
      <c r="I34" s="1149"/>
      <c r="J34" s="1139"/>
      <c r="K34" s="1148"/>
    </row>
    <row r="35" spans="6:11" ht="11.25" customHeight="1">
      <c r="F35" s="1144">
        <v>4</v>
      </c>
      <c r="G35" s="608" t="s">
        <v>1425</v>
      </c>
      <c r="H35" s="1150">
        <f t="shared" si="0"/>
        <v>0</v>
      </c>
      <c r="I35" s="1149"/>
      <c r="J35" s="1139"/>
      <c r="K35" s="1148"/>
    </row>
    <row r="36" spans="6:11" ht="11.25" customHeight="1">
      <c r="F36" s="1144"/>
      <c r="G36" s="611" t="s">
        <v>1426</v>
      </c>
      <c r="H36" s="1150">
        <f t="shared" si="0"/>
        <v>0</v>
      </c>
      <c r="I36" s="1150">
        <f>SUM(I15,I28,I32,I35)</f>
        <v>0</v>
      </c>
      <c r="J36" s="1139"/>
      <c r="K36" s="1148"/>
    </row>
    <row r="37" spans="6:11" ht="27.75" customHeight="1">
      <c r="F37" s="1145" t="s">
        <v>1427</v>
      </c>
      <c r="G37" s="8996" t="s">
        <v>1428</v>
      </c>
      <c r="H37" s="8996"/>
      <c r="I37" s="8996"/>
      <c r="J37" s="8996"/>
      <c r="K37" s="1148"/>
    </row>
    <row r="38" spans="6:11" ht="22.5" customHeight="1">
      <c r="F38" s="1144" t="s">
        <v>95</v>
      </c>
      <c r="G38" s="608" t="s">
        <v>1429</v>
      </c>
      <c r="H38" s="1150">
        <f t="shared" ref="H38:H58" si="1">SUM(I38:J38)</f>
        <v>0</v>
      </c>
      <c r="I38" s="1150">
        <f>SUM(I39,I44,I47)</f>
        <v>0</v>
      </c>
      <c r="J38" s="1139"/>
      <c r="K38" s="1148"/>
    </row>
    <row r="39" spans="6:11" ht="11.25" customHeight="1">
      <c r="F39" s="1144" t="s">
        <v>1394</v>
      </c>
      <c r="G39" s="1151" t="s">
        <v>1393</v>
      </c>
      <c r="H39" s="1150">
        <f t="shared" si="1"/>
        <v>0</v>
      </c>
      <c r="I39" s="1150">
        <f>SUM(I40:I43)</f>
        <v>0</v>
      </c>
      <c r="J39" s="1139"/>
      <c r="K39" s="1148"/>
    </row>
    <row r="40" spans="6:11" ht="22.5" customHeight="1">
      <c r="F40" s="1144" t="s">
        <v>1430</v>
      </c>
      <c r="G40" s="1152" t="s">
        <v>1431</v>
      </c>
      <c r="H40" s="1150">
        <f t="shared" si="1"/>
        <v>0</v>
      </c>
      <c r="I40" s="1149"/>
      <c r="J40" s="1139"/>
      <c r="K40" s="1148"/>
    </row>
    <row r="41" spans="6:11" ht="11.25" customHeight="1">
      <c r="F41" s="1144" t="s">
        <v>1432</v>
      </c>
      <c r="G41" s="1152" t="s">
        <v>1433</v>
      </c>
      <c r="H41" s="1150">
        <f t="shared" si="1"/>
        <v>0</v>
      </c>
      <c r="I41" s="1149"/>
      <c r="J41" s="1139"/>
      <c r="K41" s="1148"/>
    </row>
    <row r="42" spans="6:11" ht="11.25" customHeight="1">
      <c r="F42" s="1144" t="s">
        <v>1434</v>
      </c>
      <c r="G42" s="1152" t="s">
        <v>1435</v>
      </c>
      <c r="H42" s="1150">
        <f t="shared" si="1"/>
        <v>0</v>
      </c>
      <c r="I42" s="1149"/>
      <c r="J42" s="1139"/>
      <c r="K42" s="1148"/>
    </row>
    <row r="43" spans="6:11" ht="33.75" customHeight="1">
      <c r="F43" s="1144" t="s">
        <v>1436</v>
      </c>
      <c r="G43" s="1152" t="s">
        <v>1437</v>
      </c>
      <c r="H43" s="1150">
        <f t="shared" si="1"/>
        <v>0</v>
      </c>
      <c r="I43" s="1149"/>
      <c r="J43" s="1139"/>
      <c r="K43" s="1148"/>
    </row>
    <row r="44" spans="6:11" ht="11.25" customHeight="1">
      <c r="F44" s="1144" t="s">
        <v>1396</v>
      </c>
      <c r="G44" s="1151" t="s">
        <v>1422</v>
      </c>
      <c r="H44" s="1150">
        <f t="shared" si="1"/>
        <v>0</v>
      </c>
      <c r="I44" s="1150">
        <f>SUM(I45:I46)</f>
        <v>0</v>
      </c>
      <c r="J44" s="1139"/>
      <c r="K44" s="1148"/>
    </row>
    <row r="45" spans="6:11" ht="45" customHeight="1">
      <c r="F45" s="1144" t="s">
        <v>1438</v>
      </c>
      <c r="G45" s="1152" t="s">
        <v>1423</v>
      </c>
      <c r="H45" s="1150">
        <f t="shared" si="1"/>
        <v>0</v>
      </c>
      <c r="I45" s="1149"/>
      <c r="J45" s="1139"/>
      <c r="K45" s="1148"/>
    </row>
    <row r="46" spans="6:11" ht="11.25" customHeight="1">
      <c r="F46" s="1144" t="s">
        <v>1439</v>
      </c>
      <c r="G46" s="1152" t="s">
        <v>1424</v>
      </c>
      <c r="H46" s="1150">
        <f t="shared" si="1"/>
        <v>0</v>
      </c>
      <c r="I46" s="1149"/>
      <c r="J46" s="1139"/>
      <c r="K46" s="1148"/>
    </row>
    <row r="47" spans="6:11" ht="11.25" customHeight="1">
      <c r="F47" s="1144" t="s">
        <v>1398</v>
      </c>
      <c r="G47" s="1151" t="s">
        <v>1440</v>
      </c>
      <c r="H47" s="1150">
        <f t="shared" si="1"/>
        <v>0</v>
      </c>
      <c r="I47" s="1149"/>
      <c r="J47" s="1139"/>
      <c r="K47" s="1148"/>
    </row>
    <row r="48" spans="6:11" ht="22.5" customHeight="1">
      <c r="F48" s="1144" t="s">
        <v>99</v>
      </c>
      <c r="G48" s="608" t="s">
        <v>1441</v>
      </c>
      <c r="H48" s="1150">
        <f t="shared" si="1"/>
        <v>0</v>
      </c>
      <c r="I48" s="1150">
        <f>SUM(I49,I54,I57)</f>
        <v>0</v>
      </c>
      <c r="J48" s="1139"/>
      <c r="K48" s="1148"/>
    </row>
    <row r="49" spans="6:11" ht="11.25" customHeight="1">
      <c r="F49" s="1144" t="s">
        <v>1080</v>
      </c>
      <c r="G49" s="1151" t="s">
        <v>1393</v>
      </c>
      <c r="H49" s="1150">
        <f t="shared" si="1"/>
        <v>0</v>
      </c>
      <c r="I49" s="1150">
        <f>SUM(I50:I53)</f>
        <v>0</v>
      </c>
      <c r="J49" s="1139"/>
      <c r="K49" s="1148"/>
    </row>
    <row r="50" spans="6:11" ht="22.5" customHeight="1">
      <c r="F50" s="1144" t="s">
        <v>1083</v>
      </c>
      <c r="G50" s="1152" t="s">
        <v>1431</v>
      </c>
      <c r="H50" s="1150">
        <f t="shared" si="1"/>
        <v>0</v>
      </c>
      <c r="I50" s="1149"/>
      <c r="J50" s="1139"/>
      <c r="K50" s="1148"/>
    </row>
    <row r="51" spans="6:11" ht="11.25" customHeight="1">
      <c r="F51" s="1144" t="s">
        <v>1086</v>
      </c>
      <c r="G51" s="1152" t="s">
        <v>1433</v>
      </c>
      <c r="H51" s="1150">
        <f t="shared" si="1"/>
        <v>0</v>
      </c>
      <c r="I51" s="1149"/>
      <c r="J51" s="1139"/>
      <c r="K51" s="1148"/>
    </row>
    <row r="52" spans="6:11" ht="11.25" customHeight="1">
      <c r="F52" s="1144" t="s">
        <v>1442</v>
      </c>
      <c r="G52" s="1152" t="s">
        <v>1435</v>
      </c>
      <c r="H52" s="1150">
        <f t="shared" si="1"/>
        <v>0</v>
      </c>
      <c r="I52" s="1149"/>
      <c r="J52" s="1139"/>
      <c r="K52" s="1148"/>
    </row>
    <row r="53" spans="6:11" ht="33.75" customHeight="1">
      <c r="F53" s="1144" t="s">
        <v>1443</v>
      </c>
      <c r="G53" s="1152" t="s">
        <v>1437</v>
      </c>
      <c r="H53" s="1150">
        <f t="shared" si="1"/>
        <v>0</v>
      </c>
      <c r="I53" s="1149"/>
      <c r="J53" s="1139"/>
      <c r="K53" s="1148"/>
    </row>
    <row r="54" spans="6:11" ht="11.25" customHeight="1">
      <c r="F54" s="1144" t="s">
        <v>770</v>
      </c>
      <c r="G54" s="1151" t="s">
        <v>1422</v>
      </c>
      <c r="H54" s="1150">
        <f t="shared" si="1"/>
        <v>0</v>
      </c>
      <c r="I54" s="1150">
        <f>SUM(I55:I56)</f>
        <v>0</v>
      </c>
      <c r="J54" s="1139"/>
      <c r="K54" s="1148"/>
    </row>
    <row r="55" spans="6:11" ht="45" customHeight="1">
      <c r="F55" s="1144" t="s">
        <v>1090</v>
      </c>
      <c r="G55" s="1152" t="s">
        <v>1423</v>
      </c>
      <c r="H55" s="1150">
        <f t="shared" si="1"/>
        <v>0</v>
      </c>
      <c r="I55" s="1149"/>
      <c r="J55" s="1139"/>
      <c r="K55" s="1148"/>
    </row>
    <row r="56" spans="6:11" ht="11.25" customHeight="1">
      <c r="F56" s="1144" t="s">
        <v>1092</v>
      </c>
      <c r="G56" s="1152" t="s">
        <v>1424</v>
      </c>
      <c r="H56" s="1150">
        <f t="shared" si="1"/>
        <v>0</v>
      </c>
      <c r="I56" s="1149"/>
      <c r="J56" s="1139"/>
      <c r="K56" s="1148"/>
    </row>
    <row r="57" spans="6:11" ht="11.25" customHeight="1">
      <c r="F57" s="1144" t="s">
        <v>773</v>
      </c>
      <c r="G57" s="1151" t="s">
        <v>1440</v>
      </c>
      <c r="H57" s="1150">
        <f t="shared" si="1"/>
        <v>0</v>
      </c>
      <c r="I57" s="1149"/>
      <c r="J57" s="1139"/>
      <c r="K57" s="1148"/>
    </row>
    <row r="58" spans="6:11" ht="11.25" customHeight="1">
      <c r="F58" s="1144"/>
      <c r="G58" s="1153" t="s">
        <v>1426</v>
      </c>
      <c r="H58" s="1150">
        <f t="shared" si="1"/>
        <v>0</v>
      </c>
      <c r="I58" s="1150">
        <f>SUM(I38,I48)</f>
        <v>0</v>
      </c>
      <c r="J58" s="1139"/>
      <c r="K58" s="1148"/>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4" hidden="1" customWidth="1"/>
    <col min="2" max="2" width="4.7109375" style="847" hidden="1" customWidth="1"/>
    <col min="3" max="4" width="4.7109375" style="974" hidden="1" customWidth="1"/>
    <col min="5" max="5" width="3.5703125" style="974" customWidth="1"/>
    <col min="6" max="6" width="6.7109375" style="974" customWidth="1"/>
    <col min="7" max="7" width="18.7109375" style="974" customWidth="1"/>
    <col min="8" max="8" width="27.28515625" style="974" customWidth="1"/>
    <col min="9" max="9" width="18.7109375" style="974" customWidth="1"/>
    <col min="10" max="14" width="0.85546875" style="974" hidden="1" customWidth="1"/>
    <col min="15" max="28" width="21.7109375" style="974" hidden="1" customWidth="1"/>
    <col min="29" max="71" width="0.85546875" style="974" hidden="1" customWidth="1"/>
    <col min="72" max="79" width="21.7109375" style="974" customWidth="1"/>
    <col min="80" max="81" width="29.140625" style="974" customWidth="1"/>
    <col min="82" max="89" width="21.7109375" style="974" customWidth="1"/>
    <col min="90" max="102" width="0.7109375" style="974" customWidth="1"/>
    <col min="103" max="114" width="21.7109375" style="974" hidden="1" customWidth="1"/>
    <col min="115" max="178" width="0.7109375" style="974" hidden="1" customWidth="1"/>
    <col min="179" max="179" width="0.140625" style="974" customWidth="1"/>
    <col min="180" max="184" width="9.140625" style="974"/>
  </cols>
  <sheetData>
    <row r="1" spans="2:180" s="838" customFormat="1" ht="12" hidden="1" customHeight="1">
      <c r="B1" s="836"/>
      <c r="C1" s="837"/>
      <c r="D1" s="837"/>
    </row>
    <row r="2" spans="2:180" s="838"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838"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1792" customFormat="1" ht="25.5" customHeight="1">
      <c r="B5" s="1791"/>
      <c r="E5" s="1793"/>
      <c r="F5" s="9004"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год</v>
      </c>
      <c r="G5" s="8798"/>
      <c r="H5" s="8798"/>
      <c r="I5" s="8798"/>
      <c r="J5" s="8798"/>
      <c r="K5" s="8798"/>
      <c r="L5" s="8798"/>
      <c r="M5" s="8798"/>
      <c r="N5" s="8798"/>
      <c r="O5" s="8798"/>
      <c r="P5" s="8798"/>
      <c r="Q5" s="8798"/>
      <c r="R5" s="8798"/>
      <c r="S5" s="8798"/>
      <c r="T5" s="8798"/>
      <c r="U5" s="8798"/>
      <c r="V5" s="8798"/>
      <c r="W5" s="8798"/>
      <c r="X5" s="8798"/>
      <c r="Y5" s="8798"/>
      <c r="Z5" s="8798"/>
      <c r="AA5" s="8798"/>
      <c r="AB5" s="8798"/>
      <c r="AC5" s="8798"/>
      <c r="AD5" s="8798"/>
      <c r="AE5" s="8798"/>
      <c r="AF5" s="8798"/>
      <c r="AG5" s="8798"/>
      <c r="AH5" s="8798"/>
      <c r="AI5" s="8798"/>
      <c r="AJ5" s="8798"/>
      <c r="AK5" s="8798"/>
      <c r="AL5" s="8798"/>
      <c r="AM5" s="8798"/>
      <c r="AN5" s="8798"/>
      <c r="AO5" s="8798"/>
      <c r="AP5" s="8798"/>
      <c r="AQ5" s="8798"/>
      <c r="AR5" s="8798"/>
      <c r="AS5" s="8798"/>
      <c r="AT5" s="8798"/>
      <c r="AU5" s="8798"/>
      <c r="AV5" s="8798"/>
      <c r="AW5" s="8798"/>
      <c r="AX5" s="8798"/>
      <c r="AY5" s="8798"/>
      <c r="AZ5" s="8798"/>
      <c r="BA5" s="8798"/>
      <c r="BB5" s="8798"/>
      <c r="BC5" s="8798"/>
      <c r="BD5" s="8798"/>
      <c r="BE5" s="8798"/>
      <c r="BF5" s="8798"/>
      <c r="BG5" s="8798"/>
      <c r="BH5" s="8798"/>
      <c r="BI5" s="8798"/>
      <c r="BJ5" s="8798"/>
      <c r="BK5" s="8798"/>
      <c r="BL5" s="8798"/>
      <c r="BM5" s="8798"/>
      <c r="BN5" s="8798"/>
      <c r="BO5" s="8798"/>
      <c r="BP5" s="8798"/>
      <c r="BQ5" s="8798"/>
      <c r="BR5" s="8798"/>
      <c r="BS5" s="8798"/>
    </row>
    <row r="6" spans="2:180" s="1808" customFormat="1" ht="18" customHeight="1">
      <c r="B6" s="855"/>
      <c r="E6" s="856"/>
      <c r="F6" s="8848" t="str">
        <f>IF(org=0,"Не определено",org)</f>
        <v>ГУП СК "Ставрополькрайводоканал"</v>
      </c>
      <c r="G6" s="8849"/>
      <c r="H6" s="8849"/>
      <c r="I6" s="8849"/>
      <c r="J6" s="8849"/>
      <c r="K6" s="8849"/>
      <c r="L6" s="8849"/>
      <c r="M6" s="8849"/>
      <c r="N6" s="8849"/>
      <c r="O6" s="8849"/>
      <c r="P6" s="8849"/>
      <c r="Q6" s="8849"/>
      <c r="R6" s="8849"/>
      <c r="S6" s="8849"/>
      <c r="T6" s="8849"/>
      <c r="U6" s="8849"/>
      <c r="V6" s="8849"/>
      <c r="W6" s="8849"/>
      <c r="X6" s="8849"/>
      <c r="Y6" s="8849"/>
      <c r="Z6" s="8849"/>
      <c r="AA6" s="8849"/>
      <c r="AB6" s="8849"/>
      <c r="AC6" s="8849"/>
      <c r="AD6" s="8849"/>
      <c r="AE6" s="8849"/>
      <c r="AF6" s="8849"/>
      <c r="AG6" s="8849"/>
      <c r="AH6" s="8849"/>
      <c r="AI6" s="8849"/>
      <c r="AJ6" s="8849"/>
      <c r="AK6" s="8849"/>
      <c r="AL6" s="8849"/>
      <c r="AM6" s="8849"/>
      <c r="AN6" s="8849"/>
      <c r="AO6" s="8849"/>
      <c r="AP6" s="8849"/>
      <c r="AQ6" s="8849"/>
      <c r="AR6" s="8849"/>
      <c r="AS6" s="8849"/>
      <c r="AT6" s="8849"/>
      <c r="AU6" s="8849"/>
      <c r="AV6" s="8849"/>
      <c r="AW6" s="8849"/>
      <c r="AX6" s="8849"/>
      <c r="AY6" s="8849"/>
      <c r="AZ6" s="8849"/>
      <c r="BA6" s="8849"/>
      <c r="BB6" s="8849"/>
      <c r="BC6" s="8849"/>
      <c r="BD6" s="8849"/>
      <c r="BE6" s="8849"/>
      <c r="BF6" s="8849"/>
      <c r="BG6" s="8849"/>
      <c r="BH6" s="8849"/>
      <c r="BI6" s="8849"/>
      <c r="BJ6" s="8849"/>
      <c r="BK6" s="8849"/>
      <c r="BL6" s="8849"/>
      <c r="BM6" s="8849"/>
      <c r="BN6" s="8849"/>
      <c r="BO6" s="8849"/>
      <c r="BP6" s="8849"/>
      <c r="BQ6" s="8849"/>
      <c r="BR6" s="8849"/>
      <c r="BS6" s="8849"/>
    </row>
    <row r="7" spans="2:180" s="844" customFormat="1" ht="10.5" customHeight="1">
      <c r="B7" s="843"/>
      <c r="G7" s="846"/>
      <c r="H7" s="841"/>
      <c r="I7" s="841"/>
      <c r="J7" s="841"/>
      <c r="K7" s="841"/>
      <c r="L7" s="841"/>
    </row>
    <row r="8" spans="2:180" s="844" customFormat="1" ht="11.25" hidden="1" customHeight="1">
      <c r="B8" s="845"/>
      <c r="F8" s="967"/>
      <c r="G8" s="678"/>
      <c r="H8" s="281"/>
      <c r="I8" s="281"/>
      <c r="J8" s="281"/>
      <c r="K8" s="281"/>
      <c r="L8" s="281"/>
      <c r="M8" s="967"/>
      <c r="N8" s="967"/>
      <c r="O8" s="9022" t="s">
        <v>1444</v>
      </c>
      <c r="P8" s="9023"/>
      <c r="Q8" s="9023"/>
      <c r="R8" s="9023"/>
      <c r="S8" s="9023"/>
      <c r="T8" s="9023"/>
      <c r="U8" s="9023"/>
      <c r="V8" s="9023"/>
      <c r="W8" s="9023"/>
      <c r="X8" s="9023"/>
      <c r="Y8" s="9023"/>
      <c r="Z8" s="9023"/>
      <c r="AA8" s="9023"/>
      <c r="AB8" s="9023"/>
      <c r="AC8" s="9023"/>
      <c r="AD8" s="9023"/>
      <c r="AE8" s="9023"/>
      <c r="AF8" s="9023"/>
      <c r="AG8" s="9023"/>
      <c r="AH8" s="9023"/>
      <c r="AI8" s="9023"/>
      <c r="AJ8" s="9023"/>
      <c r="AK8" s="9023"/>
      <c r="AL8" s="9023"/>
      <c r="AM8" s="9023"/>
      <c r="AN8" s="9023"/>
      <c r="AO8" s="9023"/>
      <c r="AP8" s="9023"/>
      <c r="AQ8" s="9023"/>
      <c r="AR8" s="9023"/>
      <c r="AS8" s="9023"/>
      <c r="AT8" s="9023"/>
      <c r="AU8" s="9023"/>
      <c r="AV8" s="9023"/>
      <c r="AW8" s="9023"/>
      <c r="AX8" s="9023"/>
      <c r="AY8" s="9023"/>
      <c r="AZ8" s="9023"/>
      <c r="BA8" s="9023"/>
      <c r="BB8" s="9023"/>
      <c r="BC8" s="9023"/>
      <c r="BD8" s="9023"/>
      <c r="BE8" s="9023"/>
      <c r="BF8" s="9023"/>
      <c r="BG8" s="9023"/>
      <c r="BH8" s="9023"/>
      <c r="BI8" s="9023"/>
      <c r="BJ8" s="9023"/>
      <c r="BK8" s="9023"/>
      <c r="BL8" s="9023"/>
      <c r="BM8" s="9023"/>
      <c r="BN8" s="9023"/>
      <c r="BO8" s="9023"/>
      <c r="BP8" s="9023"/>
      <c r="BQ8" s="9023"/>
      <c r="BR8" s="9023"/>
      <c r="BS8" s="9024"/>
      <c r="BT8" s="9011"/>
      <c r="BU8" s="9012"/>
      <c r="BV8" s="9012"/>
      <c r="BW8" s="9012"/>
      <c r="BX8" s="9012"/>
      <c r="BY8" s="9012"/>
      <c r="BZ8" s="9012"/>
      <c r="CA8" s="9012"/>
      <c r="CB8" s="9012"/>
      <c r="CC8" s="9012"/>
      <c r="CD8" s="9012"/>
      <c r="CE8" s="9012"/>
      <c r="CF8" s="9012"/>
      <c r="CG8" s="9012"/>
      <c r="CH8" s="9012"/>
      <c r="CI8" s="9012"/>
      <c r="CJ8" s="9012"/>
      <c r="CK8" s="9012"/>
      <c r="CL8" s="9012"/>
      <c r="CM8" s="9012"/>
      <c r="CN8" s="9012"/>
      <c r="CO8" s="9012"/>
      <c r="CP8" s="9012"/>
      <c r="CQ8" s="9012"/>
      <c r="CR8" s="9012"/>
      <c r="CS8" s="9012"/>
      <c r="CT8" s="9012"/>
      <c r="CU8" s="9012"/>
      <c r="CV8" s="9012"/>
      <c r="CW8" s="9012"/>
      <c r="CX8" s="9013"/>
      <c r="CY8" s="9014"/>
      <c r="CZ8" s="9015"/>
      <c r="DA8" s="9015"/>
      <c r="DB8" s="9015"/>
      <c r="DC8" s="9015"/>
      <c r="DD8" s="9015"/>
      <c r="DE8" s="9015"/>
      <c r="DF8" s="9015"/>
      <c r="DG8" s="9015"/>
      <c r="DH8" s="9015"/>
      <c r="DI8" s="9015"/>
      <c r="DJ8" s="9015"/>
      <c r="DK8" s="9015"/>
      <c r="DL8" s="9015"/>
      <c r="DM8" s="9015"/>
      <c r="DN8" s="9015"/>
      <c r="DO8" s="9015"/>
      <c r="DP8" s="9015"/>
      <c r="DQ8" s="9015"/>
      <c r="DR8" s="9015"/>
      <c r="DS8" s="9015"/>
      <c r="DT8" s="9015"/>
      <c r="DU8" s="9015"/>
      <c r="DV8" s="9015"/>
      <c r="DW8" s="9015"/>
      <c r="DX8" s="9016"/>
      <c r="DY8" s="9017" t="s">
        <v>1445</v>
      </c>
      <c r="DZ8" s="9018"/>
      <c r="EA8" s="9018"/>
      <c r="EB8" s="9018"/>
      <c r="EC8" s="9018"/>
      <c r="ED8" s="9018"/>
      <c r="EE8" s="9018"/>
      <c r="EF8" s="9018"/>
      <c r="EG8" s="9018"/>
      <c r="EH8" s="9018"/>
      <c r="EI8" s="9018"/>
      <c r="EJ8" s="9018"/>
      <c r="EK8" s="9018"/>
      <c r="EL8" s="9018"/>
      <c r="EM8" s="9018"/>
      <c r="EN8" s="9018"/>
      <c r="EO8" s="9018"/>
      <c r="EP8" s="9018"/>
      <c r="EQ8" s="9018"/>
      <c r="ER8" s="9018"/>
      <c r="ES8" s="9018"/>
      <c r="ET8" s="9018"/>
      <c r="EU8" s="9018"/>
      <c r="EV8" s="9018"/>
      <c r="EW8" s="9018"/>
      <c r="EX8" s="9018"/>
      <c r="EY8" s="9018"/>
      <c r="EZ8" s="9018"/>
      <c r="FA8" s="9018"/>
      <c r="FB8" s="9018"/>
      <c r="FC8" s="9018"/>
      <c r="FD8" s="9018"/>
      <c r="FE8" s="9018"/>
      <c r="FF8" s="9018"/>
      <c r="FG8" s="9018"/>
      <c r="FH8" s="9018"/>
      <c r="FI8" s="9018"/>
      <c r="FJ8" s="9018"/>
      <c r="FK8" s="9018"/>
      <c r="FL8" s="9018"/>
      <c r="FM8" s="9018"/>
      <c r="FN8" s="9018"/>
      <c r="FO8" s="9018"/>
      <c r="FP8" s="9018"/>
      <c r="FQ8" s="9018"/>
      <c r="FR8" s="9018"/>
      <c r="FS8" s="9018"/>
      <c r="FT8" s="9018"/>
      <c r="FU8" s="9018"/>
      <c r="FV8" s="9018"/>
      <c r="FW8" s="9019"/>
      <c r="FX8" s="967"/>
    </row>
    <row r="9" spans="2:180" s="844" customFormat="1" ht="11.25" hidden="1" customHeight="1">
      <c r="B9" s="845"/>
      <c r="F9" s="967"/>
      <c r="G9" s="678"/>
      <c r="H9" s="281"/>
      <c r="I9" s="281"/>
      <c r="J9" s="281"/>
      <c r="K9" s="281"/>
      <c r="L9" s="281"/>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c r="AT9" s="967"/>
      <c r="AU9" s="967"/>
      <c r="AV9" s="967"/>
      <c r="AW9" s="967"/>
      <c r="AX9" s="967"/>
      <c r="AY9" s="967"/>
      <c r="AZ9" s="967"/>
      <c r="BA9" s="967"/>
      <c r="BB9" s="967"/>
      <c r="BC9" s="967"/>
      <c r="BD9" s="967"/>
      <c r="BE9" s="967"/>
      <c r="BF9" s="967"/>
      <c r="BG9" s="967"/>
      <c r="BH9" s="967"/>
      <c r="BI9" s="967"/>
      <c r="BJ9" s="967"/>
      <c r="BK9" s="967"/>
      <c r="BL9" s="967"/>
      <c r="BM9" s="967"/>
      <c r="BN9" s="967"/>
      <c r="BO9" s="967"/>
      <c r="BP9" s="967"/>
      <c r="BQ9" s="967"/>
      <c r="BR9" s="967"/>
      <c r="BS9" s="967"/>
      <c r="BT9" s="967"/>
      <c r="BU9" s="967"/>
      <c r="BV9" s="967"/>
      <c r="BW9" s="967"/>
      <c r="BX9" s="967"/>
      <c r="BY9" s="967"/>
      <c r="BZ9" s="967"/>
      <c r="CA9" s="967"/>
      <c r="CB9" s="967"/>
      <c r="CC9" s="967"/>
      <c r="CD9" s="967"/>
      <c r="CE9" s="967"/>
      <c r="CF9" s="967"/>
      <c r="CG9" s="967"/>
      <c r="CH9" s="967"/>
      <c r="CI9" s="967"/>
      <c r="CJ9" s="967"/>
      <c r="CK9" s="967"/>
      <c r="CL9" s="967"/>
      <c r="CM9" s="967"/>
      <c r="CN9" s="967"/>
      <c r="CO9" s="967"/>
      <c r="CP9" s="967"/>
      <c r="CQ9" s="967"/>
      <c r="CR9" s="967"/>
      <c r="CS9" s="967"/>
      <c r="CT9" s="967"/>
      <c r="CU9" s="967"/>
      <c r="CV9" s="967"/>
      <c r="CW9" s="967"/>
      <c r="CX9" s="967"/>
      <c r="CY9" s="967"/>
      <c r="CZ9" s="967"/>
      <c r="DA9" s="967"/>
      <c r="DB9" s="967"/>
      <c r="DC9" s="967"/>
      <c r="DD9" s="967"/>
      <c r="DE9" s="967"/>
      <c r="DF9" s="967"/>
      <c r="DG9" s="967"/>
      <c r="DH9" s="967"/>
      <c r="DI9" s="967"/>
      <c r="DJ9" s="967"/>
      <c r="DK9" s="967"/>
      <c r="DL9" s="967"/>
      <c r="DM9" s="967"/>
      <c r="DN9" s="967"/>
      <c r="DO9" s="967"/>
      <c r="DP9" s="967"/>
      <c r="DQ9" s="967"/>
      <c r="DR9" s="967"/>
      <c r="DS9" s="967"/>
      <c r="DT9" s="967"/>
      <c r="DU9" s="967"/>
      <c r="DV9" s="967"/>
      <c r="DW9" s="967"/>
      <c r="DX9" s="967"/>
      <c r="DY9" s="967"/>
      <c r="DZ9" s="967"/>
      <c r="EA9" s="967"/>
      <c r="EB9" s="967"/>
      <c r="EC9" s="967"/>
      <c r="ED9" s="967"/>
      <c r="EE9" s="967"/>
      <c r="EF9" s="967"/>
      <c r="EG9" s="967"/>
      <c r="EH9" s="967"/>
      <c r="EI9" s="967"/>
      <c r="EJ9" s="967"/>
      <c r="EK9" s="967"/>
      <c r="EL9" s="967"/>
      <c r="EM9" s="967"/>
      <c r="EN9" s="967"/>
      <c r="EO9" s="967"/>
      <c r="EP9" s="967"/>
      <c r="EQ9" s="967"/>
      <c r="ER9" s="967"/>
      <c r="ES9" s="967"/>
      <c r="ET9" s="967"/>
      <c r="EU9" s="967"/>
      <c r="EV9" s="967"/>
      <c r="EW9" s="967"/>
      <c r="EX9" s="967"/>
      <c r="EY9" s="967"/>
      <c r="EZ9" s="967"/>
      <c r="FA9" s="967"/>
      <c r="FB9" s="967"/>
      <c r="FC9" s="967"/>
      <c r="FD9" s="967"/>
      <c r="FE9" s="967"/>
      <c r="FF9" s="967"/>
      <c r="FG9" s="967"/>
      <c r="FH9" s="967"/>
      <c r="FI9" s="967"/>
      <c r="FJ9" s="967"/>
      <c r="FK9" s="967"/>
      <c r="FL9" s="967"/>
      <c r="FM9" s="967"/>
      <c r="FN9" s="967"/>
      <c r="FO9" s="967"/>
      <c r="FP9" s="967"/>
      <c r="FQ9" s="967"/>
      <c r="FR9" s="967"/>
      <c r="FS9" s="967"/>
      <c r="FT9" s="967"/>
      <c r="FU9" s="967"/>
      <c r="FV9" s="967"/>
      <c r="FW9" s="9020"/>
      <c r="FX9" s="967"/>
    </row>
    <row r="10" spans="2:180" s="844" customFormat="1" ht="11.25" customHeight="1">
      <c r="B10" s="845"/>
      <c r="F10" s="8986" t="s">
        <v>763</v>
      </c>
      <c r="G10" s="9002"/>
      <c r="H10" s="9002"/>
      <c r="I10" s="9002"/>
      <c r="J10" s="9002"/>
      <c r="K10" s="9002"/>
      <c r="L10" s="9002"/>
      <c r="M10" s="9002"/>
      <c r="N10" s="9002"/>
      <c r="O10" s="9002"/>
      <c r="P10" s="9002"/>
      <c r="Q10" s="9002"/>
      <c r="R10" s="9002"/>
      <c r="S10" s="9002"/>
      <c r="T10" s="9002"/>
      <c r="U10" s="9002"/>
      <c r="V10" s="9002"/>
      <c r="W10" s="9002"/>
      <c r="X10" s="9002"/>
      <c r="Y10" s="9002"/>
      <c r="Z10" s="9002"/>
      <c r="AA10" s="9002"/>
      <c r="AB10" s="9002"/>
      <c r="AC10" s="9002"/>
      <c r="AD10" s="9002"/>
      <c r="AE10" s="9002"/>
      <c r="AF10" s="9002"/>
      <c r="AG10" s="9002"/>
      <c r="AH10" s="9002"/>
      <c r="AI10" s="9002"/>
      <c r="AJ10" s="9002"/>
      <c r="AK10" s="9002"/>
      <c r="AL10" s="9002"/>
      <c r="AM10" s="9002"/>
      <c r="AN10" s="9002"/>
      <c r="AO10" s="9002"/>
      <c r="AP10" s="9002"/>
      <c r="AQ10" s="9002"/>
      <c r="AR10" s="9002"/>
      <c r="AS10" s="9002"/>
      <c r="AT10" s="9002"/>
      <c r="AU10" s="9002"/>
      <c r="AV10" s="9002"/>
      <c r="AW10" s="9002"/>
      <c r="AX10" s="9002"/>
      <c r="AY10" s="9002"/>
      <c r="AZ10" s="9002"/>
      <c r="BA10" s="9002"/>
      <c r="BB10" s="9002"/>
      <c r="BC10" s="9002"/>
      <c r="BD10" s="9002"/>
      <c r="BE10" s="9002"/>
      <c r="BF10" s="9002"/>
      <c r="BG10" s="9002"/>
      <c r="BH10" s="9002"/>
      <c r="BI10" s="9002"/>
      <c r="BJ10" s="9002"/>
      <c r="BK10" s="9002"/>
      <c r="BL10" s="9002"/>
      <c r="BM10" s="9002"/>
      <c r="BN10" s="9002"/>
      <c r="BO10" s="9002"/>
      <c r="BP10" s="9002"/>
      <c r="BQ10" s="9002"/>
      <c r="BR10" s="9002"/>
      <c r="BS10" s="9002"/>
      <c r="BT10" s="9002"/>
      <c r="BU10" s="9002"/>
      <c r="BV10" s="9002"/>
      <c r="BW10" s="9002"/>
      <c r="BX10" s="9002"/>
      <c r="BY10" s="9002"/>
      <c r="BZ10" s="9002"/>
      <c r="CA10" s="9002"/>
      <c r="CB10" s="9002"/>
      <c r="CC10" s="9002"/>
      <c r="CD10" s="9002"/>
      <c r="CE10" s="9002"/>
      <c r="CF10" s="9002"/>
      <c r="CG10" s="9002"/>
      <c r="CH10" s="9002"/>
      <c r="CI10" s="9002"/>
      <c r="CJ10" s="9002"/>
      <c r="CK10" s="9002"/>
      <c r="CL10" s="9002"/>
      <c r="CM10" s="9002"/>
      <c r="CN10" s="9002"/>
      <c r="CO10" s="9002"/>
      <c r="CP10" s="9002"/>
      <c r="CQ10" s="9002"/>
      <c r="CR10" s="9002"/>
      <c r="CS10" s="9002"/>
      <c r="CT10" s="9002"/>
      <c r="CU10" s="9002"/>
      <c r="CV10" s="9002"/>
      <c r="CW10" s="9002"/>
      <c r="CX10" s="9002"/>
      <c r="CY10" s="9002"/>
      <c r="CZ10" s="9002"/>
      <c r="DA10" s="9002"/>
      <c r="DB10" s="9002"/>
      <c r="DC10" s="9002"/>
      <c r="DD10" s="9002"/>
      <c r="DE10" s="9002"/>
      <c r="DF10" s="9002"/>
      <c r="DG10" s="9002"/>
      <c r="DH10" s="9002"/>
      <c r="DI10" s="9002"/>
      <c r="DJ10" s="9002"/>
      <c r="DK10" s="9002"/>
      <c r="DL10" s="9002"/>
      <c r="DM10" s="9002"/>
      <c r="DN10" s="9002"/>
      <c r="DO10" s="9002"/>
      <c r="DP10" s="9002"/>
      <c r="DQ10" s="9002"/>
      <c r="DR10" s="9002"/>
      <c r="DS10" s="9002"/>
      <c r="DT10" s="9002"/>
      <c r="DU10" s="9002"/>
      <c r="DV10" s="9002"/>
      <c r="DW10" s="9002"/>
      <c r="DX10" s="9002"/>
      <c r="DY10" s="9002"/>
      <c r="DZ10" s="9002"/>
      <c r="EA10" s="9002"/>
      <c r="EB10" s="9002"/>
      <c r="EC10" s="9002"/>
      <c r="ED10" s="9002"/>
      <c r="EE10" s="9002"/>
      <c r="EF10" s="9002"/>
      <c r="EG10" s="9002"/>
      <c r="EH10" s="9002"/>
      <c r="EI10" s="9002"/>
      <c r="EJ10" s="9002"/>
      <c r="EK10" s="9002"/>
      <c r="EL10" s="9002"/>
      <c r="EM10" s="9002"/>
      <c r="EN10" s="9002"/>
      <c r="EO10" s="9002"/>
      <c r="EP10" s="9002"/>
      <c r="EQ10" s="9002"/>
      <c r="ER10" s="9002"/>
      <c r="ES10" s="9002"/>
      <c r="ET10" s="9002"/>
      <c r="EU10" s="9002"/>
      <c r="EV10" s="9002"/>
      <c r="EW10" s="9002"/>
      <c r="EX10" s="9002"/>
      <c r="EY10" s="9002"/>
      <c r="EZ10" s="9002"/>
      <c r="FA10" s="9002"/>
      <c r="FB10" s="9002"/>
      <c r="FC10" s="9002"/>
      <c r="FD10" s="9002"/>
      <c r="FE10" s="9002"/>
      <c r="FF10" s="9002"/>
      <c r="FG10" s="9002"/>
      <c r="FH10" s="9002"/>
      <c r="FI10" s="9002"/>
      <c r="FJ10" s="9002"/>
      <c r="FK10" s="9002"/>
      <c r="FL10" s="9002"/>
      <c r="FM10" s="9002"/>
      <c r="FN10" s="9002"/>
      <c r="FO10" s="9002"/>
      <c r="FP10" s="9002"/>
      <c r="FQ10" s="9002"/>
      <c r="FR10" s="9002"/>
      <c r="FS10" s="9002"/>
      <c r="FT10" s="9002"/>
      <c r="FU10" s="9002"/>
      <c r="FV10" s="9003"/>
      <c r="FW10" s="9020"/>
      <c r="FX10" s="967"/>
    </row>
    <row r="11" spans="2:180" ht="12" customHeight="1">
      <c r="E11" s="848"/>
      <c r="F11" s="8838" t="s">
        <v>84</v>
      </c>
      <c r="G11" s="8838" t="s">
        <v>1446</v>
      </c>
      <c r="H11" s="8838" t="s">
        <v>1447</v>
      </c>
      <c r="I11" s="8838" t="s">
        <v>1448</v>
      </c>
      <c r="J11" s="9010"/>
      <c r="K11" s="9010"/>
      <c r="L11" s="9010"/>
      <c r="M11" s="9010"/>
      <c r="N11" s="9010"/>
      <c r="O11" s="8843" t="s">
        <v>1449</v>
      </c>
      <c r="P11" s="8843"/>
      <c r="Q11" s="8843"/>
      <c r="R11" s="8843"/>
      <c r="S11" s="8843"/>
      <c r="T11" s="8843"/>
      <c r="U11" s="8843"/>
      <c r="V11" s="8843"/>
      <c r="W11" s="8843"/>
      <c r="X11" s="8843"/>
      <c r="Y11" s="8843"/>
      <c r="Z11" s="8843"/>
      <c r="AA11" s="8843"/>
      <c r="AB11" s="8843"/>
      <c r="AC11" s="9008"/>
      <c r="AD11" s="9008"/>
      <c r="AE11" s="9008"/>
      <c r="AF11" s="9008"/>
      <c r="AG11" s="9008"/>
      <c r="AH11" s="9008"/>
      <c r="AI11" s="9008"/>
      <c r="AJ11" s="9008"/>
      <c r="AK11" s="9008"/>
      <c r="AL11" s="9008"/>
      <c r="AM11" s="9008"/>
      <c r="AN11" s="9008"/>
      <c r="AO11" s="9008"/>
      <c r="AP11" s="9008"/>
      <c r="AQ11" s="9008"/>
      <c r="AR11" s="9008"/>
      <c r="AS11" s="9008"/>
      <c r="AT11" s="9008"/>
      <c r="AU11" s="9008"/>
      <c r="AV11" s="9008"/>
      <c r="AW11" s="9008"/>
      <c r="AX11" s="9008"/>
      <c r="AY11" s="9008"/>
      <c r="AZ11" s="9008"/>
      <c r="BA11" s="9008"/>
      <c r="BB11" s="9008"/>
      <c r="BC11" s="9008"/>
      <c r="BD11" s="9008"/>
      <c r="BE11" s="9008"/>
      <c r="BF11" s="9008"/>
      <c r="BG11" s="9008"/>
      <c r="BH11" s="9008"/>
      <c r="BI11" s="9008"/>
      <c r="BJ11" s="9008"/>
      <c r="BK11" s="9008"/>
      <c r="BL11" s="9008"/>
      <c r="BM11" s="9008"/>
      <c r="BN11" s="9008"/>
      <c r="BO11" s="9008"/>
      <c r="BP11" s="9008"/>
      <c r="BQ11" s="9008"/>
      <c r="BR11" s="9008"/>
      <c r="BS11" s="9025"/>
      <c r="BT11" s="9005" t="s">
        <v>1449</v>
      </c>
      <c r="BU11" s="9006"/>
      <c r="BV11" s="9006"/>
      <c r="BW11" s="9006"/>
      <c r="BX11" s="9006"/>
      <c r="BY11" s="9006"/>
      <c r="BZ11" s="9006"/>
      <c r="CA11" s="9006"/>
      <c r="CB11" s="9006"/>
      <c r="CC11" s="9006"/>
      <c r="CD11" s="9006"/>
      <c r="CE11" s="9006"/>
      <c r="CF11" s="9006"/>
      <c r="CG11" s="9006"/>
      <c r="CH11" s="9006"/>
      <c r="CI11" s="9006"/>
      <c r="CJ11" s="9006"/>
      <c r="CK11" s="9007"/>
      <c r="CL11" s="9009"/>
      <c r="CM11" s="9008"/>
      <c r="CN11" s="9008"/>
      <c r="CO11" s="9008"/>
      <c r="CP11" s="9008"/>
      <c r="CQ11" s="9008"/>
      <c r="CR11" s="9008"/>
      <c r="CS11" s="9008"/>
      <c r="CT11" s="9008"/>
      <c r="CU11" s="9008"/>
      <c r="CV11" s="9008"/>
      <c r="CW11" s="9008"/>
      <c r="CX11" s="9025"/>
      <c r="CY11" s="9005" t="s">
        <v>1449</v>
      </c>
      <c r="CZ11" s="9006"/>
      <c r="DA11" s="9006"/>
      <c r="DB11" s="9006"/>
      <c r="DC11" s="9006"/>
      <c r="DD11" s="9006"/>
      <c r="DE11" s="9006"/>
      <c r="DF11" s="9006"/>
      <c r="DG11" s="9006"/>
      <c r="DH11" s="9006"/>
      <c r="DI11" s="9006"/>
      <c r="DJ11" s="9007"/>
      <c r="DK11" s="9009"/>
      <c r="DL11" s="9008"/>
      <c r="DM11" s="9008"/>
      <c r="DN11" s="9008"/>
      <c r="DO11" s="9008"/>
      <c r="DP11" s="9008"/>
      <c r="DQ11" s="9008"/>
      <c r="DR11" s="9008"/>
      <c r="DS11" s="9008"/>
      <c r="DT11" s="9008"/>
      <c r="DU11" s="9008"/>
      <c r="DV11" s="9008"/>
      <c r="DW11" s="9008"/>
      <c r="DX11" s="9008"/>
      <c r="DY11" s="9008"/>
      <c r="DZ11" s="9008"/>
      <c r="EA11" s="9008"/>
      <c r="EB11" s="9008"/>
      <c r="EC11" s="9008"/>
      <c r="ED11" s="9008"/>
      <c r="EE11" s="9008"/>
      <c r="EF11" s="9008"/>
      <c r="EG11" s="9008"/>
      <c r="EH11" s="9008"/>
      <c r="EI11" s="9008"/>
      <c r="EJ11" s="9008"/>
      <c r="EK11" s="9008"/>
      <c r="EL11" s="9008"/>
      <c r="EM11" s="9008"/>
      <c r="EN11" s="9008"/>
      <c r="EO11" s="9008"/>
      <c r="EP11" s="9008"/>
      <c r="EQ11" s="9008"/>
      <c r="ER11" s="9008"/>
      <c r="ES11" s="9008"/>
      <c r="ET11" s="9008"/>
      <c r="EU11" s="9008"/>
      <c r="EV11" s="9008"/>
      <c r="EW11" s="9008"/>
      <c r="EX11" s="9008"/>
      <c r="EY11" s="9008"/>
      <c r="EZ11" s="9008"/>
      <c r="FA11" s="9008"/>
      <c r="FB11" s="9008"/>
      <c r="FC11" s="9008"/>
      <c r="FD11" s="9008"/>
      <c r="FE11" s="9008"/>
      <c r="FF11" s="9008"/>
      <c r="FG11" s="9008"/>
      <c r="FH11" s="9008"/>
      <c r="FI11" s="9008"/>
      <c r="FJ11" s="9008"/>
      <c r="FK11" s="9008"/>
      <c r="FL11" s="9008"/>
      <c r="FM11" s="9008"/>
      <c r="FN11" s="9008"/>
      <c r="FO11" s="9008"/>
      <c r="FP11" s="9008"/>
      <c r="FQ11" s="9008"/>
      <c r="FR11" s="9008"/>
      <c r="FS11" s="9008"/>
      <c r="FT11" s="9008"/>
      <c r="FU11" s="9008"/>
      <c r="FV11" s="9008"/>
      <c r="FW11" s="9020"/>
      <c r="FX11" s="677"/>
    </row>
    <row r="12" spans="2:180" ht="12" customHeight="1">
      <c r="D12" s="849"/>
      <c r="E12" s="848"/>
      <c r="F12" s="8838"/>
      <c r="G12" s="8838"/>
      <c r="H12" s="8838"/>
      <c r="I12" s="8838"/>
      <c r="J12" s="9010"/>
      <c r="K12" s="9010"/>
      <c r="L12" s="9010"/>
      <c r="M12" s="9010"/>
      <c r="N12" s="9010"/>
      <c r="O12" s="8843" t="s">
        <v>1450</v>
      </c>
      <c r="P12" s="8843"/>
      <c r="Q12" s="8843"/>
      <c r="R12" s="8843"/>
      <c r="S12" s="8843" t="s">
        <v>1451</v>
      </c>
      <c r="T12" s="8843"/>
      <c r="U12" s="8843"/>
      <c r="V12" s="8843"/>
      <c r="W12" s="8843"/>
      <c r="X12" s="8843"/>
      <c r="Y12" s="8843"/>
      <c r="Z12" s="8843"/>
      <c r="AA12" s="8843"/>
      <c r="AB12" s="8843"/>
      <c r="AC12" s="9008"/>
      <c r="AD12" s="9008"/>
      <c r="AE12" s="9008"/>
      <c r="AF12" s="9008"/>
      <c r="AG12" s="9008"/>
      <c r="AH12" s="9008"/>
      <c r="AI12" s="9008"/>
      <c r="AJ12" s="9008"/>
      <c r="AK12" s="9008"/>
      <c r="AL12" s="9008"/>
      <c r="AM12" s="9008"/>
      <c r="AN12" s="9008"/>
      <c r="AO12" s="9008"/>
      <c r="AP12" s="9008"/>
      <c r="AQ12" s="9008"/>
      <c r="AR12" s="9008"/>
      <c r="AS12" s="9008"/>
      <c r="AT12" s="9008"/>
      <c r="AU12" s="9008"/>
      <c r="AV12" s="9008"/>
      <c r="AW12" s="9008"/>
      <c r="AX12" s="9008"/>
      <c r="AY12" s="9008"/>
      <c r="AZ12" s="9008"/>
      <c r="BA12" s="9008"/>
      <c r="BB12" s="9008"/>
      <c r="BC12" s="9008"/>
      <c r="BD12" s="9008"/>
      <c r="BE12" s="9008"/>
      <c r="BF12" s="9008"/>
      <c r="BG12" s="9008"/>
      <c r="BH12" s="9008"/>
      <c r="BI12" s="9008"/>
      <c r="BJ12" s="9008"/>
      <c r="BK12" s="9008"/>
      <c r="BL12" s="9008"/>
      <c r="BM12" s="9008"/>
      <c r="BN12" s="9008"/>
      <c r="BO12" s="9008"/>
      <c r="BP12" s="9008"/>
      <c r="BQ12" s="9008"/>
      <c r="BR12" s="9008"/>
      <c r="BS12" s="9025"/>
      <c r="BT12" s="9005" t="s">
        <v>1452</v>
      </c>
      <c r="BU12" s="9006"/>
      <c r="BV12" s="9006"/>
      <c r="BW12" s="9007"/>
      <c r="BX12" s="9005" t="s">
        <v>1453</v>
      </c>
      <c r="BY12" s="9006"/>
      <c r="BZ12" s="9006"/>
      <c r="CA12" s="9007"/>
      <c r="CB12" s="9005" t="s">
        <v>1454</v>
      </c>
      <c r="CC12" s="9007"/>
      <c r="CD12" s="9005" t="s">
        <v>1455</v>
      </c>
      <c r="CE12" s="9006"/>
      <c r="CF12" s="9006"/>
      <c r="CG12" s="9006"/>
      <c r="CH12" s="9006"/>
      <c r="CI12" s="9006"/>
      <c r="CJ12" s="9006"/>
      <c r="CK12" s="9007"/>
      <c r="CL12" s="9009"/>
      <c r="CM12" s="9008"/>
      <c r="CN12" s="9008"/>
      <c r="CO12" s="9008"/>
      <c r="CP12" s="9008"/>
      <c r="CQ12" s="9008"/>
      <c r="CR12" s="9008"/>
      <c r="CS12" s="9008"/>
      <c r="CT12" s="9008"/>
      <c r="CU12" s="9008"/>
      <c r="CV12" s="9008"/>
      <c r="CW12" s="9008"/>
      <c r="CX12" s="9025"/>
      <c r="CY12" s="9005" t="s">
        <v>1456</v>
      </c>
      <c r="CZ12" s="9006"/>
      <c r="DA12" s="9006"/>
      <c r="DB12" s="9006"/>
      <c r="DC12" s="9006"/>
      <c r="DD12" s="9007"/>
      <c r="DE12" s="9005" t="s">
        <v>1457</v>
      </c>
      <c r="DF12" s="9007"/>
      <c r="DG12" s="9005" t="s">
        <v>1455</v>
      </c>
      <c r="DH12" s="9006"/>
      <c r="DI12" s="9006"/>
      <c r="DJ12" s="9007"/>
      <c r="DK12" s="9009"/>
      <c r="DL12" s="9008"/>
      <c r="DM12" s="9008"/>
      <c r="DN12" s="9008"/>
      <c r="DO12" s="9008"/>
      <c r="DP12" s="9008"/>
      <c r="DQ12" s="9008"/>
      <c r="DR12" s="9008"/>
      <c r="DS12" s="9008"/>
      <c r="DT12" s="9008"/>
      <c r="DU12" s="9008"/>
      <c r="DV12" s="9008"/>
      <c r="DW12" s="9008"/>
      <c r="DX12" s="9008"/>
      <c r="DY12" s="9008"/>
      <c r="DZ12" s="9008"/>
      <c r="EA12" s="9008"/>
      <c r="EB12" s="9008"/>
      <c r="EC12" s="9008"/>
      <c r="ED12" s="9008"/>
      <c r="EE12" s="9008"/>
      <c r="EF12" s="9008"/>
      <c r="EG12" s="9008"/>
      <c r="EH12" s="9008"/>
      <c r="EI12" s="9008"/>
      <c r="EJ12" s="9008"/>
      <c r="EK12" s="9008"/>
      <c r="EL12" s="9008"/>
      <c r="EM12" s="9008"/>
      <c r="EN12" s="9008"/>
      <c r="EO12" s="9008"/>
      <c r="EP12" s="9008"/>
      <c r="EQ12" s="9008"/>
      <c r="ER12" s="9008"/>
      <c r="ES12" s="9008"/>
      <c r="ET12" s="9008"/>
      <c r="EU12" s="9008"/>
      <c r="EV12" s="9008"/>
      <c r="EW12" s="9008"/>
      <c r="EX12" s="9008"/>
      <c r="EY12" s="9008"/>
      <c r="EZ12" s="9008"/>
      <c r="FA12" s="9008"/>
      <c r="FB12" s="9008"/>
      <c r="FC12" s="9008"/>
      <c r="FD12" s="9008"/>
      <c r="FE12" s="9008"/>
      <c r="FF12" s="9008"/>
      <c r="FG12" s="9008"/>
      <c r="FH12" s="9008"/>
      <c r="FI12" s="9008"/>
      <c r="FJ12" s="9008"/>
      <c r="FK12" s="9008"/>
      <c r="FL12" s="9008"/>
      <c r="FM12" s="9008"/>
      <c r="FN12" s="9008"/>
      <c r="FO12" s="9008"/>
      <c r="FP12" s="9008"/>
      <c r="FQ12" s="9008"/>
      <c r="FR12" s="9008"/>
      <c r="FS12" s="9008"/>
      <c r="FT12" s="9008"/>
      <c r="FU12" s="9008"/>
      <c r="FV12" s="9008"/>
      <c r="FW12" s="9020"/>
      <c r="FX12" s="677"/>
    </row>
    <row r="13" spans="2:180" ht="36" customHeight="1">
      <c r="D13" s="849"/>
      <c r="E13" s="848"/>
      <c r="F13" s="8838"/>
      <c r="G13" s="8838"/>
      <c r="H13" s="8838"/>
      <c r="I13" s="8838"/>
      <c r="J13" s="9010"/>
      <c r="K13" s="9010"/>
      <c r="L13" s="9010"/>
      <c r="M13" s="9010"/>
      <c r="N13" s="9010"/>
      <c r="O13" s="8843" t="s">
        <v>1458</v>
      </c>
      <c r="P13" s="8843"/>
      <c r="Q13" s="8843"/>
      <c r="R13" s="8843"/>
      <c r="S13" s="8929" t="s">
        <v>1459</v>
      </c>
      <c r="T13" s="8988"/>
      <c r="U13" s="8753" t="s">
        <v>1460</v>
      </c>
      <c r="V13" s="8753"/>
      <c r="W13" s="8753"/>
      <c r="X13" s="8753"/>
      <c r="Y13" s="8753" t="s">
        <v>1461</v>
      </c>
      <c r="Z13" s="8753"/>
      <c r="AA13" s="8753"/>
      <c r="AB13" s="8753"/>
      <c r="AC13" s="9008"/>
      <c r="AD13" s="9008"/>
      <c r="AE13" s="9008"/>
      <c r="AF13" s="9008"/>
      <c r="AG13" s="9008"/>
      <c r="AH13" s="9008"/>
      <c r="AI13" s="9008"/>
      <c r="AJ13" s="9008"/>
      <c r="AK13" s="9008"/>
      <c r="AL13" s="9008"/>
      <c r="AM13" s="9008"/>
      <c r="AN13" s="9008"/>
      <c r="AO13" s="9008"/>
      <c r="AP13" s="9008"/>
      <c r="AQ13" s="9008"/>
      <c r="AR13" s="9008"/>
      <c r="AS13" s="9008"/>
      <c r="AT13" s="9008"/>
      <c r="AU13" s="9008"/>
      <c r="AV13" s="9008"/>
      <c r="AW13" s="9008"/>
      <c r="AX13" s="9008"/>
      <c r="AY13" s="9008"/>
      <c r="AZ13" s="9008"/>
      <c r="BA13" s="9008"/>
      <c r="BB13" s="9008"/>
      <c r="BC13" s="9008"/>
      <c r="BD13" s="9008"/>
      <c r="BE13" s="9008"/>
      <c r="BF13" s="9008"/>
      <c r="BG13" s="9008"/>
      <c r="BH13" s="9008"/>
      <c r="BI13" s="9008"/>
      <c r="BJ13" s="9008"/>
      <c r="BK13" s="9008"/>
      <c r="BL13" s="9008"/>
      <c r="BM13" s="9008"/>
      <c r="BN13" s="9008"/>
      <c r="BO13" s="9008"/>
      <c r="BP13" s="9008"/>
      <c r="BQ13" s="9008"/>
      <c r="BR13" s="9008"/>
      <c r="BS13" s="9025"/>
      <c r="BT13" s="8929" t="s">
        <v>1462</v>
      </c>
      <c r="BU13" s="8988"/>
      <c r="BV13" s="8929" t="s">
        <v>1463</v>
      </c>
      <c r="BW13" s="8988"/>
      <c r="BX13" s="8929" t="s">
        <v>1464</v>
      </c>
      <c r="BY13" s="8988"/>
      <c r="BZ13" s="8929" t="s">
        <v>1465</v>
      </c>
      <c r="CA13" s="8988"/>
      <c r="CB13" s="8929" t="s">
        <v>1466</v>
      </c>
      <c r="CC13" s="8988"/>
      <c r="CD13" s="8929" t="s">
        <v>1467</v>
      </c>
      <c r="CE13" s="8988"/>
      <c r="CF13" s="8929" t="s">
        <v>1468</v>
      </c>
      <c r="CG13" s="8988"/>
      <c r="CH13" s="9005" t="s">
        <v>1469</v>
      </c>
      <c r="CI13" s="9006"/>
      <c r="CJ13" s="9006"/>
      <c r="CK13" s="9007"/>
      <c r="CL13" s="9009"/>
      <c r="CM13" s="9008"/>
      <c r="CN13" s="9008"/>
      <c r="CO13" s="9008"/>
      <c r="CP13" s="9008"/>
      <c r="CQ13" s="9008"/>
      <c r="CR13" s="9008"/>
      <c r="CS13" s="9008"/>
      <c r="CT13" s="9008"/>
      <c r="CU13" s="9008"/>
      <c r="CV13" s="9008"/>
      <c r="CW13" s="9008"/>
      <c r="CX13" s="9025"/>
      <c r="CY13" s="8929" t="s">
        <v>1470</v>
      </c>
      <c r="CZ13" s="8988"/>
      <c r="DA13" s="8929" t="s">
        <v>1471</v>
      </c>
      <c r="DB13" s="8988"/>
      <c r="DC13" s="8929" t="s">
        <v>1472</v>
      </c>
      <c r="DD13" s="8988"/>
      <c r="DE13" s="8929" t="s">
        <v>1473</v>
      </c>
      <c r="DF13" s="8988"/>
      <c r="DG13" s="9005" t="s">
        <v>1474</v>
      </c>
      <c r="DH13" s="9006"/>
      <c r="DI13" s="9006"/>
      <c r="DJ13" s="9007"/>
      <c r="DK13" s="9009"/>
      <c r="DL13" s="9008"/>
      <c r="DM13" s="9008"/>
      <c r="DN13" s="9008"/>
      <c r="DO13" s="9008"/>
      <c r="DP13" s="9008"/>
      <c r="DQ13" s="9008"/>
      <c r="DR13" s="9008"/>
      <c r="DS13" s="9008"/>
      <c r="DT13" s="9008"/>
      <c r="DU13" s="9008"/>
      <c r="DV13" s="9008"/>
      <c r="DW13" s="9008"/>
      <c r="DX13" s="9008"/>
      <c r="DY13" s="9008"/>
      <c r="DZ13" s="9008"/>
      <c r="EA13" s="9008"/>
      <c r="EB13" s="9008"/>
      <c r="EC13" s="9008"/>
      <c r="ED13" s="9008"/>
      <c r="EE13" s="9008"/>
      <c r="EF13" s="9008"/>
      <c r="EG13" s="9008"/>
      <c r="EH13" s="9008"/>
      <c r="EI13" s="9008"/>
      <c r="EJ13" s="9008"/>
      <c r="EK13" s="9008"/>
      <c r="EL13" s="9008"/>
      <c r="EM13" s="9008"/>
      <c r="EN13" s="9008"/>
      <c r="EO13" s="9008"/>
      <c r="EP13" s="9008"/>
      <c r="EQ13" s="9008"/>
      <c r="ER13" s="9008"/>
      <c r="ES13" s="9008"/>
      <c r="ET13" s="9008"/>
      <c r="EU13" s="9008"/>
      <c r="EV13" s="9008"/>
      <c r="EW13" s="9008"/>
      <c r="EX13" s="9008"/>
      <c r="EY13" s="9008"/>
      <c r="EZ13" s="9008"/>
      <c r="FA13" s="9008"/>
      <c r="FB13" s="9008"/>
      <c r="FC13" s="9008"/>
      <c r="FD13" s="9008"/>
      <c r="FE13" s="9008"/>
      <c r="FF13" s="9008"/>
      <c r="FG13" s="9008"/>
      <c r="FH13" s="9008"/>
      <c r="FI13" s="9008"/>
      <c r="FJ13" s="9008"/>
      <c r="FK13" s="9008"/>
      <c r="FL13" s="9008"/>
      <c r="FM13" s="9008"/>
      <c r="FN13" s="9008"/>
      <c r="FO13" s="9008"/>
      <c r="FP13" s="9008"/>
      <c r="FQ13" s="9008"/>
      <c r="FR13" s="9008"/>
      <c r="FS13" s="9008"/>
      <c r="FT13" s="9008"/>
      <c r="FU13" s="9008"/>
      <c r="FV13" s="9008"/>
      <c r="FW13" s="9020"/>
      <c r="FX13" s="677"/>
    </row>
    <row r="14" spans="2:180" ht="36" customHeight="1">
      <c r="D14" s="849"/>
      <c r="E14" s="848"/>
      <c r="F14" s="8838"/>
      <c r="G14" s="8838"/>
      <c r="H14" s="8838"/>
      <c r="I14" s="8838"/>
      <c r="J14" s="9010"/>
      <c r="K14" s="9010"/>
      <c r="L14" s="9010"/>
      <c r="M14" s="9010"/>
      <c r="N14" s="9010"/>
      <c r="O14" s="8929" t="s">
        <v>1475</v>
      </c>
      <c r="P14" s="8988"/>
      <c r="Q14" s="8929" t="s">
        <v>1476</v>
      </c>
      <c r="R14" s="8988"/>
      <c r="S14" s="8930"/>
      <c r="T14" s="8844"/>
      <c r="U14" s="8929" t="s">
        <v>1208</v>
      </c>
      <c r="V14" s="8988"/>
      <c r="W14" s="8929" t="s">
        <v>1211</v>
      </c>
      <c r="X14" s="8988"/>
      <c r="Y14" s="8929" t="s">
        <v>1208</v>
      </c>
      <c r="Z14" s="8988"/>
      <c r="AA14" s="8929" t="s">
        <v>1218</v>
      </c>
      <c r="AB14" s="8988"/>
      <c r="AC14" s="9008"/>
      <c r="AD14" s="9008"/>
      <c r="AE14" s="9008"/>
      <c r="AF14" s="9008"/>
      <c r="AG14" s="9008"/>
      <c r="AH14" s="9008"/>
      <c r="AI14" s="9008"/>
      <c r="AJ14" s="9008"/>
      <c r="AK14" s="9008"/>
      <c r="AL14" s="9008"/>
      <c r="AM14" s="9008"/>
      <c r="AN14" s="9008"/>
      <c r="AO14" s="9008"/>
      <c r="AP14" s="9008"/>
      <c r="AQ14" s="9008"/>
      <c r="AR14" s="9008"/>
      <c r="AS14" s="9008"/>
      <c r="AT14" s="9008"/>
      <c r="AU14" s="9008"/>
      <c r="AV14" s="9008"/>
      <c r="AW14" s="9008"/>
      <c r="AX14" s="9008"/>
      <c r="AY14" s="9008"/>
      <c r="AZ14" s="9008"/>
      <c r="BA14" s="9008"/>
      <c r="BB14" s="9008"/>
      <c r="BC14" s="9008"/>
      <c r="BD14" s="9008"/>
      <c r="BE14" s="9008"/>
      <c r="BF14" s="9008"/>
      <c r="BG14" s="9008"/>
      <c r="BH14" s="9008"/>
      <c r="BI14" s="9008"/>
      <c r="BJ14" s="9008"/>
      <c r="BK14" s="9008"/>
      <c r="BL14" s="9008"/>
      <c r="BM14" s="9008"/>
      <c r="BN14" s="9008"/>
      <c r="BO14" s="9008"/>
      <c r="BP14" s="9008"/>
      <c r="BQ14" s="9008"/>
      <c r="BR14" s="9008"/>
      <c r="BS14" s="9025"/>
      <c r="BT14" s="8930"/>
      <c r="BU14" s="8844"/>
      <c r="BV14" s="8930"/>
      <c r="BW14" s="8844"/>
      <c r="BX14" s="8930"/>
      <c r="BY14" s="8844"/>
      <c r="BZ14" s="8930"/>
      <c r="CA14" s="8844"/>
      <c r="CB14" s="8930"/>
      <c r="CC14" s="8844"/>
      <c r="CD14" s="8930"/>
      <c r="CE14" s="8844"/>
      <c r="CF14" s="8930"/>
      <c r="CG14" s="8844"/>
      <c r="CH14" s="8929" t="s">
        <v>1477</v>
      </c>
      <c r="CI14" s="8988"/>
      <c r="CJ14" s="8929" t="s">
        <v>1478</v>
      </c>
      <c r="CK14" s="8988"/>
      <c r="CL14" s="9009"/>
      <c r="CM14" s="9008"/>
      <c r="CN14" s="9008"/>
      <c r="CO14" s="9008"/>
      <c r="CP14" s="9008"/>
      <c r="CQ14" s="9008"/>
      <c r="CR14" s="9008"/>
      <c r="CS14" s="9008"/>
      <c r="CT14" s="9008"/>
      <c r="CU14" s="9008"/>
      <c r="CV14" s="9008"/>
      <c r="CW14" s="9008"/>
      <c r="CX14" s="9025"/>
      <c r="CY14" s="8930"/>
      <c r="CZ14" s="8844"/>
      <c r="DA14" s="8930"/>
      <c r="DB14" s="8844"/>
      <c r="DC14" s="8930"/>
      <c r="DD14" s="8844"/>
      <c r="DE14" s="8930"/>
      <c r="DF14" s="8844"/>
      <c r="DG14" s="8929" t="s">
        <v>1479</v>
      </c>
      <c r="DH14" s="8988"/>
      <c r="DI14" s="8929" t="s">
        <v>1480</v>
      </c>
      <c r="DJ14" s="8988"/>
      <c r="DK14" s="9009"/>
      <c r="DL14" s="9008"/>
      <c r="DM14" s="9008"/>
      <c r="DN14" s="9008"/>
      <c r="DO14" s="9008"/>
      <c r="DP14" s="9008"/>
      <c r="DQ14" s="9008"/>
      <c r="DR14" s="9008"/>
      <c r="DS14" s="9008"/>
      <c r="DT14" s="9008"/>
      <c r="DU14" s="9008"/>
      <c r="DV14" s="9008"/>
      <c r="DW14" s="9008"/>
      <c r="DX14" s="9008"/>
      <c r="DY14" s="9008"/>
      <c r="DZ14" s="9008"/>
      <c r="EA14" s="9008"/>
      <c r="EB14" s="9008"/>
      <c r="EC14" s="9008"/>
      <c r="ED14" s="9008"/>
      <c r="EE14" s="9008"/>
      <c r="EF14" s="9008"/>
      <c r="EG14" s="9008"/>
      <c r="EH14" s="9008"/>
      <c r="EI14" s="9008"/>
      <c r="EJ14" s="9008"/>
      <c r="EK14" s="9008"/>
      <c r="EL14" s="9008"/>
      <c r="EM14" s="9008"/>
      <c r="EN14" s="9008"/>
      <c r="EO14" s="9008"/>
      <c r="EP14" s="9008"/>
      <c r="EQ14" s="9008"/>
      <c r="ER14" s="9008"/>
      <c r="ES14" s="9008"/>
      <c r="ET14" s="9008"/>
      <c r="EU14" s="9008"/>
      <c r="EV14" s="9008"/>
      <c r="EW14" s="9008"/>
      <c r="EX14" s="9008"/>
      <c r="EY14" s="9008"/>
      <c r="EZ14" s="9008"/>
      <c r="FA14" s="9008"/>
      <c r="FB14" s="9008"/>
      <c r="FC14" s="9008"/>
      <c r="FD14" s="9008"/>
      <c r="FE14" s="9008"/>
      <c r="FF14" s="9008"/>
      <c r="FG14" s="9008"/>
      <c r="FH14" s="9008"/>
      <c r="FI14" s="9008"/>
      <c r="FJ14" s="9008"/>
      <c r="FK14" s="9008"/>
      <c r="FL14" s="9008"/>
      <c r="FM14" s="9008"/>
      <c r="FN14" s="9008"/>
      <c r="FO14" s="9008"/>
      <c r="FP14" s="9008"/>
      <c r="FQ14" s="9008"/>
      <c r="FR14" s="9008"/>
      <c r="FS14" s="9008"/>
      <c r="FT14" s="9008"/>
      <c r="FU14" s="9008"/>
      <c r="FV14" s="9008"/>
      <c r="FW14" s="9020"/>
      <c r="FX14" s="677"/>
    </row>
    <row r="15" spans="2:180" ht="36" customHeight="1">
      <c r="D15" s="849"/>
      <c r="E15" s="848"/>
      <c r="F15" s="8838"/>
      <c r="G15" s="8838"/>
      <c r="H15" s="8838"/>
      <c r="I15" s="8838"/>
      <c r="J15" s="9010"/>
      <c r="K15" s="9010"/>
      <c r="L15" s="9010"/>
      <c r="M15" s="9010"/>
      <c r="N15" s="9010"/>
      <c r="O15" s="8931"/>
      <c r="P15" s="8989"/>
      <c r="Q15" s="8931"/>
      <c r="R15" s="8989"/>
      <c r="S15" s="8931"/>
      <c r="T15" s="8989"/>
      <c r="U15" s="8931"/>
      <c r="V15" s="8989"/>
      <c r="W15" s="8931"/>
      <c r="X15" s="8989"/>
      <c r="Y15" s="8931"/>
      <c r="Z15" s="8989"/>
      <c r="AA15" s="8931"/>
      <c r="AB15" s="8989"/>
      <c r="AC15" s="9008"/>
      <c r="AD15" s="9008"/>
      <c r="AE15" s="9008"/>
      <c r="AF15" s="9008"/>
      <c r="AG15" s="9008"/>
      <c r="AH15" s="9008"/>
      <c r="AI15" s="9008"/>
      <c r="AJ15" s="9008"/>
      <c r="AK15" s="9008"/>
      <c r="AL15" s="9008"/>
      <c r="AM15" s="9008"/>
      <c r="AN15" s="9008"/>
      <c r="AO15" s="9008"/>
      <c r="AP15" s="9008"/>
      <c r="AQ15" s="9008"/>
      <c r="AR15" s="9008"/>
      <c r="AS15" s="9008"/>
      <c r="AT15" s="9008"/>
      <c r="AU15" s="9008"/>
      <c r="AV15" s="9008"/>
      <c r="AW15" s="9008"/>
      <c r="AX15" s="9008"/>
      <c r="AY15" s="9008"/>
      <c r="AZ15" s="9008"/>
      <c r="BA15" s="9008"/>
      <c r="BB15" s="9008"/>
      <c r="BC15" s="9008"/>
      <c r="BD15" s="9008"/>
      <c r="BE15" s="9008"/>
      <c r="BF15" s="9008"/>
      <c r="BG15" s="9008"/>
      <c r="BH15" s="9008"/>
      <c r="BI15" s="9008"/>
      <c r="BJ15" s="9008"/>
      <c r="BK15" s="9008"/>
      <c r="BL15" s="9008"/>
      <c r="BM15" s="9008"/>
      <c r="BN15" s="9008"/>
      <c r="BO15" s="9008"/>
      <c r="BP15" s="9008"/>
      <c r="BQ15" s="9008"/>
      <c r="BR15" s="9008"/>
      <c r="BS15" s="9025"/>
      <c r="BT15" s="8931"/>
      <c r="BU15" s="8989"/>
      <c r="BV15" s="8931"/>
      <c r="BW15" s="8989"/>
      <c r="BX15" s="8931"/>
      <c r="BY15" s="8989"/>
      <c r="BZ15" s="8931"/>
      <c r="CA15" s="8989"/>
      <c r="CB15" s="8931"/>
      <c r="CC15" s="8989"/>
      <c r="CD15" s="8931"/>
      <c r="CE15" s="8989"/>
      <c r="CF15" s="8931"/>
      <c r="CG15" s="8989"/>
      <c r="CH15" s="8931"/>
      <c r="CI15" s="8989"/>
      <c r="CJ15" s="8931"/>
      <c r="CK15" s="8989"/>
      <c r="CL15" s="9009"/>
      <c r="CM15" s="9008"/>
      <c r="CN15" s="9008"/>
      <c r="CO15" s="9008"/>
      <c r="CP15" s="9008"/>
      <c r="CQ15" s="9008"/>
      <c r="CR15" s="9008"/>
      <c r="CS15" s="9008"/>
      <c r="CT15" s="9008"/>
      <c r="CU15" s="9008"/>
      <c r="CV15" s="9008"/>
      <c r="CW15" s="9008"/>
      <c r="CX15" s="9025"/>
      <c r="CY15" s="8931"/>
      <c r="CZ15" s="8989"/>
      <c r="DA15" s="8931"/>
      <c r="DB15" s="8989"/>
      <c r="DC15" s="8931"/>
      <c r="DD15" s="8989"/>
      <c r="DE15" s="8931"/>
      <c r="DF15" s="8989"/>
      <c r="DG15" s="8931"/>
      <c r="DH15" s="8989"/>
      <c r="DI15" s="8931"/>
      <c r="DJ15" s="8989"/>
      <c r="DK15" s="9009"/>
      <c r="DL15" s="9008"/>
      <c r="DM15" s="9008"/>
      <c r="DN15" s="9008"/>
      <c r="DO15" s="9008"/>
      <c r="DP15" s="9008"/>
      <c r="DQ15" s="9008"/>
      <c r="DR15" s="9008"/>
      <c r="DS15" s="9008"/>
      <c r="DT15" s="9008"/>
      <c r="DU15" s="9008"/>
      <c r="DV15" s="9008"/>
      <c r="DW15" s="9008"/>
      <c r="DX15" s="9008"/>
      <c r="DY15" s="9008"/>
      <c r="DZ15" s="9008"/>
      <c r="EA15" s="9008"/>
      <c r="EB15" s="9008"/>
      <c r="EC15" s="9008"/>
      <c r="ED15" s="9008"/>
      <c r="EE15" s="9008"/>
      <c r="EF15" s="9008"/>
      <c r="EG15" s="9008"/>
      <c r="EH15" s="9008"/>
      <c r="EI15" s="9008"/>
      <c r="EJ15" s="9008"/>
      <c r="EK15" s="9008"/>
      <c r="EL15" s="9008"/>
      <c r="EM15" s="9008"/>
      <c r="EN15" s="9008"/>
      <c r="EO15" s="9008"/>
      <c r="EP15" s="9008"/>
      <c r="EQ15" s="9008"/>
      <c r="ER15" s="9008"/>
      <c r="ES15" s="9008"/>
      <c r="ET15" s="9008"/>
      <c r="EU15" s="9008"/>
      <c r="EV15" s="9008"/>
      <c r="EW15" s="9008"/>
      <c r="EX15" s="9008"/>
      <c r="EY15" s="9008"/>
      <c r="EZ15" s="9008"/>
      <c r="FA15" s="9008"/>
      <c r="FB15" s="9008"/>
      <c r="FC15" s="9008"/>
      <c r="FD15" s="9008"/>
      <c r="FE15" s="9008"/>
      <c r="FF15" s="9008"/>
      <c r="FG15" s="9008"/>
      <c r="FH15" s="9008"/>
      <c r="FI15" s="9008"/>
      <c r="FJ15" s="9008"/>
      <c r="FK15" s="9008"/>
      <c r="FL15" s="9008"/>
      <c r="FM15" s="9008"/>
      <c r="FN15" s="9008"/>
      <c r="FO15" s="9008"/>
      <c r="FP15" s="9008"/>
      <c r="FQ15" s="9008"/>
      <c r="FR15" s="9008"/>
      <c r="FS15" s="9008"/>
      <c r="FT15" s="9008"/>
      <c r="FU15" s="9008"/>
      <c r="FV15" s="9008"/>
      <c r="FW15" s="9020"/>
      <c r="FX15" s="677"/>
    </row>
    <row r="16" spans="2:180" ht="12" customHeight="1">
      <c r="D16" s="849"/>
      <c r="E16" s="848"/>
      <c r="F16" s="8838"/>
      <c r="G16" s="8838"/>
      <c r="H16" s="8838"/>
      <c r="I16" s="8838"/>
      <c r="J16" s="9010"/>
      <c r="K16" s="9010"/>
      <c r="L16" s="9010"/>
      <c r="M16" s="9010"/>
      <c r="N16" s="9010"/>
      <c r="O16" s="9005" t="s">
        <v>1198</v>
      </c>
      <c r="P16" s="9007"/>
      <c r="Q16" s="9005" t="s">
        <v>1200</v>
      </c>
      <c r="R16" s="9007"/>
      <c r="S16" s="9005" t="s">
        <v>1204</v>
      </c>
      <c r="T16" s="9007"/>
      <c r="U16" s="9005" t="s">
        <v>1209</v>
      </c>
      <c r="V16" s="9007"/>
      <c r="W16" s="9005" t="s">
        <v>1212</v>
      </c>
      <c r="X16" s="9007"/>
      <c r="Y16" s="9005" t="s">
        <v>1216</v>
      </c>
      <c r="Z16" s="9007"/>
      <c r="AA16" s="9005" t="s">
        <v>1219</v>
      </c>
      <c r="AB16" s="9007"/>
      <c r="AC16" s="9008"/>
      <c r="AD16" s="9008"/>
      <c r="AE16" s="9008"/>
      <c r="AF16" s="9008"/>
      <c r="AG16" s="9008"/>
      <c r="AH16" s="9008"/>
      <c r="AI16" s="9008"/>
      <c r="AJ16" s="9008"/>
      <c r="AK16" s="9008"/>
      <c r="AL16" s="9008"/>
      <c r="AM16" s="9008"/>
      <c r="AN16" s="9008"/>
      <c r="AO16" s="9008"/>
      <c r="AP16" s="9008"/>
      <c r="AQ16" s="9008"/>
      <c r="AR16" s="9008"/>
      <c r="AS16" s="9008"/>
      <c r="AT16" s="9008"/>
      <c r="AU16" s="9008"/>
      <c r="AV16" s="9008"/>
      <c r="AW16" s="9008"/>
      <c r="AX16" s="9008"/>
      <c r="AY16" s="9008"/>
      <c r="AZ16" s="9008"/>
      <c r="BA16" s="9008"/>
      <c r="BB16" s="9008"/>
      <c r="BC16" s="9008"/>
      <c r="BD16" s="9008"/>
      <c r="BE16" s="9008"/>
      <c r="BF16" s="9008"/>
      <c r="BG16" s="9008"/>
      <c r="BH16" s="9008"/>
      <c r="BI16" s="9008"/>
      <c r="BJ16" s="9008"/>
      <c r="BK16" s="9008"/>
      <c r="BL16" s="9008"/>
      <c r="BM16" s="9008"/>
      <c r="BN16" s="9008"/>
      <c r="BO16" s="9008"/>
      <c r="BP16" s="9008"/>
      <c r="BQ16" s="9008"/>
      <c r="BR16" s="9008"/>
      <c r="BS16" s="9025"/>
      <c r="BT16" s="9005" t="s">
        <v>1016</v>
      </c>
      <c r="BU16" s="9007"/>
      <c r="BV16" s="9005" t="s">
        <v>1016</v>
      </c>
      <c r="BW16" s="9007"/>
      <c r="BX16" s="9005" t="s">
        <v>1016</v>
      </c>
      <c r="BY16" s="9007"/>
      <c r="BZ16" s="9005" t="s">
        <v>1016</v>
      </c>
      <c r="CA16" s="9007"/>
      <c r="CB16" s="9005" t="s">
        <v>1481</v>
      </c>
      <c r="CC16" s="9007"/>
      <c r="CD16" s="9005" t="s">
        <v>1016</v>
      </c>
      <c r="CE16" s="9007"/>
      <c r="CF16" s="9005" t="s">
        <v>1482</v>
      </c>
      <c r="CG16" s="9007"/>
      <c r="CH16" s="9005" t="s">
        <v>1483</v>
      </c>
      <c r="CI16" s="9007"/>
      <c r="CJ16" s="9005" t="s">
        <v>1483</v>
      </c>
      <c r="CK16" s="9007"/>
      <c r="CL16" s="9009"/>
      <c r="CM16" s="9008"/>
      <c r="CN16" s="9008"/>
      <c r="CO16" s="9008"/>
      <c r="CP16" s="9008"/>
      <c r="CQ16" s="9008"/>
      <c r="CR16" s="9008"/>
      <c r="CS16" s="9008"/>
      <c r="CT16" s="9008"/>
      <c r="CU16" s="9008"/>
      <c r="CV16" s="9008"/>
      <c r="CW16" s="9008"/>
      <c r="CX16" s="9025"/>
      <c r="CY16" s="8929" t="s">
        <v>1016</v>
      </c>
      <c r="CZ16" s="8988"/>
      <c r="DA16" s="8929" t="s">
        <v>1016</v>
      </c>
      <c r="DB16" s="8988"/>
      <c r="DC16" s="8929" t="s">
        <v>1016</v>
      </c>
      <c r="DD16" s="8988"/>
      <c r="DE16" s="9005" t="s">
        <v>1481</v>
      </c>
      <c r="DF16" s="9007"/>
      <c r="DG16" s="9005" t="s">
        <v>1484</v>
      </c>
      <c r="DH16" s="9007"/>
      <c r="DI16" s="9005" t="s">
        <v>1484</v>
      </c>
      <c r="DJ16" s="9007"/>
      <c r="DK16" s="9009"/>
      <c r="DL16" s="9008"/>
      <c r="DM16" s="9008"/>
      <c r="DN16" s="9008"/>
      <c r="DO16" s="9008"/>
      <c r="DP16" s="9008"/>
      <c r="DQ16" s="9008"/>
      <c r="DR16" s="9008"/>
      <c r="DS16" s="9008"/>
      <c r="DT16" s="9008"/>
      <c r="DU16" s="9008"/>
      <c r="DV16" s="9008"/>
      <c r="DW16" s="9008"/>
      <c r="DX16" s="9008"/>
      <c r="DY16" s="9008"/>
      <c r="DZ16" s="9008"/>
      <c r="EA16" s="9008"/>
      <c r="EB16" s="9008"/>
      <c r="EC16" s="9008"/>
      <c r="ED16" s="9008"/>
      <c r="EE16" s="9008"/>
      <c r="EF16" s="9008"/>
      <c r="EG16" s="9008"/>
      <c r="EH16" s="9008"/>
      <c r="EI16" s="9008"/>
      <c r="EJ16" s="9008"/>
      <c r="EK16" s="9008"/>
      <c r="EL16" s="9008"/>
      <c r="EM16" s="9008"/>
      <c r="EN16" s="9008"/>
      <c r="EO16" s="9008"/>
      <c r="EP16" s="9008"/>
      <c r="EQ16" s="9008"/>
      <c r="ER16" s="9008"/>
      <c r="ES16" s="9008"/>
      <c r="ET16" s="9008"/>
      <c r="EU16" s="9008"/>
      <c r="EV16" s="9008"/>
      <c r="EW16" s="9008"/>
      <c r="EX16" s="9008"/>
      <c r="EY16" s="9008"/>
      <c r="EZ16" s="9008"/>
      <c r="FA16" s="9008"/>
      <c r="FB16" s="9008"/>
      <c r="FC16" s="9008"/>
      <c r="FD16" s="9008"/>
      <c r="FE16" s="9008"/>
      <c r="FF16" s="9008"/>
      <c r="FG16" s="9008"/>
      <c r="FH16" s="9008"/>
      <c r="FI16" s="9008"/>
      <c r="FJ16" s="9008"/>
      <c r="FK16" s="9008"/>
      <c r="FL16" s="9008"/>
      <c r="FM16" s="9008"/>
      <c r="FN16" s="9008"/>
      <c r="FO16" s="9008"/>
      <c r="FP16" s="9008"/>
      <c r="FQ16" s="9008"/>
      <c r="FR16" s="9008"/>
      <c r="FS16" s="9008"/>
      <c r="FT16" s="9008"/>
      <c r="FU16" s="9008"/>
      <c r="FV16" s="9008"/>
      <c r="FW16" s="9020"/>
      <c r="FX16" s="677"/>
    </row>
    <row r="17" spans="1:184" ht="15" customHeight="1">
      <c r="E17" s="848"/>
      <c r="F17" s="8838"/>
      <c r="G17" s="8838"/>
      <c r="H17" s="8838"/>
      <c r="I17" s="8838"/>
      <c r="J17" s="9010"/>
      <c r="K17" s="9010"/>
      <c r="L17" s="9010"/>
      <c r="M17" s="9010"/>
      <c r="N17" s="9010"/>
      <c r="O17" s="1098" t="s">
        <v>1485</v>
      </c>
      <c r="P17" s="1098" t="s">
        <v>1486</v>
      </c>
      <c r="Q17" s="1098" t="s">
        <v>1485</v>
      </c>
      <c r="R17" s="1098" t="s">
        <v>1486</v>
      </c>
      <c r="S17" s="1098" t="s">
        <v>1485</v>
      </c>
      <c r="T17" s="1098" t="s">
        <v>1486</v>
      </c>
      <c r="U17" s="1098" t="s">
        <v>1485</v>
      </c>
      <c r="V17" s="1098" t="s">
        <v>1486</v>
      </c>
      <c r="W17" s="1098" t="s">
        <v>1485</v>
      </c>
      <c r="X17" s="1098" t="s">
        <v>1486</v>
      </c>
      <c r="Y17" s="1098" t="s">
        <v>1485</v>
      </c>
      <c r="Z17" s="1098" t="s">
        <v>1486</v>
      </c>
      <c r="AA17" s="1098" t="s">
        <v>1485</v>
      </c>
      <c r="AB17" s="1098" t="s">
        <v>1486</v>
      </c>
      <c r="AC17" s="9008"/>
      <c r="AD17" s="9008"/>
      <c r="AE17" s="9008"/>
      <c r="AF17" s="9008"/>
      <c r="AG17" s="9008"/>
      <c r="AH17" s="9008"/>
      <c r="AI17" s="9008"/>
      <c r="AJ17" s="9008"/>
      <c r="AK17" s="9008"/>
      <c r="AL17" s="9008"/>
      <c r="AM17" s="9008"/>
      <c r="AN17" s="9008"/>
      <c r="AO17" s="9008"/>
      <c r="AP17" s="9008"/>
      <c r="AQ17" s="9008"/>
      <c r="AR17" s="9008"/>
      <c r="AS17" s="9008"/>
      <c r="AT17" s="9008"/>
      <c r="AU17" s="9008"/>
      <c r="AV17" s="9008"/>
      <c r="AW17" s="9008"/>
      <c r="AX17" s="9008"/>
      <c r="AY17" s="9008"/>
      <c r="AZ17" s="9008"/>
      <c r="BA17" s="9008"/>
      <c r="BB17" s="9008"/>
      <c r="BC17" s="9008"/>
      <c r="BD17" s="9008"/>
      <c r="BE17" s="9008"/>
      <c r="BF17" s="9008"/>
      <c r="BG17" s="9008"/>
      <c r="BH17" s="9008"/>
      <c r="BI17" s="9008"/>
      <c r="BJ17" s="9008"/>
      <c r="BK17" s="9008"/>
      <c r="BL17" s="9008"/>
      <c r="BM17" s="9008"/>
      <c r="BN17" s="9008"/>
      <c r="BO17" s="9008"/>
      <c r="BP17" s="9008"/>
      <c r="BQ17" s="9008"/>
      <c r="BR17" s="9008"/>
      <c r="BS17" s="9025"/>
      <c r="BT17" s="1098" t="s">
        <v>1485</v>
      </c>
      <c r="BU17" s="1098" t="s">
        <v>1486</v>
      </c>
      <c r="BV17" s="1098" t="s">
        <v>1485</v>
      </c>
      <c r="BW17" s="1098" t="s">
        <v>1486</v>
      </c>
      <c r="BX17" s="1098" t="s">
        <v>1485</v>
      </c>
      <c r="BY17" s="1098" t="s">
        <v>1486</v>
      </c>
      <c r="BZ17" s="1098" t="s">
        <v>1485</v>
      </c>
      <c r="CA17" s="1098" t="s">
        <v>1486</v>
      </c>
      <c r="CB17" s="1098" t="s">
        <v>1485</v>
      </c>
      <c r="CC17" s="1098" t="s">
        <v>1486</v>
      </c>
      <c r="CD17" s="1098" t="s">
        <v>1485</v>
      </c>
      <c r="CE17" s="1098" t="s">
        <v>1486</v>
      </c>
      <c r="CF17" s="1098" t="s">
        <v>1485</v>
      </c>
      <c r="CG17" s="1098" t="s">
        <v>1486</v>
      </c>
      <c r="CH17" s="1098" t="s">
        <v>1485</v>
      </c>
      <c r="CI17" s="1098" t="s">
        <v>1486</v>
      </c>
      <c r="CJ17" s="1098" t="s">
        <v>1485</v>
      </c>
      <c r="CK17" s="1098" t="s">
        <v>1486</v>
      </c>
      <c r="CL17" s="9009"/>
      <c r="CM17" s="9008"/>
      <c r="CN17" s="9008"/>
      <c r="CO17" s="9008"/>
      <c r="CP17" s="9008"/>
      <c r="CQ17" s="9008"/>
      <c r="CR17" s="9008"/>
      <c r="CS17" s="9008"/>
      <c r="CT17" s="9008"/>
      <c r="CU17" s="9008"/>
      <c r="CV17" s="9008"/>
      <c r="CW17" s="9008"/>
      <c r="CX17" s="9025"/>
      <c r="CY17" s="1098" t="s">
        <v>1485</v>
      </c>
      <c r="CZ17" s="1098" t="s">
        <v>1486</v>
      </c>
      <c r="DA17" s="1098" t="s">
        <v>1485</v>
      </c>
      <c r="DB17" s="1098" t="s">
        <v>1486</v>
      </c>
      <c r="DC17" s="1098" t="s">
        <v>1485</v>
      </c>
      <c r="DD17" s="1098" t="s">
        <v>1486</v>
      </c>
      <c r="DE17" s="1098" t="s">
        <v>1485</v>
      </c>
      <c r="DF17" s="1098" t="s">
        <v>1486</v>
      </c>
      <c r="DG17" s="1098" t="s">
        <v>1485</v>
      </c>
      <c r="DH17" s="1098" t="s">
        <v>1486</v>
      </c>
      <c r="DI17" s="1098" t="s">
        <v>1485</v>
      </c>
      <c r="DJ17" s="1098" t="s">
        <v>1486</v>
      </c>
      <c r="DK17" s="9009"/>
      <c r="DL17" s="9008"/>
      <c r="DM17" s="9008"/>
      <c r="DN17" s="9008"/>
      <c r="DO17" s="9008"/>
      <c r="DP17" s="9008"/>
      <c r="DQ17" s="9008"/>
      <c r="DR17" s="9008"/>
      <c r="DS17" s="9008"/>
      <c r="DT17" s="9008"/>
      <c r="DU17" s="9008"/>
      <c r="DV17" s="9008"/>
      <c r="DW17" s="9008"/>
      <c r="DX17" s="9008"/>
      <c r="DY17" s="9008"/>
      <c r="DZ17" s="9008"/>
      <c r="EA17" s="9008"/>
      <c r="EB17" s="9008"/>
      <c r="EC17" s="9008"/>
      <c r="ED17" s="9008"/>
      <c r="EE17" s="9008"/>
      <c r="EF17" s="9008"/>
      <c r="EG17" s="9008"/>
      <c r="EH17" s="9008"/>
      <c r="EI17" s="9008"/>
      <c r="EJ17" s="9008"/>
      <c r="EK17" s="9008"/>
      <c r="EL17" s="9008"/>
      <c r="EM17" s="9008"/>
      <c r="EN17" s="9008"/>
      <c r="EO17" s="9008"/>
      <c r="EP17" s="9008"/>
      <c r="EQ17" s="9008"/>
      <c r="ER17" s="9008"/>
      <c r="ES17" s="9008"/>
      <c r="ET17" s="9008"/>
      <c r="EU17" s="9008"/>
      <c r="EV17" s="9008"/>
      <c r="EW17" s="9008"/>
      <c r="EX17" s="9008"/>
      <c r="EY17" s="9008"/>
      <c r="EZ17" s="9008"/>
      <c r="FA17" s="9008"/>
      <c r="FB17" s="9008"/>
      <c r="FC17" s="9008"/>
      <c r="FD17" s="9008"/>
      <c r="FE17" s="9008"/>
      <c r="FF17" s="9008"/>
      <c r="FG17" s="9008"/>
      <c r="FH17" s="9008"/>
      <c r="FI17" s="9008"/>
      <c r="FJ17" s="9008"/>
      <c r="FK17" s="9008"/>
      <c r="FL17" s="9008"/>
      <c r="FM17" s="9008"/>
      <c r="FN17" s="9008"/>
      <c r="FO17" s="9008"/>
      <c r="FP17" s="9008"/>
      <c r="FQ17" s="9008"/>
      <c r="FR17" s="9008"/>
      <c r="FS17" s="9008"/>
      <c r="FT17" s="9008"/>
      <c r="FU17" s="9008"/>
      <c r="FV17" s="9008"/>
      <c r="FW17" s="9021"/>
      <c r="FX17" s="677"/>
    </row>
    <row r="18" spans="1:184" s="838" customFormat="1" ht="12" hidden="1" customHeight="1">
      <c r="B18" s="836"/>
      <c r="E18" s="850"/>
      <c r="F18" s="1099"/>
      <c r="G18" s="1099"/>
      <c r="H18" s="1099"/>
      <c r="I18" s="1099"/>
      <c r="J18" s="1100"/>
      <c r="K18" s="1100"/>
      <c r="L18" s="1100"/>
      <c r="M18" s="1100"/>
      <c r="N18" s="1100"/>
      <c r="O18" s="1099"/>
      <c r="P18" s="1099"/>
      <c r="Q18" s="1099"/>
      <c r="R18" s="1099"/>
      <c r="S18" s="1099"/>
      <c r="T18" s="1099"/>
      <c r="U18" s="1101"/>
      <c r="V18" s="1101"/>
      <c r="W18" s="1101"/>
      <c r="X18" s="1101"/>
      <c r="Y18" s="1101"/>
      <c r="Z18" s="1101"/>
      <c r="AA18" s="1101"/>
      <c r="AB18" s="1099"/>
      <c r="AC18" s="1100"/>
      <c r="AD18" s="1100"/>
      <c r="AE18" s="1100"/>
      <c r="AF18" s="1100"/>
      <c r="AG18" s="1100"/>
      <c r="AH18" s="1100"/>
      <c r="AI18" s="1100"/>
      <c r="AJ18" s="1100"/>
      <c r="AK18" s="1100"/>
      <c r="AL18" s="1100"/>
      <c r="AM18" s="1100"/>
      <c r="AN18" s="1100"/>
      <c r="AO18" s="1100"/>
      <c r="AP18" s="1100"/>
      <c r="AQ18" s="1100"/>
      <c r="AR18" s="1100"/>
      <c r="AS18" s="1100"/>
      <c r="AT18" s="1100"/>
      <c r="AU18" s="1100"/>
      <c r="AV18" s="1100"/>
      <c r="AW18" s="1100"/>
      <c r="AX18" s="1100"/>
      <c r="AY18" s="1100"/>
      <c r="AZ18" s="1100"/>
      <c r="BA18" s="1100"/>
      <c r="BB18" s="1100"/>
      <c r="BC18" s="1100"/>
      <c r="BD18" s="1100"/>
      <c r="BE18" s="1100"/>
      <c r="BF18" s="1100"/>
      <c r="BG18" s="1100"/>
      <c r="BH18" s="1100"/>
      <c r="BI18" s="1100"/>
      <c r="BJ18" s="1100"/>
      <c r="BK18" s="1100"/>
      <c r="BL18" s="1100"/>
      <c r="BM18" s="1100"/>
      <c r="BN18" s="1100"/>
      <c r="BO18" s="1100"/>
      <c r="BP18" s="1100"/>
      <c r="BQ18" s="1100"/>
      <c r="BR18" s="1100"/>
      <c r="BS18" s="1100"/>
      <c r="BT18" s="1102"/>
      <c r="BU18" s="1102"/>
      <c r="BV18" s="1102"/>
      <c r="BW18" s="1102"/>
      <c r="BX18" s="1102"/>
      <c r="BY18" s="1102"/>
      <c r="BZ18" s="1102"/>
      <c r="CA18" s="1102"/>
      <c r="CB18" s="1102"/>
      <c r="CC18" s="1102"/>
      <c r="CD18" s="1102"/>
      <c r="CE18" s="1102"/>
      <c r="CF18" s="1102"/>
      <c r="CG18" s="1102"/>
      <c r="CH18" s="1102"/>
      <c r="CI18" s="1102"/>
      <c r="CJ18" s="1102"/>
      <c r="CK18" s="1102"/>
      <c r="CL18" s="1100"/>
      <c r="CM18" s="1100"/>
      <c r="CN18" s="1100"/>
      <c r="CO18" s="1100"/>
      <c r="CP18" s="1100"/>
      <c r="CQ18" s="1100"/>
      <c r="CR18" s="1100"/>
      <c r="CS18" s="1100"/>
      <c r="CT18" s="1100"/>
      <c r="CU18" s="1100"/>
      <c r="CV18" s="1100"/>
      <c r="CW18" s="1100"/>
      <c r="CX18" s="1100"/>
      <c r="CY18" s="1102"/>
      <c r="CZ18" s="1102"/>
      <c r="DA18" s="1102"/>
      <c r="DB18" s="1102"/>
      <c r="DC18" s="1102"/>
      <c r="DD18" s="1102"/>
      <c r="DE18" s="1102"/>
      <c r="DF18" s="1102"/>
      <c r="DG18" s="1102"/>
      <c r="DH18" s="1102"/>
      <c r="DI18" s="1102"/>
      <c r="DJ18" s="1102"/>
      <c r="DK18" s="1100"/>
      <c r="DL18" s="1100"/>
      <c r="DM18" s="1100"/>
      <c r="DN18" s="1100"/>
      <c r="DO18" s="1100"/>
      <c r="DP18" s="1100"/>
      <c r="DQ18" s="1100"/>
      <c r="DR18" s="1100"/>
      <c r="DS18" s="1100"/>
      <c r="DT18" s="1100"/>
      <c r="DU18" s="1100"/>
      <c r="DV18" s="1100"/>
      <c r="DW18" s="1100"/>
      <c r="DX18" s="1100"/>
      <c r="DY18" s="1100"/>
      <c r="DZ18" s="1100"/>
      <c r="EA18" s="1100"/>
      <c r="EB18" s="1100"/>
      <c r="EC18" s="1100"/>
      <c r="ED18" s="1100"/>
      <c r="EE18" s="1100"/>
      <c r="EF18" s="1100"/>
      <c r="EG18" s="1100"/>
      <c r="EH18" s="1100"/>
      <c r="EI18" s="1100"/>
      <c r="EJ18" s="1100"/>
      <c r="EK18" s="1100"/>
      <c r="EL18" s="1100"/>
      <c r="EM18" s="1100"/>
      <c r="EN18" s="1100"/>
      <c r="EO18" s="1100"/>
      <c r="EP18" s="1100"/>
      <c r="EQ18" s="1100"/>
      <c r="ER18" s="1100"/>
      <c r="ES18" s="1100"/>
      <c r="ET18" s="1100"/>
      <c r="EU18" s="1100"/>
      <c r="EV18" s="1100"/>
      <c r="EW18" s="1100"/>
      <c r="EX18" s="1100"/>
      <c r="EY18" s="1100"/>
      <c r="EZ18" s="1100"/>
      <c r="FA18" s="1100"/>
      <c r="FB18" s="1100"/>
      <c r="FC18" s="1100"/>
      <c r="FD18" s="1100"/>
      <c r="FE18" s="1100"/>
      <c r="FF18" s="1100"/>
      <c r="FG18" s="1100"/>
      <c r="FH18" s="1100"/>
      <c r="FI18" s="1100"/>
      <c r="FJ18" s="1100"/>
      <c r="FK18" s="1100"/>
      <c r="FL18" s="1100"/>
      <c r="FM18" s="1100"/>
      <c r="FN18" s="1100"/>
      <c r="FO18" s="1100"/>
      <c r="FP18" s="1100"/>
      <c r="FQ18" s="1100"/>
      <c r="FR18" s="1100"/>
      <c r="FS18" s="1100"/>
      <c r="FT18" s="1100"/>
      <c r="FU18" s="1100"/>
      <c r="FV18" s="1100"/>
      <c r="FW18" s="1099"/>
      <c r="FX18" s="1103"/>
    </row>
    <row r="19" spans="1:184" s="838" customFormat="1" ht="11.25" hidden="1" customHeight="1">
      <c r="B19" s="836"/>
      <c r="E19" s="850"/>
      <c r="F19" s="1099"/>
      <c r="G19" s="1099"/>
      <c r="H19" s="1099"/>
      <c r="I19" s="1099"/>
      <c r="J19" s="1099"/>
      <c r="K19" s="1099"/>
      <c r="L19" s="1099"/>
      <c r="M19" s="1099"/>
      <c r="N19" s="1099"/>
      <c r="O19" s="1099"/>
      <c r="P19" s="1099"/>
      <c r="Q19" s="1099"/>
      <c r="R19" s="1099"/>
      <c r="S19" s="1099"/>
      <c r="T19" s="1099"/>
      <c r="U19" s="1101"/>
      <c r="V19" s="1101"/>
      <c r="W19" s="1101"/>
      <c r="X19" s="1101"/>
      <c r="Y19" s="1101"/>
      <c r="Z19" s="1101"/>
      <c r="AA19" s="1101"/>
      <c r="AB19" s="1099"/>
      <c r="AC19" s="1099"/>
      <c r="AD19" s="1099"/>
      <c r="AE19" s="1099"/>
      <c r="AF19" s="1099"/>
      <c r="AG19" s="1099"/>
      <c r="AH19" s="1099"/>
      <c r="AI19" s="1099"/>
      <c r="AJ19" s="1099"/>
      <c r="AK19" s="1099"/>
      <c r="AL19" s="1099"/>
      <c r="AM19" s="1099"/>
      <c r="AN19" s="1099"/>
      <c r="AO19" s="1099"/>
      <c r="AP19" s="1099"/>
      <c r="AQ19" s="1099"/>
      <c r="AR19" s="1099"/>
      <c r="AS19" s="1099"/>
      <c r="AT19" s="1099"/>
      <c r="AU19" s="1099"/>
      <c r="AV19" s="1099"/>
      <c r="AW19" s="1099"/>
      <c r="AX19" s="1099"/>
      <c r="AY19" s="1099"/>
      <c r="AZ19" s="1099"/>
      <c r="BA19" s="1099"/>
      <c r="BB19" s="1099"/>
      <c r="BC19" s="1099"/>
      <c r="BD19" s="1099"/>
      <c r="BE19" s="1099"/>
      <c r="BF19" s="1099"/>
      <c r="BG19" s="1099"/>
      <c r="BH19" s="1099"/>
      <c r="BI19" s="1099"/>
      <c r="BJ19" s="1099"/>
      <c r="BK19" s="1099"/>
      <c r="BL19" s="1099"/>
      <c r="BM19" s="1099"/>
      <c r="BN19" s="1099"/>
      <c r="BO19" s="1099"/>
      <c r="BP19" s="1099"/>
      <c r="BQ19" s="1099"/>
      <c r="BR19" s="1099"/>
      <c r="BS19" s="1099"/>
      <c r="BT19" s="1099"/>
      <c r="BU19" s="1099"/>
      <c r="BV19" s="1099"/>
      <c r="BW19" s="1099"/>
      <c r="BX19" s="1099"/>
      <c r="BY19" s="1099"/>
      <c r="BZ19" s="1099"/>
      <c r="CA19" s="1099"/>
      <c r="CB19" s="1099"/>
      <c r="CC19" s="1099"/>
      <c r="CD19" s="1099"/>
      <c r="CE19" s="1099"/>
      <c r="CF19" s="1099"/>
      <c r="CG19" s="1099"/>
      <c r="CH19" s="1099"/>
      <c r="CI19" s="1099"/>
      <c r="CJ19" s="1099"/>
      <c r="CK19" s="1099"/>
      <c r="CL19" s="1099"/>
      <c r="CM19" s="1099"/>
      <c r="CN19" s="1099"/>
      <c r="CO19" s="1099"/>
      <c r="CP19" s="1099"/>
      <c r="CQ19" s="1099"/>
      <c r="CR19" s="1099"/>
      <c r="CS19" s="1099"/>
      <c r="CT19" s="1099"/>
      <c r="CU19" s="1099"/>
      <c r="CV19" s="1099"/>
      <c r="CW19" s="1099"/>
      <c r="CX19" s="1099"/>
      <c r="CY19" s="1099"/>
      <c r="CZ19" s="1099"/>
      <c r="DA19" s="1099"/>
      <c r="DB19" s="1099"/>
      <c r="DC19" s="1099"/>
      <c r="DD19" s="1099"/>
      <c r="DE19" s="1099"/>
      <c r="DF19" s="1099"/>
      <c r="DG19" s="1099"/>
      <c r="DH19" s="1099"/>
      <c r="DI19" s="1099"/>
      <c r="DJ19" s="1099"/>
      <c r="DK19" s="1099"/>
      <c r="DL19" s="1099"/>
      <c r="DM19" s="1099"/>
      <c r="DN19" s="1099"/>
      <c r="DO19" s="1099"/>
      <c r="DP19" s="1099"/>
      <c r="DQ19" s="1099"/>
      <c r="DR19" s="1099"/>
      <c r="DS19" s="1099"/>
      <c r="DT19" s="1099"/>
      <c r="DU19" s="1099"/>
      <c r="DV19" s="1099"/>
      <c r="DW19" s="1099"/>
      <c r="DX19" s="1099"/>
      <c r="DY19" s="1099"/>
      <c r="DZ19" s="1099"/>
      <c r="EA19" s="1099"/>
      <c r="EB19" s="1099"/>
      <c r="EC19" s="1099"/>
      <c r="ED19" s="1099"/>
      <c r="EE19" s="1099"/>
      <c r="EF19" s="1099"/>
      <c r="EG19" s="1099"/>
      <c r="EH19" s="1099"/>
      <c r="EI19" s="1099"/>
      <c r="EJ19" s="1099"/>
      <c r="EK19" s="1099"/>
      <c r="EL19" s="1099"/>
      <c r="EM19" s="1099"/>
      <c r="EN19" s="1099"/>
      <c r="EO19" s="1099"/>
      <c r="EP19" s="1099"/>
      <c r="EQ19" s="1099"/>
      <c r="ER19" s="1099"/>
      <c r="ES19" s="1099"/>
      <c r="ET19" s="1099"/>
      <c r="EU19" s="1099"/>
      <c r="EV19" s="1099"/>
      <c r="EW19" s="1099"/>
      <c r="EX19" s="1099"/>
      <c r="EY19" s="1099"/>
      <c r="EZ19" s="1099"/>
      <c r="FA19" s="1099"/>
      <c r="FB19" s="1099"/>
      <c r="FC19" s="1099"/>
      <c r="FD19" s="1099"/>
      <c r="FE19" s="1099"/>
      <c r="FF19" s="1099"/>
      <c r="FG19" s="1099"/>
      <c r="FH19" s="1099"/>
      <c r="FI19" s="1099"/>
      <c r="FJ19" s="1099"/>
      <c r="FK19" s="1099"/>
      <c r="FL19" s="1099"/>
      <c r="FM19" s="1099"/>
      <c r="FN19" s="1099"/>
      <c r="FO19" s="1099"/>
      <c r="FP19" s="1099"/>
      <c r="FQ19" s="1099"/>
      <c r="FR19" s="1099"/>
      <c r="FS19" s="1099"/>
      <c r="FT19" s="1099"/>
      <c r="FU19" s="1099"/>
      <c r="FV19" s="1099"/>
      <c r="FW19" s="1099"/>
      <c r="FX19" s="1103"/>
    </row>
    <row r="20" spans="1:184" s="838" customFormat="1" ht="11.25" hidden="1" customHeight="1">
      <c r="B20" s="851"/>
      <c r="D20" s="837"/>
      <c r="E20" s="850"/>
      <c r="F20" s="1104" t="s">
        <v>841</v>
      </c>
      <c r="G20" s="1105"/>
      <c r="H20" s="1106"/>
      <c r="I20" s="1106"/>
      <c r="J20" s="1106"/>
      <c r="K20" s="1106"/>
      <c r="L20" s="1106"/>
      <c r="M20" s="1106"/>
      <c r="N20" s="1106"/>
      <c r="O20" s="1105"/>
      <c r="P20" s="1105"/>
      <c r="Q20" s="1105"/>
      <c r="R20" s="1105"/>
      <c r="S20" s="1105"/>
      <c r="T20" s="1105"/>
      <c r="U20" s="1107"/>
      <c r="V20" s="1107"/>
      <c r="W20" s="1107"/>
      <c r="X20" s="1107"/>
      <c r="Y20" s="1107"/>
      <c r="Z20" s="1107"/>
      <c r="AA20" s="1107"/>
      <c r="AB20" s="1105"/>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6"/>
      <c r="BD20" s="1106"/>
      <c r="BE20" s="1106"/>
      <c r="BF20" s="1106"/>
      <c r="BG20" s="1106"/>
      <c r="BH20" s="1106"/>
      <c r="BI20" s="1106"/>
      <c r="BJ20" s="1106"/>
      <c r="BK20" s="1106"/>
      <c r="BL20" s="1106"/>
      <c r="BM20" s="1106"/>
      <c r="BN20" s="1106"/>
      <c r="BO20" s="1106"/>
      <c r="BP20" s="1106"/>
      <c r="BQ20" s="1106"/>
      <c r="BR20" s="1106"/>
      <c r="BS20" s="1106"/>
      <c r="BT20" s="1106"/>
      <c r="BU20" s="1106"/>
      <c r="BV20" s="1106"/>
      <c r="BW20" s="1106"/>
      <c r="BX20" s="1106"/>
      <c r="BY20" s="1106"/>
      <c r="BZ20" s="1106"/>
      <c r="CA20" s="1106"/>
      <c r="CB20" s="1106"/>
      <c r="CC20" s="1106"/>
      <c r="CD20" s="1106"/>
      <c r="CE20" s="1106"/>
      <c r="CF20" s="1106"/>
      <c r="CG20" s="1106"/>
      <c r="CH20" s="1106"/>
      <c r="CI20" s="1106"/>
      <c r="CJ20" s="1106"/>
      <c r="CK20" s="1106"/>
      <c r="CL20" s="1108"/>
      <c r="CM20" s="1108"/>
      <c r="CN20" s="1108"/>
      <c r="CO20" s="1108"/>
      <c r="CP20" s="1108"/>
      <c r="CQ20" s="1108"/>
      <c r="CR20" s="1108"/>
      <c r="CS20" s="1108"/>
      <c r="CT20" s="1108"/>
      <c r="CU20" s="1108"/>
      <c r="CV20" s="1108"/>
      <c r="CW20" s="1108"/>
      <c r="CX20" s="1108"/>
      <c r="CY20" s="1108"/>
      <c r="CZ20" s="1108"/>
      <c r="DA20" s="1108"/>
      <c r="DB20" s="1108"/>
      <c r="DC20" s="1108"/>
      <c r="DD20" s="1108"/>
      <c r="DE20" s="1108"/>
      <c r="DF20" s="1108"/>
      <c r="DG20" s="1108"/>
      <c r="DH20" s="1108"/>
      <c r="DI20" s="1108"/>
      <c r="DJ20" s="1108"/>
      <c r="DK20" s="1108"/>
      <c r="DL20" s="1108"/>
      <c r="DM20" s="1108"/>
      <c r="DN20" s="1108"/>
      <c r="DO20" s="1108"/>
      <c r="DP20" s="1108"/>
      <c r="DQ20" s="1108"/>
      <c r="DR20" s="1108"/>
      <c r="DS20" s="1108"/>
      <c r="DT20" s="1108"/>
      <c r="DU20" s="1108"/>
      <c r="DV20" s="1108"/>
      <c r="DW20" s="1108"/>
      <c r="DX20" s="1108"/>
      <c r="DY20" s="1108"/>
      <c r="DZ20" s="1108"/>
      <c r="EA20" s="1108"/>
      <c r="EB20" s="1108"/>
      <c r="EC20" s="1108"/>
      <c r="ED20" s="1108"/>
      <c r="EE20" s="1108"/>
      <c r="EF20" s="1108"/>
      <c r="EG20" s="1108"/>
      <c r="EH20" s="1108"/>
      <c r="EI20" s="1108"/>
      <c r="EJ20" s="1108"/>
      <c r="EK20" s="1108"/>
      <c r="EL20" s="1108"/>
      <c r="EM20" s="1108"/>
      <c r="EN20" s="1108"/>
      <c r="EO20" s="1108"/>
      <c r="EP20" s="1108"/>
      <c r="EQ20" s="1108"/>
      <c r="ER20" s="1108"/>
      <c r="ES20" s="1108"/>
      <c r="ET20" s="1108"/>
      <c r="EU20" s="1108"/>
      <c r="EV20" s="1108"/>
      <c r="EW20" s="1108"/>
      <c r="EX20" s="1108"/>
      <c r="EY20" s="1108"/>
      <c r="EZ20" s="1108"/>
      <c r="FA20" s="1108"/>
      <c r="FB20" s="1108"/>
      <c r="FC20" s="1108"/>
      <c r="FD20" s="1108"/>
      <c r="FE20" s="1108"/>
      <c r="FF20" s="1108"/>
      <c r="FG20" s="1108"/>
      <c r="FH20" s="1108"/>
      <c r="FI20" s="1108"/>
      <c r="FJ20" s="1108"/>
      <c r="FK20" s="1108"/>
      <c r="FL20" s="1108"/>
      <c r="FM20" s="1108"/>
      <c r="FN20" s="1108"/>
      <c r="FO20" s="1108"/>
      <c r="FP20" s="1108"/>
      <c r="FQ20" s="1108"/>
      <c r="FR20" s="1108"/>
      <c r="FS20" s="1108"/>
      <c r="FT20" s="1108"/>
      <c r="FU20" s="1108"/>
      <c r="FV20" s="1108"/>
      <c r="FW20" s="1108"/>
      <c r="FX20" s="1109"/>
    </row>
    <row r="21" spans="1:184" s="838"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838" customFormat="1" ht="12" customHeight="1">
      <c r="A22" s="852"/>
      <c r="B22" s="852"/>
      <c r="C22" s="852"/>
      <c r="D22" s="852"/>
      <c r="E22" s="852"/>
      <c r="FX22" s="852"/>
      <c r="FY22" s="852"/>
      <c r="FZ22" s="852"/>
      <c r="GA22" s="852"/>
      <c r="GB22" s="852"/>
    </row>
    <row r="23" spans="1:184" s="974" customFormat="1" ht="12" customHeight="1">
      <c r="A23" s="973"/>
      <c r="B23" s="973"/>
      <c r="C23" s="973"/>
      <c r="D23" s="973"/>
      <c r="E23" s="973"/>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5"/>
      <c r="AS23" s="975"/>
      <c r="AT23" s="975"/>
      <c r="AU23" s="975"/>
      <c r="AV23" s="975"/>
      <c r="AW23" s="975"/>
      <c r="AX23" s="975"/>
      <c r="AY23" s="975"/>
      <c r="AZ23" s="975"/>
      <c r="BA23" s="975"/>
      <c r="BB23" s="975"/>
      <c r="BC23" s="975"/>
      <c r="BD23" s="975"/>
      <c r="BE23" s="975"/>
      <c r="BF23" s="975"/>
      <c r="BG23" s="975"/>
      <c r="BH23" s="975"/>
      <c r="BI23" s="975"/>
      <c r="BJ23" s="975"/>
      <c r="BK23" s="975"/>
      <c r="BL23" s="975"/>
      <c r="BM23" s="975"/>
      <c r="BN23" s="975"/>
      <c r="BO23" s="975"/>
      <c r="BP23" s="975"/>
      <c r="BQ23" s="975"/>
      <c r="BR23" s="975"/>
      <c r="BS23" s="975"/>
      <c r="BT23" s="976"/>
      <c r="BU23" s="976"/>
      <c r="BV23" s="976"/>
      <c r="BW23" s="976"/>
      <c r="BX23" s="976"/>
      <c r="BY23" s="976"/>
      <c r="BZ23" s="976"/>
      <c r="CA23" s="976"/>
      <c r="CB23" s="976"/>
      <c r="CC23" s="976"/>
      <c r="CD23" s="976"/>
      <c r="CE23" s="976"/>
      <c r="CF23" s="976"/>
      <c r="CG23" s="976"/>
      <c r="CH23" s="976"/>
      <c r="CI23" s="976"/>
      <c r="CJ23" s="976"/>
      <c r="CK23" s="976"/>
      <c r="CL23" s="976"/>
      <c r="CM23" s="976"/>
      <c r="CN23" s="976"/>
      <c r="CO23" s="976"/>
      <c r="CP23" s="976"/>
      <c r="CQ23" s="976"/>
      <c r="CR23" s="976"/>
      <c r="CS23" s="976"/>
      <c r="CT23" s="976"/>
      <c r="CU23" s="976"/>
      <c r="CV23" s="976"/>
      <c r="CW23" s="976"/>
      <c r="CX23" s="976"/>
      <c r="CY23" s="976"/>
      <c r="CZ23" s="976"/>
      <c r="DA23" s="976"/>
      <c r="DB23" s="976"/>
      <c r="DC23" s="976"/>
      <c r="DD23" s="976"/>
      <c r="DE23" s="976"/>
      <c r="DF23" s="976"/>
      <c r="DG23" s="976"/>
      <c r="DH23" s="976"/>
      <c r="DI23" s="976"/>
      <c r="DJ23" s="976"/>
      <c r="DK23" s="976"/>
      <c r="DL23" s="976"/>
      <c r="DM23" s="976"/>
      <c r="DN23" s="976"/>
      <c r="DO23" s="976"/>
      <c r="DP23" s="976"/>
      <c r="DQ23" s="976"/>
      <c r="DR23" s="976"/>
      <c r="DS23" s="976"/>
      <c r="DT23" s="976"/>
      <c r="DU23" s="976"/>
      <c r="DV23" s="976"/>
      <c r="DW23" s="976"/>
      <c r="DX23" s="976"/>
      <c r="FX23" s="973"/>
      <c r="FY23" s="973"/>
      <c r="FZ23" s="973"/>
      <c r="GA23" s="973"/>
      <c r="GB23" s="973"/>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71" hidden="1" customWidth="1"/>
    <col min="2" max="2" width="2" style="1771" hidden="1" customWidth="1"/>
    <col min="3" max="3" width="3.7109375" style="1771" customWidth="1"/>
    <col min="4" max="4" width="4.28515625" style="1771" customWidth="1"/>
    <col min="5" max="5" width="45" style="1771" customWidth="1"/>
    <col min="6" max="6" width="6.42578125" style="1771" customWidth="1"/>
    <col min="7" max="7" width="4.42578125" style="1771" customWidth="1"/>
    <col min="8" max="8" width="5.5703125" style="1771" customWidth="1"/>
    <col min="9" max="9" width="52.85546875" style="1771" customWidth="1"/>
    <col min="10" max="10" width="7" style="1771" customWidth="1"/>
    <col min="11" max="11" width="3.7109375" style="1771" customWidth="1"/>
    <col min="12" max="12" width="6.28515625" style="1771" customWidth="1"/>
    <col min="13" max="13" width="56.28515625" style="1771" customWidth="1"/>
    <col min="14" max="14" width="9.140625" style="1291"/>
    <col min="15" max="20" width="9.140625" style="1544" hidden="1"/>
    <col min="21" max="24" width="9.140625" style="1190" hidden="1"/>
    <col min="25" max="37" width="9.140625" style="1291" hidden="1"/>
    <col min="38" max="38" width="9.140625" style="1291"/>
  </cols>
  <sheetData>
    <row r="1" spans="1:38" ht="11.25" hidden="1" customHeight="1"/>
    <row r="2" spans="1:38" ht="11.25" hidden="1" customHeight="1"/>
    <row r="4" spans="1:38" ht="34.5" customHeight="1">
      <c r="A4" s="507"/>
      <c r="B4" s="507"/>
      <c r="D4" s="8746"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8747"/>
      <c r="F4" s="8747"/>
      <c r="G4" s="8747"/>
      <c r="H4" s="8747"/>
      <c r="I4" s="8748"/>
      <c r="J4" s="506"/>
      <c r="K4" s="506"/>
      <c r="L4" s="506"/>
      <c r="M4" s="506"/>
    </row>
    <row r="5" spans="1:38" s="510" customFormat="1" ht="15" customHeight="1">
      <c r="A5" s="507"/>
      <c r="B5" s="507"/>
      <c r="C5" s="507"/>
      <c r="D5" s="8749" t="str">
        <f>IF(org=0,"Не определено",org)</f>
        <v>ГУП СК "Ставрополькрайводоканал"</v>
      </c>
      <c r="E5" s="8750"/>
      <c r="F5" s="8750"/>
      <c r="G5" s="8750"/>
      <c r="H5" s="8750"/>
      <c r="I5" s="8751"/>
      <c r="J5" s="508"/>
      <c r="K5" s="508"/>
      <c r="L5" s="508"/>
      <c r="M5" s="508"/>
      <c r="N5" s="508"/>
      <c r="O5" s="784"/>
      <c r="P5" s="784"/>
      <c r="Q5" s="784"/>
      <c r="R5" s="784"/>
      <c r="S5" s="784"/>
      <c r="T5" s="784"/>
      <c r="U5" s="1186"/>
      <c r="V5" s="1186"/>
      <c r="W5" s="1186"/>
      <c r="X5" s="1186"/>
      <c r="Y5" s="508"/>
      <c r="Z5" s="508"/>
      <c r="AA5" s="508"/>
      <c r="AB5" s="508"/>
      <c r="AC5" s="508"/>
      <c r="AD5" s="508"/>
      <c r="AE5" s="508"/>
      <c r="AF5" s="508"/>
      <c r="AG5" s="508"/>
      <c r="AH5" s="508"/>
      <c r="AI5" s="508"/>
      <c r="AJ5" s="508"/>
      <c r="AK5" s="508"/>
      <c r="AL5" s="508"/>
    </row>
    <row r="6" spans="1:38" s="510" customFormat="1" ht="6" customHeight="1">
      <c r="A6" s="8727"/>
      <c r="B6" s="8727"/>
      <c r="C6" s="8727"/>
      <c r="D6" s="8727"/>
      <c r="E6" s="8727"/>
      <c r="F6" s="8727"/>
      <c r="G6" s="509"/>
      <c r="H6" s="509"/>
      <c r="I6" s="509"/>
      <c r="J6" s="509"/>
      <c r="K6" s="509"/>
      <c r="N6" s="511"/>
      <c r="O6" s="1335"/>
      <c r="P6" s="1335"/>
      <c r="Q6" s="1335"/>
      <c r="R6" s="1335"/>
      <c r="S6" s="1335"/>
      <c r="T6" s="1335"/>
      <c r="U6" s="1188"/>
      <c r="V6" s="1188"/>
      <c r="W6" s="1188"/>
      <c r="X6" s="1188"/>
      <c r="Y6" s="511"/>
      <c r="Z6" s="511"/>
      <c r="AA6" s="511"/>
      <c r="AB6" s="511"/>
      <c r="AC6" s="511"/>
      <c r="AD6" s="511"/>
      <c r="AE6" s="511"/>
      <c r="AF6" s="511"/>
      <c r="AG6" s="511"/>
      <c r="AH6" s="511"/>
      <c r="AI6" s="511"/>
      <c r="AJ6" s="511"/>
      <c r="AK6" s="511"/>
      <c r="AL6" s="511"/>
    </row>
    <row r="7" spans="1:38" ht="45.75" hidden="1" customHeight="1">
      <c r="E7" s="87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8757"/>
      <c r="G7" s="8757"/>
      <c r="H7" s="8757"/>
      <c r="I7" s="8757"/>
      <c r="J7" s="8757"/>
      <c r="K7" s="8757"/>
      <c r="L7" s="8757"/>
      <c r="M7" s="8757"/>
    </row>
    <row r="8" spans="1:38" s="510" customFormat="1" ht="6" customHeight="1">
      <c r="A8" s="512"/>
      <c r="B8" s="512"/>
      <c r="C8" s="512"/>
      <c r="D8" s="512"/>
      <c r="E8" s="512"/>
      <c r="F8" s="512"/>
      <c r="G8" s="512"/>
      <c r="H8" s="512"/>
      <c r="I8" s="512"/>
      <c r="J8" s="512"/>
      <c r="K8" s="512"/>
      <c r="L8" s="512"/>
      <c r="N8" s="508"/>
      <c r="O8" s="784"/>
      <c r="P8" s="784"/>
      <c r="Q8" s="784"/>
      <c r="R8" s="784"/>
      <c r="S8" s="784"/>
      <c r="T8" s="784"/>
      <c r="U8" s="1186"/>
      <c r="V8" s="1186"/>
      <c r="W8" s="1186"/>
      <c r="X8" s="1186"/>
      <c r="Y8" s="508"/>
      <c r="Z8" s="508"/>
      <c r="AA8" s="508"/>
      <c r="AB8" s="508"/>
      <c r="AC8" s="508"/>
      <c r="AD8" s="508"/>
      <c r="AE8" s="508"/>
      <c r="AF8" s="508"/>
      <c r="AG8" s="508"/>
      <c r="AH8" s="508"/>
      <c r="AI8" s="508"/>
      <c r="AJ8" s="508"/>
      <c r="AK8" s="508"/>
      <c r="AL8" s="508"/>
    </row>
    <row r="9" spans="1:38" ht="18" customHeight="1">
      <c r="A9" s="8752"/>
      <c r="B9" s="244"/>
      <c r="C9" s="244"/>
      <c r="D9" s="8753" t="s">
        <v>197</v>
      </c>
      <c r="E9" s="8753"/>
      <c r="F9" s="8754" t="s">
        <v>198</v>
      </c>
      <c r="G9" s="8755"/>
      <c r="H9" s="8755"/>
      <c r="I9" s="8755"/>
      <c r="J9" s="8758" t="s">
        <v>199</v>
      </c>
      <c r="K9" s="8758"/>
      <c r="L9" s="8758"/>
      <c r="M9" s="8758"/>
    </row>
    <row r="10" spans="1:38" ht="22.5" customHeight="1">
      <c r="A10" s="8752"/>
      <c r="B10" s="513"/>
      <c r="C10" s="449"/>
      <c r="D10" s="447" t="s">
        <v>84</v>
      </c>
      <c r="E10" s="447" t="s">
        <v>85</v>
      </c>
      <c r="F10" s="447" t="s">
        <v>200</v>
      </c>
      <c r="G10" s="8759" t="s">
        <v>84</v>
      </c>
      <c r="H10" s="8760"/>
      <c r="I10" s="447" t="s">
        <v>85</v>
      </c>
      <c r="J10" s="447" t="s">
        <v>200</v>
      </c>
      <c r="K10" s="8759" t="s">
        <v>84</v>
      </c>
      <c r="L10" s="8760"/>
      <c r="M10" s="447" t="s">
        <v>85</v>
      </c>
      <c r="N10" s="1547"/>
    </row>
    <row r="11" spans="1:38" s="1771" customFormat="1" ht="11.25" hidden="1" customHeight="1">
      <c r="A11" s="514"/>
      <c r="B11" s="514"/>
      <c r="C11" s="514"/>
      <c r="D11" s="515" t="s">
        <v>95</v>
      </c>
      <c r="E11" s="515" t="s">
        <v>99</v>
      </c>
      <c r="F11" s="515" t="s">
        <v>86</v>
      </c>
      <c r="G11" s="8742" t="s">
        <v>87</v>
      </c>
      <c r="H11" s="8743"/>
      <c r="I11" s="515" t="s">
        <v>113</v>
      </c>
      <c r="J11" s="515" t="s">
        <v>88</v>
      </c>
      <c r="K11" s="8744" t="s">
        <v>89</v>
      </c>
      <c r="L11" s="8745"/>
      <c r="M11" s="515" t="s">
        <v>126</v>
      </c>
      <c r="N11" s="1546"/>
      <c r="O11" s="1334"/>
      <c r="P11" s="1336"/>
      <c r="Q11" s="1336"/>
      <c r="R11" s="1336"/>
      <c r="S11" s="1336"/>
      <c r="T11" s="1336"/>
      <c r="U11" s="1189"/>
      <c r="V11" s="1189"/>
      <c r="W11" s="1189"/>
      <c r="X11" s="1189"/>
      <c r="Y11" s="516"/>
      <c r="Z11" s="516"/>
      <c r="AA11" s="516"/>
      <c r="AB11" s="516"/>
      <c r="AC11" s="516"/>
      <c r="AD11" s="516"/>
      <c r="AE11" s="516"/>
      <c r="AF11" s="516"/>
      <c r="AG11" s="516"/>
      <c r="AH11" s="516"/>
      <c r="AI11" s="516"/>
      <c r="AJ11" s="516"/>
      <c r="AK11" s="516"/>
      <c r="AL11" s="516"/>
    </row>
    <row r="12" spans="1:38" ht="0.75" customHeight="1">
      <c r="A12" s="517"/>
      <c r="B12" s="518"/>
      <c r="C12" s="518"/>
      <c r="D12" s="519"/>
      <c r="E12" s="291"/>
      <c r="F12" s="520"/>
      <c r="G12" s="970"/>
      <c r="H12" s="970"/>
      <c r="I12" s="520"/>
      <c r="J12" s="520"/>
      <c r="K12" s="92"/>
      <c r="L12" s="291"/>
      <c r="M12" s="521"/>
      <c r="N12" s="1547"/>
      <c r="O12" s="1334" t="s">
        <v>201</v>
      </c>
      <c r="P12" s="1334" t="s">
        <v>202</v>
      </c>
      <c r="Q12" s="1334" t="s">
        <v>203</v>
      </c>
      <c r="R12" s="1334" t="s">
        <v>204</v>
      </c>
    </row>
    <row r="13" spans="1:38" s="1771" customFormat="1" ht="15" customHeight="1">
      <c r="A13"/>
      <c r="B13"/>
      <c r="C13" s="450"/>
      <c r="D13" s="8735" t="s">
        <v>95</v>
      </c>
      <c r="E13" s="8736"/>
      <c r="F13" s="8739" t="s">
        <v>63</v>
      </c>
      <c r="G13" s="8740"/>
      <c r="H13" s="8741">
        <v>1</v>
      </c>
      <c r="I13" s="8732" t="str">
        <f>IF(U13="","",INDEX(TERRITORY_MR_LIST,MATCH(U13,TERRITORY_LIST_ID,0)))</f>
        <v/>
      </c>
      <c r="J13" s="8734" t="s">
        <v>53</v>
      </c>
      <c r="K13" s="522"/>
      <c r="L13" s="451" t="s">
        <v>95</v>
      </c>
      <c r="M13" s="523" t="s">
        <v>24</v>
      </c>
      <c r="N13" s="726"/>
      <c r="O13" s="1337" t="s">
        <v>205</v>
      </c>
      <c r="P13" s="1334">
        <f>$E$13</f>
        <v>0</v>
      </c>
      <c r="Q13" s="1334" t="str">
        <f>IF($F$13="нет","без дифференциации",$I$13)</f>
        <v/>
      </c>
      <c r="R13" s="1334" t="str">
        <f>IF($J$13="нет","без дифференциации",M13)</f>
        <v>без дифференциации</v>
      </c>
      <c r="S13" s="1337"/>
      <c r="T13" s="1337"/>
      <c r="U13" s="1190"/>
      <c r="V13" s="1190"/>
      <c r="W13" s="1190"/>
      <c r="X13" s="1190"/>
      <c r="Y13" s="524" t="s">
        <v>206</v>
      </c>
      <c r="Z13" s="524">
        <v>1705000</v>
      </c>
      <c r="AA13" s="524"/>
      <c r="AB13" s="524"/>
      <c r="AC13" s="524"/>
      <c r="AD13" s="524"/>
      <c r="AE13" s="524"/>
      <c r="AF13" s="524"/>
      <c r="AG13" s="524"/>
      <c r="AH13" s="524"/>
      <c r="AI13" s="524"/>
      <c r="AJ13" s="524"/>
      <c r="AK13" s="524"/>
      <c r="AL13" s="524"/>
    </row>
    <row r="14" spans="1:38" s="1771" customFormat="1" ht="15" customHeight="1">
      <c r="A14"/>
      <c r="B14"/>
      <c r="C14" s="94"/>
      <c r="D14" s="8735"/>
      <c r="E14" s="8737"/>
      <c r="F14" s="8734"/>
      <c r="G14" s="8740"/>
      <c r="H14" s="8741"/>
      <c r="I14" s="8733"/>
      <c r="J14" s="8734"/>
      <c r="K14" s="349"/>
      <c r="L14" s="95"/>
      <c r="M14" s="526" t="s">
        <v>207</v>
      </c>
      <c r="N14" s="726"/>
      <c r="O14" s="1337"/>
      <c r="P14" s="1334"/>
      <c r="Q14" s="1334"/>
      <c r="R14" s="1334"/>
      <c r="S14" s="1337"/>
      <c r="T14" s="1337"/>
      <c r="U14" s="1190"/>
      <c r="V14" s="1190"/>
      <c r="W14" s="1190"/>
      <c r="X14" s="1190"/>
      <c r="Y14" s="524"/>
      <c r="Z14" s="524"/>
      <c r="AA14" s="524"/>
      <c r="AB14" s="524"/>
      <c r="AC14" s="524"/>
      <c r="AD14" s="524"/>
      <c r="AE14" s="524"/>
      <c r="AF14" s="524"/>
      <c r="AG14" s="524"/>
      <c r="AH14" s="524"/>
      <c r="AI14" s="524"/>
      <c r="AJ14" s="524"/>
      <c r="AK14" s="524"/>
      <c r="AL14" s="524"/>
    </row>
    <row r="15" spans="1:38" s="1771" customFormat="1" ht="15" customHeight="1">
      <c r="A15"/>
      <c r="B15"/>
      <c r="C15" s="94"/>
      <c r="D15" s="8735"/>
      <c r="E15" s="8738"/>
      <c r="F15" s="8734"/>
      <c r="G15" s="971"/>
      <c r="H15" s="972"/>
      <c r="I15" s="503" t="s">
        <v>208</v>
      </c>
      <c r="J15" s="95"/>
      <c r="K15" s="95"/>
      <c r="L15" s="95"/>
      <c r="M15" s="527"/>
      <c r="N15" s="726"/>
      <c r="O15" s="1337"/>
      <c r="P15" s="1334"/>
      <c r="Q15" s="1334"/>
      <c r="R15" s="1334"/>
      <c r="S15" s="1337"/>
      <c r="T15" s="1337"/>
      <c r="U15" s="1190"/>
      <c r="V15" s="1190"/>
      <c r="W15" s="1190"/>
      <c r="X15" s="1190"/>
      <c r="Y15" s="524"/>
      <c r="Z15" s="524"/>
      <c r="AA15" s="524"/>
      <c r="AB15" s="524"/>
      <c r="AC15" s="524"/>
      <c r="AD15" s="524"/>
      <c r="AE15" s="524"/>
      <c r="AF15" s="524"/>
      <c r="AG15" s="524"/>
      <c r="AH15" s="524"/>
      <c r="AI15" s="524"/>
      <c r="AJ15" s="524"/>
      <c r="AK15" s="524"/>
      <c r="AL15" s="524"/>
    </row>
    <row r="16" spans="1:38" ht="15" customHeight="1">
      <c r="A16" s="528"/>
      <c r="B16" s="57"/>
      <c r="C16" s="720"/>
      <c r="D16" s="349"/>
      <c r="E16" s="494" t="s">
        <v>209</v>
      </c>
      <c r="F16" s="95"/>
      <c r="G16" s="95"/>
      <c r="H16" s="95"/>
      <c r="I16" s="95"/>
      <c r="J16" s="95"/>
      <c r="K16" s="95" t="s">
        <v>24</v>
      </c>
      <c r="L16" s="95"/>
      <c r="M16" s="527"/>
      <c r="N16" s="1547"/>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36.7109375" style="1555" customWidth="1"/>
    <col min="6" max="6" width="9.5703125" style="1555" customWidth="1"/>
    <col min="7" max="7" width="42.42578125" style="1555" hidden="1" customWidth="1"/>
    <col min="8" max="8" width="40.7109375" style="1555" customWidth="1"/>
    <col min="9" max="9" width="93.42578125" style="1287" customWidth="1"/>
    <col min="10" max="17" width="10.5703125" style="1555"/>
    <col min="18" max="18" width="10.5703125" style="593"/>
  </cols>
  <sheetData>
    <row r="1" spans="1:18" s="1287" customFormat="1" ht="15" hidden="1" customHeight="1">
      <c r="C1" s="590"/>
      <c r="H1" s="346">
        <v>4</v>
      </c>
      <c r="R1" s="348"/>
    </row>
    <row r="2" spans="1:18" ht="22.5" hidden="1" customHeight="1">
      <c r="D2" s="462"/>
      <c r="E2" s="581"/>
      <c r="F2" s="1680" t="str">
        <f>IF(TEMPLATE_SPHERE="HEAT","Гкал/час","тыс. куб. м/сутки")</f>
        <v>тыс. куб. м/сутки</v>
      </c>
      <c r="G2" s="598"/>
      <c r="H2" s="598"/>
      <c r="I2" s="204"/>
    </row>
    <row r="3" spans="1:18" s="1287" customFormat="1" ht="15" hidden="1" customHeight="1">
      <c r="C3" s="590"/>
      <c r="R3" s="348"/>
    </row>
    <row r="4" spans="1:18" ht="15" customHeight="1">
      <c r="C4" s="94"/>
      <c r="D4" s="433"/>
      <c r="E4" s="433"/>
      <c r="F4" s="433"/>
      <c r="G4" s="433"/>
      <c r="H4" s="433"/>
    </row>
    <row r="5" spans="1:18" ht="37.5" customHeight="1">
      <c r="C5" s="94"/>
      <c r="D5" s="886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8867"/>
      <c r="F5" s="8867"/>
      <c r="G5" s="8867"/>
      <c r="H5" s="8867"/>
      <c r="I5" s="460"/>
    </row>
    <row r="6" spans="1:18" ht="15" customHeight="1">
      <c r="C6" s="94"/>
      <c r="D6" s="8814" t="str">
        <f>IF(org=0,"Не определено",org)</f>
        <v>ГУП СК "Ставрополькрайводоканал"</v>
      </c>
      <c r="E6" s="8814"/>
      <c r="F6" s="8814"/>
      <c r="G6" s="8814"/>
      <c r="H6" s="8814"/>
      <c r="I6" s="460"/>
    </row>
    <row r="7" spans="1:18" s="1555" customFormat="1" ht="15" customHeight="1">
      <c r="A7" s="674"/>
      <c r="C7" s="94"/>
      <c r="D7" s="594"/>
      <c r="E7" s="594"/>
      <c r="F7" s="594"/>
      <c r="G7" s="594"/>
      <c r="H7" s="667"/>
      <c r="I7" s="460"/>
      <c r="R7" s="593"/>
    </row>
    <row r="8" spans="1:18" ht="0.75" customHeight="1">
      <c r="C8" s="94"/>
      <c r="D8" s="433"/>
      <c r="E8" s="433"/>
      <c r="F8" s="433"/>
      <c r="G8" s="433"/>
      <c r="H8" s="460" t="s">
        <v>205</v>
      </c>
    </row>
    <row r="9" spans="1:18" ht="15" customHeight="1">
      <c r="C9" s="94"/>
      <c r="D9" s="628"/>
      <c r="E9" s="8958" t="s">
        <v>197</v>
      </c>
      <c r="F9" s="8959"/>
      <c r="G9" s="730" t="str">
        <f>IF(G8="","",INDEX(DIFFERENTIATION_UNMERGE_VD,MATCH(G8,DIFFERENTIATION_ID_DIFF,0)))</f>
        <v/>
      </c>
      <c r="H9" s="730">
        <f>IF(H8="","",INDEX(DIFFERENTIATION_UNMERGE_VD,MATCH(H8,DIFFERENTIATION_ID_DIFF,0)))</f>
        <v>0</v>
      </c>
      <c r="I9" s="8753" t="s">
        <v>764</v>
      </c>
    </row>
    <row r="10" spans="1:18" s="1555" customFormat="1" ht="15" customHeight="1">
      <c r="A10" s="674"/>
      <c r="C10" s="94"/>
      <c r="D10" s="628"/>
      <c r="E10" s="8958" t="s">
        <v>1022</v>
      </c>
      <c r="F10" s="8959"/>
      <c r="G10" s="730" t="str">
        <f>IF(G8="","",INDEX(DIFFERENTIATION_UNMERGE_AREA,MATCH(G8,DIFFERENTIATION_ID_DIFF,0)))</f>
        <v/>
      </c>
      <c r="H10" s="730" t="str">
        <f>IF(H8="","",INDEX(DIFFERENTIATION_UNMERGE_AREA,MATCH(H8,DIFFERENTIATION_ID_DIFF,0)))</f>
        <v/>
      </c>
      <c r="I10" s="8753"/>
      <c r="R10" s="593"/>
    </row>
    <row r="11" spans="1:18" s="1555" customFormat="1" ht="15" customHeight="1">
      <c r="A11" s="674"/>
      <c r="C11" s="94"/>
      <c r="D11" s="628"/>
      <c r="E11" s="8958" t="s">
        <v>1023</v>
      </c>
      <c r="F11" s="8959"/>
      <c r="G11" s="730" t="str">
        <f>IF(G8="","",INDEX(DIFFERENTIATION_UNMERGE_SYSTEM,MATCH(G8,DIFFERENTIATION_ID_DIFF,0)))</f>
        <v/>
      </c>
      <c r="H11" s="730" t="str">
        <f>IF(H8="","",INDEX(DIFFERENTIATION_UNMERGE_SYSTEM,MATCH(H8,DIFFERENTIATION_ID_DIFF,0)))</f>
        <v>без дифференциации</v>
      </c>
      <c r="I11" s="8753"/>
      <c r="R11" s="593"/>
    </row>
    <row r="12" spans="1:18" s="1555" customFormat="1" ht="15" customHeight="1">
      <c r="A12" s="674"/>
      <c r="C12" s="94"/>
      <c r="D12" s="8960" t="s">
        <v>763</v>
      </c>
      <c r="E12" s="8961"/>
      <c r="F12" s="8961"/>
      <c r="G12" s="801"/>
      <c r="H12" s="801"/>
      <c r="I12" s="8753"/>
      <c r="R12" s="593"/>
    </row>
    <row r="13" spans="1:18" ht="33.75" customHeight="1">
      <c r="C13" s="94"/>
      <c r="D13" s="676" t="s">
        <v>84</v>
      </c>
      <c r="E13" s="675" t="s">
        <v>765</v>
      </c>
      <c r="F13" s="675" t="s">
        <v>1024</v>
      </c>
      <c r="G13" s="722" t="s">
        <v>766</v>
      </c>
      <c r="H13" s="669" t="s">
        <v>766</v>
      </c>
      <c r="I13" s="8753"/>
    </row>
    <row r="14" spans="1:18" ht="15" hidden="1" customHeight="1">
      <c r="C14" s="94"/>
      <c r="D14" s="514" t="s">
        <v>95</v>
      </c>
      <c r="E14" s="514" t="s">
        <v>99</v>
      </c>
      <c r="F14" s="514" t="s">
        <v>86</v>
      </c>
      <c r="G14" s="577" t="str">
        <f>G1&amp;".1"</f>
        <v>.1</v>
      </c>
      <c r="H14" s="577" t="str">
        <f>H1&amp;".1"</f>
        <v>4.1</v>
      </c>
      <c r="I14" s="204"/>
    </row>
    <row r="15" spans="1:18" ht="15" customHeight="1">
      <c r="A15" s="429"/>
      <c r="C15" s="450"/>
      <c r="D15" s="445">
        <v>1</v>
      </c>
      <c r="E15" s="595" t="str">
        <f>TP_P_A</f>
        <v xml:space="preserve">Количество поданных заявлений </v>
      </c>
      <c r="F15" s="445" t="s">
        <v>1487</v>
      </c>
      <c r="G15" s="603"/>
      <c r="H15" s="603"/>
      <c r="I15" s="12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18" ht="15" customHeight="1">
      <c r="A16" s="429"/>
      <c r="C16" s="450"/>
      <c r="D16" s="445">
        <v>2</v>
      </c>
      <c r="E16" s="195" t="str">
        <f>TP_P_B</f>
        <v xml:space="preserve">Количество исполненных заявлений </v>
      </c>
      <c r="F16" s="445" t="s">
        <v>1487</v>
      </c>
      <c r="G16" s="603"/>
      <c r="H16" s="603"/>
      <c r="I16" s="12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18" ht="33.75" customHeight="1">
      <c r="A17" s="429"/>
      <c r="C17" s="450"/>
      <c r="D17" s="445">
        <v>3</v>
      </c>
      <c r="E17" s="195" t="str">
        <f>TP_P_V</f>
        <v>Количество заявлений о заключении договоров о подключении (технологическом присоединении)</v>
      </c>
      <c r="F17" s="445" t="s">
        <v>1487</v>
      </c>
      <c r="G17" s="603"/>
      <c r="H17" s="603"/>
      <c r="I17" s="12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18" ht="36" customHeight="1">
      <c r="A18" s="429"/>
      <c r="C18" s="450"/>
      <c r="D18" s="445">
        <v>4</v>
      </c>
      <c r="E18" s="195"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45" t="s">
        <v>769</v>
      </c>
      <c r="G18" s="604"/>
      <c r="H18" s="604"/>
      <c r="I18" s="7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9"/>
      <c r="C19" s="450"/>
      <c r="D19" s="445">
        <v>5</v>
      </c>
      <c r="E19" s="195"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45" t="str">
        <f>IF(TEMPLATE_SPHERE="HEAT","Гкал/час","тыс. куб. м/сутки")</f>
        <v>тыс. куб. м/сутки</v>
      </c>
      <c r="G19" s="605">
        <f>SUM(G20:G22)</f>
        <v>0</v>
      </c>
      <c r="H19" s="605">
        <f>SUM(H20:H22)</f>
        <v>0</v>
      </c>
      <c r="I19" s="12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18" ht="15" hidden="1" customHeight="1">
      <c r="D20" s="433" t="s">
        <v>1488</v>
      </c>
      <c r="E20" s="606"/>
      <c r="F20" s="433"/>
      <c r="G20" s="433"/>
      <c r="H20" s="433"/>
      <c r="I20" s="1682"/>
    </row>
    <row r="21" spans="1:18" ht="27.75" customHeight="1">
      <c r="C21" s="376"/>
      <c r="D21" s="462" t="s">
        <v>778</v>
      </c>
      <c r="E21" s="588"/>
      <c r="F21" s="1680" t="str">
        <f>IF(TEMPLATE_SPHERE="HEAT","Гкал/час","тыс. куб. м/сутки")</f>
        <v>тыс. куб. м/сутки</v>
      </c>
      <c r="G21" s="598"/>
      <c r="H21" s="598"/>
      <c r="I21" s="879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18" ht="15" customHeight="1">
      <c r="A22" s="429"/>
      <c r="C22" s="429"/>
      <c r="D22" s="268"/>
      <c r="E22" s="503" t="s">
        <v>1489</v>
      </c>
      <c r="F22" s="495"/>
      <c r="G22" s="495"/>
      <c r="H22" s="495"/>
      <c r="I22" s="8800"/>
      <c r="R22" s="429"/>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2" hidden="1" customWidth="1"/>
    <col min="2" max="2" width="9.140625" style="1287" hidden="1" customWidth="1"/>
    <col min="3" max="3" width="3.7109375" style="265" customWidth="1"/>
    <col min="4" max="4" width="6.28515625" style="1555" customWidth="1"/>
    <col min="5" max="6" width="64.140625" style="1555" customWidth="1"/>
    <col min="7" max="7" width="141.140625" style="1555" customWidth="1"/>
    <col min="8" max="8" width="10.5703125" style="1555"/>
    <col min="9" max="10" width="10.5703125" style="1544"/>
    <col min="11" max="16" width="10.5703125" style="1555"/>
  </cols>
  <sheetData>
    <row r="1" spans="1:16" ht="14.25" hidden="1" customHeight="1">
      <c r="M1" s="170"/>
      <c r="N1" s="170"/>
      <c r="P1" s="170"/>
    </row>
    <row r="2" spans="1:16" ht="14.25" hidden="1" customHeight="1"/>
    <row r="3" spans="1:16" ht="14.25" hidden="1" customHeight="1"/>
    <row r="4" spans="1:16" ht="3" customHeight="1">
      <c r="C4" s="26"/>
      <c r="D4" s="15"/>
      <c r="E4" s="15"/>
      <c r="F4" s="16"/>
      <c r="G4" s="16"/>
    </row>
    <row r="5" spans="1:16" ht="27.75" customHeight="1">
      <c r="C5" s="26"/>
      <c r="D5" s="878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8789"/>
      <c r="F5" s="8789"/>
      <c r="G5" s="8790"/>
    </row>
    <row r="6" spans="1:16" s="1555" customFormat="1" ht="18" customHeight="1">
      <c r="A6" s="796"/>
      <c r="B6" s="346"/>
      <c r="C6" s="300"/>
      <c r="D6" s="8848" t="str">
        <f>IF(org=0,"Не определено",org)</f>
        <v>ГУП СК "Ставрополькрайводоканал"</v>
      </c>
      <c r="E6" s="8849"/>
      <c r="F6" s="8849"/>
      <c r="G6" s="8850"/>
      <c r="I6" s="424"/>
      <c r="J6" s="424"/>
    </row>
    <row r="7" spans="1:16" ht="14.25" customHeight="1">
      <c r="C7" s="26"/>
      <c r="D7" s="15"/>
      <c r="E7" s="25"/>
      <c r="F7" s="667"/>
      <c r="G7" s="110"/>
    </row>
    <row r="8" spans="1:16" s="1555" customFormat="1" ht="0.75" customHeight="1">
      <c r="A8" s="1589"/>
      <c r="B8" s="1065"/>
      <c r="C8" s="300"/>
      <c r="D8" s="286"/>
      <c r="E8" s="318"/>
      <c r="F8" s="667"/>
      <c r="G8" s="110"/>
      <c r="I8" s="1544"/>
      <c r="J8" s="1544"/>
    </row>
    <row r="9" spans="1:16" ht="14.25" customHeight="1">
      <c r="C9" s="26"/>
      <c r="D9" s="8843" t="s">
        <v>763</v>
      </c>
      <c r="E9" s="8843"/>
      <c r="F9" s="8843"/>
      <c r="G9" s="9026" t="s">
        <v>764</v>
      </c>
    </row>
    <row r="10" spans="1:16" ht="14.25" customHeight="1">
      <c r="C10" s="26"/>
      <c r="D10" s="32" t="s">
        <v>84</v>
      </c>
      <c r="E10" s="35" t="s">
        <v>765</v>
      </c>
      <c r="F10" s="35" t="s">
        <v>855</v>
      </c>
      <c r="G10" s="9026"/>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15" t="s">
        <v>769</v>
      </c>
      <c r="G12" s="71"/>
    </row>
    <row r="13" spans="1:16" ht="22.5" customHeight="1">
      <c r="A13" s="109"/>
      <c r="C13" s="26"/>
      <c r="D13" s="67" t="s">
        <v>1394</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769</v>
      </c>
      <c r="G13" s="71"/>
    </row>
    <row r="14" spans="1:16" ht="14.25" customHeight="1">
      <c r="A14" s="109"/>
      <c r="C14" s="26"/>
      <c r="D14" s="67" t="s">
        <v>1430</v>
      </c>
      <c r="E14" s="112"/>
      <c r="F14" s="130"/>
      <c r="G14" s="87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70" t="s">
        <v>1490</v>
      </c>
      <c r="F15" s="118"/>
      <c r="G15" s="8800"/>
    </row>
    <row r="16" spans="1:16" ht="14.25" customHeight="1">
      <c r="A16" s="109"/>
      <c r="C16" s="26"/>
      <c r="D16" s="67" t="s">
        <v>1396</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15" t="s">
        <v>769</v>
      </c>
      <c r="G16" s="259"/>
    </row>
    <row r="17" spans="1:16" ht="14.25" customHeight="1">
      <c r="A17" s="109"/>
      <c r="C17" s="26"/>
      <c r="D17" s="67" t="s">
        <v>1438</v>
      </c>
      <c r="E17" s="112"/>
      <c r="F17" s="314"/>
      <c r="G17" s="87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1555" customFormat="1" ht="21" customHeight="1">
      <c r="A18" s="264"/>
      <c r="B18" s="66"/>
      <c r="C18" s="222"/>
      <c r="D18" s="268"/>
      <c r="E18" s="270" t="s">
        <v>1491</v>
      </c>
      <c r="F18" s="260"/>
      <c r="G18" s="8800"/>
      <c r="I18" s="271"/>
      <c r="J18" s="271"/>
    </row>
    <row r="19" spans="1:16" s="1555" customFormat="1" ht="256.5" hidden="1" customHeight="1">
      <c r="A19" s="264"/>
      <c r="B19" s="346"/>
      <c r="C19" s="300"/>
      <c r="D19" s="798" t="s">
        <v>1398</v>
      </c>
      <c r="E19" s="797" t="s">
        <v>1492</v>
      </c>
      <c r="F19" s="314"/>
      <c r="G19" s="259" t="s">
        <v>1493</v>
      </c>
      <c r="I19" s="424"/>
      <c r="J19" s="424"/>
    </row>
    <row r="20" spans="1:16" s="1555" customFormat="1" ht="14.25" customHeight="1">
      <c r="A20" s="264"/>
      <c r="B20" s="66"/>
      <c r="C20" s="222"/>
      <c r="D20" s="799">
        <v>2</v>
      </c>
      <c r="E20" s="252" t="s">
        <v>1494</v>
      </c>
      <c r="F20" s="115" t="s">
        <v>769</v>
      </c>
      <c r="G20" s="259"/>
      <c r="I20" s="271"/>
      <c r="J20" s="271"/>
    </row>
    <row r="21" spans="1:16" s="1555" customFormat="1" ht="18.75" hidden="1" customHeight="1">
      <c r="A21" s="264"/>
      <c r="B21" s="66"/>
      <c r="C21" s="222"/>
      <c r="D21" s="255" t="s">
        <v>1324</v>
      </c>
      <c r="E21" s="254"/>
      <c r="F21" s="253"/>
      <c r="G21" s="263"/>
      <c r="H21" s="256"/>
      <c r="I21" s="271"/>
      <c r="J21" s="271"/>
    </row>
    <row r="22" spans="1:16" ht="15" customHeight="1">
      <c r="A22" s="109"/>
      <c r="C22" s="26"/>
      <c r="D22" s="36"/>
      <c r="E22" s="120" t="s">
        <v>1495</v>
      </c>
      <c r="F22" s="260"/>
      <c r="G22" s="261"/>
    </row>
    <row r="23" spans="1:16" s="1555" customFormat="1" ht="22.5" hidden="1" customHeight="1">
      <c r="A23" s="264"/>
      <c r="B23" s="1065"/>
      <c r="C23" s="300"/>
      <c r="D23" s="1593" t="s">
        <v>99</v>
      </c>
      <c r="E23" s="114" t="s">
        <v>1496</v>
      </c>
      <c r="F23" s="1590" t="s">
        <v>769</v>
      </c>
      <c r="G23" s="266"/>
      <c r="I23" s="1544"/>
      <c r="J23" s="1544"/>
    </row>
    <row r="24" spans="1:16" s="1555" customFormat="1" ht="14.25" hidden="1" customHeight="1">
      <c r="A24" s="264"/>
      <c r="B24" s="1065"/>
      <c r="C24" s="300"/>
      <c r="D24" s="1593" t="s">
        <v>1080</v>
      </c>
      <c r="E24" s="1592" t="s">
        <v>1497</v>
      </c>
      <c r="F24" s="1590" t="s">
        <v>769</v>
      </c>
      <c r="G24" s="259"/>
      <c r="I24" s="1544"/>
      <c r="J24" s="1544"/>
    </row>
    <row r="25" spans="1:16" s="1555" customFormat="1" ht="14.25" hidden="1" customHeight="1">
      <c r="A25" s="264"/>
      <c r="B25" s="1065"/>
      <c r="C25" s="300"/>
      <c r="D25" s="1593" t="s">
        <v>1083</v>
      </c>
      <c r="E25" s="112"/>
      <c r="F25" s="314"/>
      <c r="G25" s="8798" t="s">
        <v>1498</v>
      </c>
      <c r="I25" s="1544"/>
      <c r="J25" s="1544"/>
    </row>
    <row r="26" spans="1:16" s="1555" customFormat="1" ht="22.5" hidden="1" customHeight="1">
      <c r="A26" s="264"/>
      <c r="B26" s="1065"/>
      <c r="C26" s="300"/>
      <c r="D26" s="268"/>
      <c r="E26" s="270" t="s">
        <v>1499</v>
      </c>
      <c r="F26" s="260"/>
      <c r="G26" s="8800"/>
      <c r="I26" s="1544"/>
      <c r="J26" s="1544"/>
    </row>
    <row r="27" spans="1:16" ht="3" customHeight="1"/>
    <row r="28" spans="1:16" ht="14.25" customHeight="1">
      <c r="D28" s="258"/>
      <c r="E28" s="257"/>
      <c r="F28" s="233"/>
      <c r="G28" s="233"/>
      <c r="H28" s="233"/>
      <c r="I28" s="233"/>
      <c r="J28" s="233"/>
      <c r="K28" s="233"/>
      <c r="L28" s="233"/>
      <c r="M28" s="233"/>
      <c r="N28" s="233"/>
      <c r="O28" s="233"/>
      <c r="P28" s="233"/>
    </row>
    <row r="29" spans="1:16" ht="14.25" customHeight="1">
      <c r="D29" s="258"/>
      <c r="E29" s="505"/>
    </row>
    <row r="31" spans="1:16" ht="14.25" customHeight="1">
      <c r="E31" s="673"/>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696" hidden="1" customWidth="1"/>
    <col min="2" max="2" width="9.140625" style="1287" hidden="1" customWidth="1"/>
    <col min="3" max="3" width="3.7109375" style="265" customWidth="1"/>
    <col min="4" max="4" width="6.28515625" style="1555" customWidth="1"/>
    <col min="5" max="5" width="63.42578125" style="1555" customWidth="1"/>
    <col min="6" max="6" width="1.7109375" style="1555" hidden="1" customWidth="1"/>
    <col min="7" max="8" width="35.7109375" style="1555" customWidth="1"/>
    <col min="9" max="9" width="91.5703125" style="1555" customWidth="1"/>
    <col min="10" max="10" width="68.85546875" style="1555" customWidth="1"/>
    <col min="11" max="12" width="10.5703125" style="1544"/>
  </cols>
  <sheetData>
    <row r="1" spans="1:12" ht="14.25" hidden="1" customHeight="1"/>
    <row r="2" spans="1:12" s="1555" customFormat="1" ht="18.75" hidden="1" customHeight="1">
      <c r="A2" s="1603"/>
      <c r="B2" s="1065"/>
      <c r="C2" s="1649" t="s">
        <v>100</v>
      </c>
      <c r="D2" s="1593"/>
      <c r="E2" s="116"/>
      <c r="F2" s="1590"/>
      <c r="G2" s="1590" t="s">
        <v>769</v>
      </c>
      <c r="H2" s="1066"/>
      <c r="K2" s="1544"/>
      <c r="L2" s="1544"/>
    </row>
    <row r="3" spans="1:12" s="1555" customFormat="1" ht="14.25" hidden="1" customHeight="1">
      <c r="A3" s="1283"/>
      <c r="B3" s="1065"/>
      <c r="C3" s="265"/>
      <c r="K3" s="1544"/>
      <c r="L3" s="1544"/>
    </row>
    <row r="4" spans="1:12" s="1555" customFormat="1" ht="18.75" hidden="1" customHeight="1">
      <c r="A4" s="1603"/>
      <c r="B4" s="1065"/>
      <c r="C4" s="1649" t="s">
        <v>100</v>
      </c>
      <c r="D4" s="1593"/>
      <c r="E4" s="122" t="s">
        <v>1500</v>
      </c>
      <c r="F4" s="1590"/>
      <c r="G4" s="172"/>
      <c r="H4" s="1590" t="s">
        <v>769</v>
      </c>
      <c r="K4" s="1544"/>
      <c r="L4" s="1544"/>
    </row>
    <row r="5" spans="1:12" s="1555" customFormat="1" ht="14.25" hidden="1" customHeight="1">
      <c r="A5" s="1283"/>
      <c r="B5" s="1065"/>
      <c r="C5" s="265"/>
      <c r="K5" s="1544"/>
      <c r="L5" s="1544"/>
    </row>
    <row r="6" spans="1:12" s="1555" customFormat="1" ht="18.75" hidden="1" customHeight="1">
      <c r="A6" s="1603"/>
      <c r="B6" s="1065"/>
      <c r="C6" s="1649" t="s">
        <v>100</v>
      </c>
      <c r="D6" s="1593"/>
      <c r="E6" s="123" t="s">
        <v>1501</v>
      </c>
      <c r="F6" s="1590"/>
      <c r="G6" s="172"/>
      <c r="H6" s="1590" t="s">
        <v>769</v>
      </c>
      <c r="K6" s="1544"/>
      <c r="L6" s="1544"/>
    </row>
    <row r="7" spans="1:12" s="1555" customFormat="1" ht="14.25" hidden="1" customHeight="1">
      <c r="A7" s="1283"/>
      <c r="B7" s="1065"/>
      <c r="C7" s="265"/>
      <c r="K7" s="1544"/>
      <c r="L7" s="1544"/>
    </row>
    <row r="8" spans="1:12" s="1555" customFormat="1" ht="18.75" hidden="1" customHeight="1">
      <c r="A8" s="1603"/>
      <c r="B8" s="1065"/>
      <c r="C8" s="1649" t="s">
        <v>100</v>
      </c>
      <c r="D8" s="1593"/>
      <c r="E8" s="123" t="s">
        <v>1502</v>
      </c>
      <c r="F8" s="1590"/>
      <c r="G8" s="172"/>
      <c r="H8" s="1590" t="s">
        <v>769</v>
      </c>
      <c r="K8" s="1544"/>
      <c r="L8" s="1544"/>
    </row>
    <row r="9" spans="1:12" s="1555" customFormat="1" ht="14.25" hidden="1" customHeight="1">
      <c r="A9" s="1283"/>
      <c r="B9" s="1065"/>
      <c r="C9" s="265"/>
      <c r="K9" s="1544"/>
      <c r="L9" s="1544"/>
    </row>
    <row r="10" spans="1:12" s="1555" customFormat="1" ht="18.75" hidden="1" customHeight="1">
      <c r="A10" s="1603"/>
      <c r="B10" s="1065"/>
      <c r="C10" s="1649" t="s">
        <v>100</v>
      </c>
      <c r="D10" s="1593"/>
      <c r="E10" s="123" t="s">
        <v>1503</v>
      </c>
      <c r="F10" s="1590"/>
      <c r="G10" s="1594"/>
      <c r="H10" s="1590" t="s">
        <v>769</v>
      </c>
      <c r="K10" s="1544"/>
      <c r="L10" s="1544" t="s">
        <v>1504</v>
      </c>
    </row>
    <row r="11" spans="1:12" ht="14.25" hidden="1" customHeight="1"/>
    <row r="12" spans="1:12" ht="14.25" hidden="1" customHeight="1"/>
    <row r="13" spans="1:12" ht="14.25" customHeight="1">
      <c r="C13" s="26"/>
      <c r="D13" s="15"/>
      <c r="E13" s="15"/>
      <c r="F13" s="15"/>
      <c r="G13" s="15"/>
      <c r="H13" s="16"/>
      <c r="I13" s="16"/>
    </row>
    <row r="14" spans="1:12" ht="27.75" customHeight="1">
      <c r="C14" s="26"/>
      <c r="D14" s="878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8789"/>
      <c r="F14" s="8789"/>
      <c r="G14" s="8789"/>
      <c r="H14" s="8790"/>
      <c r="J14" s="1551"/>
    </row>
    <row r="15" spans="1:12" s="1555" customFormat="1" ht="14.25" customHeight="1">
      <c r="A15" s="1283"/>
      <c r="B15" s="1065"/>
      <c r="C15" s="300"/>
      <c r="D15" s="8848" t="str">
        <f>IF(org=0,"Не определено",org)</f>
        <v>ГУП СК "Ставрополькрайводоканал"</v>
      </c>
      <c r="E15" s="8849"/>
      <c r="F15" s="8849"/>
      <c r="G15" s="8849"/>
      <c r="H15" s="8850"/>
      <c r="J15" s="766"/>
      <c r="K15" s="1544"/>
      <c r="L15" s="1544"/>
    </row>
    <row r="16" spans="1:12" ht="14.25" customHeight="1">
      <c r="C16" s="26"/>
      <c r="D16" s="15"/>
      <c r="E16" s="25"/>
      <c r="F16" s="25"/>
      <c r="G16" s="25"/>
      <c r="H16" s="667"/>
      <c r="I16" s="110"/>
    </row>
    <row r="17" spans="1:12" s="1555" customFormat="1" ht="14.25" hidden="1" customHeight="1">
      <c r="A17" s="1283"/>
      <c r="B17" s="1065"/>
      <c r="C17" s="300"/>
      <c r="D17" s="286"/>
      <c r="E17" s="318"/>
      <c r="F17" s="318"/>
      <c r="G17" s="318"/>
      <c r="H17" s="667"/>
      <c r="I17" s="110"/>
      <c r="K17" s="1544"/>
      <c r="L17" s="1544"/>
    </row>
    <row r="18" spans="1:12" ht="21" customHeight="1">
      <c r="C18" s="26"/>
      <c r="D18" s="8843" t="s">
        <v>763</v>
      </c>
      <c r="E18" s="8843"/>
      <c r="F18" s="8843"/>
      <c r="G18" s="8843"/>
      <c r="H18" s="8843"/>
      <c r="I18" s="9026" t="s">
        <v>764</v>
      </c>
    </row>
    <row r="19" spans="1:12" ht="21" customHeight="1">
      <c r="C19" s="26"/>
      <c r="D19" s="32" t="s">
        <v>84</v>
      </c>
      <c r="E19" s="35" t="s">
        <v>765</v>
      </c>
      <c r="F19" s="35"/>
      <c r="G19" s="35" t="s">
        <v>766</v>
      </c>
      <c r="H19" s="35" t="s">
        <v>855</v>
      </c>
      <c r="I19" s="9026"/>
    </row>
    <row r="20" spans="1:12" ht="12" hidden="1" customHeight="1">
      <c r="C20" s="26"/>
      <c r="D20" s="18"/>
      <c r="E20" s="18"/>
      <c r="F20" s="18"/>
      <c r="G20" s="18"/>
      <c r="H20" s="18"/>
      <c r="I20" s="18"/>
    </row>
    <row r="21" spans="1:12" ht="14.25" customHeight="1">
      <c r="A21" s="1603"/>
      <c r="C21" s="26"/>
      <c r="D21" s="67">
        <v>1</v>
      </c>
      <c r="E21" s="9027" t="s">
        <v>1505</v>
      </c>
      <c r="F21" s="9027"/>
      <c r="G21" s="9027"/>
      <c r="H21" s="9027"/>
      <c r="I21" s="125"/>
    </row>
    <row r="22" spans="1:12" ht="20.25" customHeight="1">
      <c r="A22" s="1603"/>
      <c r="C22" s="26"/>
      <c r="D22" s="67" t="s">
        <v>1394</v>
      </c>
      <c r="E22" s="111" t="s">
        <v>1506</v>
      </c>
      <c r="F22" s="115"/>
      <c r="G22" s="1656"/>
      <c r="H22" s="115" t="s">
        <v>769</v>
      </c>
      <c r="I22" s="71" t="s">
        <v>1507</v>
      </c>
    </row>
    <row r="23" spans="1:12" ht="45" customHeight="1">
      <c r="A23" s="1603"/>
      <c r="C23" s="26"/>
      <c r="D23" s="67" t="s">
        <v>1396</v>
      </c>
      <c r="E23" s="111" t="s">
        <v>1508</v>
      </c>
      <c r="F23" s="115"/>
      <c r="G23" s="172"/>
      <c r="H23" s="130"/>
      <c r="I23" s="173" t="s">
        <v>1509</v>
      </c>
    </row>
    <row r="24" spans="1:12" ht="14.25" customHeight="1">
      <c r="A24" s="1603"/>
      <c r="B24" s="66">
        <v>3</v>
      </c>
      <c r="C24" s="26"/>
      <c r="D24" s="67">
        <v>2</v>
      </c>
      <c r="E24" s="13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15"/>
      <c r="G24" s="115" t="s">
        <v>769</v>
      </c>
      <c r="H24" s="130"/>
      <c r="I24" s="174" t="s">
        <v>1261</v>
      </c>
    </row>
    <row r="25" spans="1:12" ht="46.5" customHeight="1">
      <c r="A25" s="1603"/>
      <c r="C25" s="26"/>
      <c r="D25" s="67">
        <v>3</v>
      </c>
      <c r="E25" s="902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9027"/>
      <c r="G25" s="9027"/>
      <c r="H25" s="9027"/>
      <c r="I25" s="171"/>
    </row>
    <row r="26" spans="1:12" ht="14.25" customHeight="1">
      <c r="A26" s="1603"/>
      <c r="C26" s="26"/>
      <c r="D26" s="67" t="s">
        <v>789</v>
      </c>
      <c r="E26" s="116"/>
      <c r="F26" s="115"/>
      <c r="G26" s="115" t="s">
        <v>769</v>
      </c>
      <c r="H26" s="130"/>
      <c r="I26" s="8798" t="s">
        <v>1510</v>
      </c>
    </row>
    <row r="27" spans="1:12" ht="15" customHeight="1">
      <c r="A27" s="1603" t="s">
        <v>95</v>
      </c>
      <c r="C27" s="26"/>
      <c r="D27" s="36"/>
      <c r="E27" s="120" t="s">
        <v>1495</v>
      </c>
      <c r="F27" s="121"/>
      <c r="G27" s="121"/>
      <c r="H27" s="118"/>
      <c r="I27" s="8800"/>
    </row>
    <row r="28" spans="1:12" ht="38.25" customHeight="1">
      <c r="A28" s="1603"/>
      <c r="B28" s="66">
        <v>3</v>
      </c>
      <c r="C28" s="26"/>
      <c r="D28" s="67">
        <v>4</v>
      </c>
      <c r="E28" s="902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9027"/>
      <c r="G28" s="9027"/>
      <c r="H28" s="9027"/>
      <c r="I28" s="171"/>
    </row>
    <row r="29" spans="1:12" ht="20.25" customHeight="1">
      <c r="A29" s="1603"/>
      <c r="C29" s="26"/>
      <c r="D29" s="67" t="s">
        <v>1125</v>
      </c>
      <c r="E29" s="122" t="s">
        <v>1500</v>
      </c>
      <c r="F29" s="115"/>
      <c r="G29" s="172"/>
      <c r="H29" s="115" t="s">
        <v>769</v>
      </c>
      <c r="I29" s="8798" t="s">
        <v>1511</v>
      </c>
    </row>
    <row r="30" spans="1:12" ht="15" customHeight="1">
      <c r="A30" s="1603" t="s">
        <v>99</v>
      </c>
      <c r="C30" s="26"/>
      <c r="D30" s="36"/>
      <c r="E30" s="120" t="s">
        <v>1495</v>
      </c>
      <c r="F30" s="121"/>
      <c r="G30" s="121"/>
      <c r="H30" s="118"/>
      <c r="I30" s="8800"/>
    </row>
    <row r="31" spans="1:12" ht="30" customHeight="1">
      <c r="A31" s="1603"/>
      <c r="B31" s="66">
        <v>3</v>
      </c>
      <c r="C31" s="26"/>
      <c r="D31" s="67">
        <v>5</v>
      </c>
      <c r="E31" s="902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9027"/>
      <c r="G31" s="9027"/>
      <c r="H31" s="9027"/>
      <c r="I31" s="171"/>
    </row>
    <row r="32" spans="1:12" ht="26.25" customHeight="1">
      <c r="A32" s="1603"/>
      <c r="C32" s="26"/>
      <c r="D32" s="67" t="s">
        <v>778</v>
      </c>
      <c r="E32" s="898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8984"/>
      <c r="G32" s="8984"/>
      <c r="H32" s="8984"/>
      <c r="I32" s="171"/>
    </row>
    <row r="33" spans="1:12" ht="14.25" customHeight="1">
      <c r="A33" s="1603"/>
      <c r="C33" s="26"/>
      <c r="D33" s="67" t="s">
        <v>1512</v>
      </c>
      <c r="E33" s="123" t="s">
        <v>1501</v>
      </c>
      <c r="F33" s="115"/>
      <c r="G33" s="172"/>
      <c r="H33" s="115" t="s">
        <v>769</v>
      </c>
      <c r="I33" s="8798" t="s">
        <v>1513</v>
      </c>
    </row>
    <row r="34" spans="1:12" ht="15" customHeight="1">
      <c r="A34" s="1603" t="s">
        <v>86</v>
      </c>
      <c r="C34" s="26"/>
      <c r="D34" s="36"/>
      <c r="E34" s="121" t="s">
        <v>1495</v>
      </c>
      <c r="F34" s="117"/>
      <c r="G34" s="117"/>
      <c r="H34" s="118"/>
      <c r="I34" s="8800"/>
    </row>
    <row r="35" spans="1:12" ht="24" customHeight="1">
      <c r="A35" s="1603"/>
      <c r="C35" s="26"/>
      <c r="D35" s="67" t="s">
        <v>780</v>
      </c>
      <c r="E35" s="898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8984"/>
      <c r="G35" s="8984"/>
      <c r="H35" s="8984"/>
      <c r="I35" s="171"/>
    </row>
    <row r="36" spans="1:12" ht="14.25" customHeight="1">
      <c r="A36" s="1603"/>
      <c r="C36" s="26"/>
      <c r="D36" s="67" t="s">
        <v>1514</v>
      </c>
      <c r="E36" s="123" t="s">
        <v>1502</v>
      </c>
      <c r="F36" s="115"/>
      <c r="G36" s="172"/>
      <c r="H36" s="115" t="s">
        <v>769</v>
      </c>
      <c r="I36" s="8769" t="s">
        <v>1515</v>
      </c>
    </row>
    <row r="37" spans="1:12" ht="15" customHeight="1">
      <c r="A37" s="1603" t="s">
        <v>87</v>
      </c>
      <c r="C37" s="26"/>
      <c r="D37" s="36"/>
      <c r="E37" s="121" t="s">
        <v>1495</v>
      </c>
      <c r="F37" s="117"/>
      <c r="G37" s="117"/>
      <c r="H37" s="118"/>
      <c r="I37" s="8769"/>
    </row>
    <row r="38" spans="1:12" ht="26.25" customHeight="1">
      <c r="A38" s="1603"/>
      <c r="C38" s="26"/>
      <c r="D38" s="67" t="s">
        <v>783</v>
      </c>
      <c r="E38" s="898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8984"/>
      <c r="G38" s="8984"/>
      <c r="H38" s="8984"/>
      <c r="I38" s="171"/>
    </row>
    <row r="39" spans="1:12" ht="14.25" customHeight="1">
      <c r="A39" s="1603"/>
      <c r="C39" s="26"/>
      <c r="D39" s="67" t="s">
        <v>1254</v>
      </c>
      <c r="E39" s="123" t="s">
        <v>1503</v>
      </c>
      <c r="F39" s="115"/>
      <c r="G39" s="124"/>
      <c r="H39" s="115" t="s">
        <v>769</v>
      </c>
      <c r="I39" s="8798" t="s">
        <v>1516</v>
      </c>
      <c r="L39" s="73" t="s">
        <v>1504</v>
      </c>
    </row>
    <row r="40" spans="1:12" ht="15" customHeight="1">
      <c r="A40" s="1603" t="s">
        <v>113</v>
      </c>
      <c r="C40" s="26"/>
      <c r="D40" s="36"/>
      <c r="E40" s="121" t="s">
        <v>1495</v>
      </c>
      <c r="F40" s="117"/>
      <c r="G40" s="117"/>
      <c r="H40" s="118"/>
      <c r="I40" s="8800"/>
    </row>
    <row r="41" spans="1:12" s="1742" customFormat="1" ht="3" customHeight="1">
      <c r="A41" s="1603"/>
      <c r="K41" s="113"/>
      <c r="L41" s="113"/>
    </row>
    <row r="42" spans="1:12" ht="24.75" customHeight="1">
      <c r="D42" s="1601" t="s">
        <v>1176</v>
      </c>
      <c r="E42" s="890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8903"/>
      <c r="G42" s="8903"/>
      <c r="H42" s="8903"/>
      <c r="I42" s="8903"/>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006"/>
  <sheetViews>
    <sheetView showGridLines="0" topLeftCell="D949" zoomScale="90" workbookViewId="0">
      <selection activeCell="G959" sqref="G959:G960"/>
    </sheetView>
  </sheetViews>
  <sheetFormatPr defaultColWidth="10.5703125" defaultRowHeight="14.25" customHeight="1"/>
  <cols>
    <col min="1" max="2" width="25.140625" style="1699" hidden="1" customWidth="1"/>
    <col min="3" max="3" width="9.140625" style="1607" hidden="1" customWidth="1"/>
    <col min="4" max="4" width="3.7109375" style="265" customWidth="1"/>
    <col min="5" max="5" width="6.28515625" style="1555" customWidth="1"/>
    <col min="6" max="6" width="46.7109375" style="1555" customWidth="1"/>
    <col min="7" max="7" width="35.7109375" style="1555" customWidth="1"/>
    <col min="8" max="8" width="3.7109375" style="1555" customWidth="1"/>
    <col min="9" max="10" width="11.7109375" style="1555" customWidth="1"/>
    <col min="11" max="12" width="35.7109375" style="1555" customWidth="1"/>
    <col min="13" max="13" width="84.85546875" style="1555" customWidth="1"/>
    <col min="14" max="14" width="10.5703125" style="1555"/>
    <col min="15" max="16" width="10.5703125" style="1544"/>
    <col min="17" max="33" width="10.5703125" style="1555"/>
  </cols>
  <sheetData>
    <row r="1" spans="1:33" s="1555" customFormat="1" ht="14.25" hidden="1" customHeight="1">
      <c r="A1" s="1699"/>
      <c r="B1" s="1699"/>
      <c r="C1" s="293"/>
      <c r="D1" s="265"/>
      <c r="N1" s="1556">
        <f>IFERROR(MATCH("метод экономически обоснованных расходов (затрат)",OFFER_METHOD,0),0)</f>
        <v>34</v>
      </c>
      <c r="O1" s="1544"/>
      <c r="P1" s="1544"/>
      <c r="T1" s="745"/>
      <c r="AG1" s="170"/>
    </row>
    <row r="2" spans="1:33" s="1555" customFormat="1" ht="18.75" hidden="1" customHeight="1">
      <c r="A2" s="1700" t="s">
        <v>237</v>
      </c>
      <c r="B2" s="1700" t="s">
        <v>238</v>
      </c>
      <c r="C2" s="293"/>
      <c r="D2" s="265"/>
      <c r="E2" s="942"/>
      <c r="F2" s="942"/>
      <c r="G2" s="9000" t="str">
        <f>INDEX(PT_DIFFERENTIATION_NTAR,MATCH(B2,PT_DIFFERENTIATION_NTAR_ID,0))</f>
        <v/>
      </c>
      <c r="H2" s="1783"/>
      <c r="I2" s="1658"/>
      <c r="J2" s="1693"/>
      <c r="K2" s="1784"/>
      <c r="L2" s="1783" t="s">
        <v>769</v>
      </c>
      <c r="M2" s="1794"/>
      <c r="N2" s="256"/>
      <c r="O2" s="1544"/>
      <c r="P2" s="1544"/>
    </row>
    <row r="3" spans="1:33" s="1555" customFormat="1" ht="18.75" hidden="1" customHeight="1">
      <c r="A3" s="1700"/>
      <c r="B3" s="1700"/>
      <c r="C3" s="293" t="s">
        <v>1517</v>
      </c>
      <c r="D3" s="265"/>
      <c r="E3" s="942"/>
      <c r="F3" s="942"/>
      <c r="G3" s="9000"/>
      <c r="H3" s="1415"/>
      <c r="I3" s="569" t="s">
        <v>1518</v>
      </c>
      <c r="J3" s="494"/>
      <c r="K3" s="1415"/>
      <c r="L3" s="131"/>
      <c r="M3" s="1794"/>
      <c r="N3" s="256"/>
      <c r="O3" s="1544"/>
      <c r="P3" s="1544"/>
    </row>
    <row r="4" spans="1:33" s="1555" customFormat="1" ht="14.25" hidden="1" customHeight="1">
      <c r="A4" s="1699"/>
      <c r="B4" s="1699"/>
      <c r="C4" s="293"/>
      <c r="D4" s="265"/>
      <c r="N4" s="1556">
        <f>IFERROR(MATCH("метод экономически обоснованных расходов (затрат)",OFFER_METHOD,0),0)</f>
        <v>34</v>
      </c>
      <c r="O4" s="1544"/>
      <c r="P4" s="1544"/>
      <c r="T4" s="745"/>
      <c r="AG4" s="170"/>
    </row>
    <row r="5" spans="1:33" s="1555" customFormat="1" ht="18.75" hidden="1" customHeight="1">
      <c r="A5" s="1700" t="s">
        <v>237</v>
      </c>
      <c r="B5" s="1700" t="s">
        <v>238</v>
      </c>
      <c r="C5" s="293"/>
      <c r="D5" s="265"/>
      <c r="E5" s="942"/>
      <c r="F5" s="942"/>
      <c r="G5" s="9000" t="str">
        <f>INDEX(PT_DIFFERENTIATION_NTAR,MATCH(B5,PT_DIFFERENTIATION_NTAR_ID,0))</f>
        <v/>
      </c>
      <c r="H5" s="1783"/>
      <c r="I5" s="1658"/>
      <c r="J5" s="1693"/>
      <c r="K5" s="1698"/>
      <c r="L5" s="1783" t="s">
        <v>769</v>
      </c>
      <c r="M5" s="1794"/>
      <c r="N5" s="256"/>
      <c r="O5" s="1544"/>
      <c r="P5" s="1544"/>
    </row>
    <row r="6" spans="1:33" s="1555" customFormat="1" ht="18.75" hidden="1" customHeight="1">
      <c r="A6" s="1700"/>
      <c r="B6" s="1700"/>
      <c r="C6" s="293" t="s">
        <v>1519</v>
      </c>
      <c r="D6" s="265"/>
      <c r="E6" s="942"/>
      <c r="F6" s="942"/>
      <c r="G6" s="9000"/>
      <c r="H6" s="1415"/>
      <c r="I6" s="569" t="s">
        <v>1518</v>
      </c>
      <c r="J6" s="494"/>
      <c r="K6" s="1415"/>
      <c r="L6" s="131"/>
      <c r="M6" s="1794"/>
      <c r="N6" s="256"/>
      <c r="O6" s="1544"/>
      <c r="P6" s="1544"/>
    </row>
    <row r="7" spans="1:33" s="1555" customFormat="1" ht="14.25" hidden="1" customHeight="1">
      <c r="A7" s="1699"/>
      <c r="B7" s="1699"/>
      <c r="C7" s="293"/>
      <c r="D7" s="265"/>
      <c r="N7" s="1556">
        <f>IFERROR(MATCH("метод экономически обоснованных расходов (затрат)",OFFER_METHOD,0),0)</f>
        <v>34</v>
      </c>
      <c r="O7" s="1544"/>
      <c r="P7" s="1544"/>
      <c r="T7" s="745"/>
      <c r="AG7" s="170"/>
    </row>
    <row r="8" spans="1:33" s="1555" customFormat="1" ht="56.25" hidden="1" customHeight="1">
      <c r="A8" s="1700"/>
      <c r="B8" s="1700"/>
      <c r="C8" s="293"/>
      <c r="D8" s="265"/>
      <c r="E8" s="942"/>
      <c r="F8" s="942"/>
      <c r="G8" s="942"/>
      <c r="H8" s="1691"/>
      <c r="I8" s="1658"/>
      <c r="J8" s="1693"/>
      <c r="K8" s="1784"/>
      <c r="L8" s="1691" t="s">
        <v>769</v>
      </c>
      <c r="M8" s="1794"/>
      <c r="N8" s="256"/>
      <c r="O8" s="1544"/>
      <c r="P8" s="1544"/>
    </row>
    <row r="9" spans="1:33" ht="14.25" hidden="1" customHeight="1">
      <c r="T9" s="326"/>
      <c r="AG9" s="170"/>
    </row>
    <row r="10" spans="1:33" s="1555" customFormat="1" ht="56.25" hidden="1" customHeight="1">
      <c r="A10" s="1700"/>
      <c r="B10" s="1700"/>
      <c r="C10" s="293"/>
      <c r="D10" s="265"/>
      <c r="E10" s="942"/>
      <c r="F10" s="942"/>
      <c r="G10" s="942"/>
      <c r="H10" s="1690"/>
      <c r="I10" s="1658"/>
      <c r="J10" s="1693"/>
      <c r="K10" s="1698"/>
      <c r="L10" s="1691" t="s">
        <v>769</v>
      </c>
      <c r="M10" s="1794"/>
      <c r="N10" s="256"/>
      <c r="O10" s="1544"/>
      <c r="P10" s="1544"/>
    </row>
    <row r="11" spans="1:33" ht="14.25" hidden="1" customHeight="1"/>
    <row r="12" spans="1:33" ht="14.25" hidden="1" customHeight="1"/>
    <row r="13" spans="1:33" ht="6" customHeight="1">
      <c r="D13" s="300"/>
      <c r="E13" s="286"/>
      <c r="F13" s="286"/>
      <c r="G13" s="286"/>
      <c r="H13" s="286"/>
      <c r="I13" s="286"/>
      <c r="J13" s="286"/>
      <c r="K13" s="286"/>
      <c r="L13" s="16"/>
      <c r="M13" s="16"/>
    </row>
    <row r="14" spans="1:33" ht="14.25" customHeight="1">
      <c r="D14" s="300"/>
      <c r="E14" s="903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9033"/>
      <c r="G14" s="9033"/>
      <c r="H14" s="9033"/>
      <c r="I14" s="9033"/>
      <c r="J14" s="9033"/>
      <c r="K14" s="9033"/>
      <c r="L14" s="9033"/>
      <c r="M14" s="137"/>
    </row>
    <row r="15" spans="1:33" ht="6" customHeight="1">
      <c r="D15" s="300"/>
      <c r="E15" s="286"/>
      <c r="F15" s="318"/>
      <c r="G15" s="318"/>
      <c r="H15" s="318"/>
      <c r="I15" s="318"/>
      <c r="J15" s="318"/>
      <c r="K15" s="318"/>
      <c r="L15" s="242"/>
      <c r="M15" s="110"/>
    </row>
    <row r="16" spans="1:33" ht="18.75" customHeight="1">
      <c r="D16" s="300"/>
      <c r="E16" s="286"/>
      <c r="F16" s="220" t="str">
        <f>"Дата подачи заявления об "&amp;IF(TITLE_DATE_PR_CHANGE="","утверждении","изменении")&amp;" тарифов"</f>
        <v>Дата подачи заявления об утверждении тарифов</v>
      </c>
      <c r="G16" s="8885">
        <f>IF(TITLE_DATE_PR_CHANGE="",IF(TITLE_DATE_PR="","",TITLE_DATE_PR),TITLE_DATE_PR_CHANGE)</f>
        <v>45281.411851851852</v>
      </c>
      <c r="H16" s="8885"/>
      <c r="I16" s="8885"/>
      <c r="J16" s="8885"/>
      <c r="K16" s="8885"/>
      <c r="L16" s="8885"/>
      <c r="M16" s="327"/>
      <c r="N16" s="248"/>
    </row>
    <row r="17" spans="1:16" ht="18.75" customHeight="1">
      <c r="D17" s="300"/>
      <c r="E17" s="286"/>
      <c r="F17" s="220" t="str">
        <f>"Номер подачи заявления об "&amp;IF(TITLE_DATE_PR_CHANGE="","утверждении","изменении")&amp;" тарифов"</f>
        <v>Номер подачи заявления об утверждении тарифов</v>
      </c>
      <c r="G17" s="8876" t="str">
        <f>IF(TITLE_NUMBER_PR_CHANGE="",IF(TITLE_NUMBER_PR="","",TITLE_NUMBER_PR),TITLE_NUMBER_PR_CHANGE)</f>
        <v>06-11/11398</v>
      </c>
      <c r="H17" s="8876"/>
      <c r="I17" s="8876"/>
      <c r="J17" s="8876"/>
      <c r="K17" s="8876"/>
      <c r="L17" s="8876"/>
      <c r="M17" s="327"/>
      <c r="N17" s="248"/>
    </row>
    <row r="18" spans="1:16" ht="14.25" customHeight="1">
      <c r="D18" s="300"/>
      <c r="E18" s="286"/>
      <c r="F18" s="318"/>
      <c r="G18" s="318"/>
      <c r="H18" s="318"/>
      <c r="I18" s="318"/>
      <c r="J18" s="318"/>
      <c r="K18" s="318"/>
      <c r="L18" s="667"/>
      <c r="M18" s="110"/>
    </row>
    <row r="19" spans="1:16" ht="21" customHeight="1">
      <c r="D19" s="300"/>
      <c r="E19" s="8843" t="s">
        <v>763</v>
      </c>
      <c r="F19" s="8843"/>
      <c r="G19" s="8843"/>
      <c r="H19" s="8843"/>
      <c r="I19" s="8843"/>
      <c r="J19" s="8843"/>
      <c r="K19" s="8843"/>
      <c r="L19" s="8843"/>
      <c r="M19" s="9026" t="s">
        <v>764</v>
      </c>
    </row>
    <row r="20" spans="1:16" ht="21" customHeight="1">
      <c r="D20" s="300"/>
      <c r="E20" s="8895" t="s">
        <v>84</v>
      </c>
      <c r="F20" s="8856" t="s">
        <v>210</v>
      </c>
      <c r="G20" s="8856" t="s">
        <v>211</v>
      </c>
      <c r="H20" s="9005" t="s">
        <v>1520</v>
      </c>
      <c r="I20" s="9006"/>
      <c r="J20" s="9007"/>
      <c r="K20" s="8856" t="s">
        <v>766</v>
      </c>
      <c r="L20" s="8856" t="s">
        <v>855</v>
      </c>
      <c r="M20" s="9026"/>
    </row>
    <row r="21" spans="1:16" ht="21" customHeight="1">
      <c r="D21" s="300"/>
      <c r="E21" s="8897"/>
      <c r="F21" s="8857"/>
      <c r="G21" s="8857"/>
      <c r="H21" s="8851" t="s">
        <v>1521</v>
      </c>
      <c r="I21" s="8853"/>
      <c r="J21" s="35" t="s">
        <v>1522</v>
      </c>
      <c r="K21" s="8857"/>
      <c r="L21" s="8857"/>
      <c r="M21" s="9026"/>
    </row>
    <row r="22" spans="1:16" ht="12" customHeight="1">
      <c r="D22" s="300"/>
      <c r="E22" s="197"/>
      <c r="F22" s="197"/>
      <c r="G22" s="197"/>
      <c r="H22" s="9035"/>
      <c r="I22" s="9035"/>
      <c r="J22" s="197"/>
      <c r="K22" s="197"/>
      <c r="L22" s="197"/>
      <c r="M22" s="197"/>
    </row>
    <row r="23" spans="1:16" ht="18.75" customHeight="1">
      <c r="A23" s="1700"/>
      <c r="B23" s="1700"/>
      <c r="D23" s="300"/>
      <c r="E23" s="1785" t="s">
        <v>95</v>
      </c>
      <c r="F23" s="9036" t="str">
        <f>"Предлагаемый метод регулирования"&amp;IF(TEMPLATE_SPHERE="HEAT"," в сфере "&amp;TEMPLATE_SPHERE_RUS,"")</f>
        <v>Предлагаемый метод регулирования</v>
      </c>
      <c r="G23" s="9036"/>
      <c r="H23" s="9027"/>
      <c r="I23" s="9027"/>
      <c r="J23" s="9027"/>
      <c r="K23" s="9036" t="s">
        <v>769</v>
      </c>
      <c r="L23" s="9027"/>
      <c r="M23" s="1689"/>
      <c r="N23" s="256"/>
    </row>
    <row r="24" spans="1:16" ht="60.75" hidden="1" customHeight="1">
      <c r="A24" s="1700" t="s">
        <v>237</v>
      </c>
      <c r="B24" s="1700" t="s">
        <v>238</v>
      </c>
      <c r="D24" s="9034"/>
      <c r="E24" s="8837"/>
      <c r="F24" s="903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9000" t="str">
        <f>INDEX(PT_DIFFERENTIATION_NTAR,MATCH(B24,PT_DIFFERENTIATION_NTAR_ID,0))</f>
        <v/>
      </c>
      <c r="H24" s="1781"/>
      <c r="I24" s="1658"/>
      <c r="J24" s="1693"/>
      <c r="K24" s="1784"/>
      <c r="L24" s="1688" t="s">
        <v>769</v>
      </c>
      <c r="M24" s="87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6"/>
    </row>
    <row r="25" spans="1:16" s="1555" customFormat="1" ht="18.75" hidden="1" customHeight="1">
      <c r="A25" s="1700"/>
      <c r="B25" s="1700"/>
      <c r="C25" s="293" t="s">
        <v>1517</v>
      </c>
      <c r="D25" s="9034"/>
      <c r="E25" s="8837"/>
      <c r="F25" s="9037"/>
      <c r="G25" s="9000"/>
      <c r="H25" s="1415"/>
      <c r="I25" s="569" t="s">
        <v>1518</v>
      </c>
      <c r="J25" s="494"/>
      <c r="K25" s="1415"/>
      <c r="L25" s="131"/>
      <c r="M25" s="8799"/>
      <c r="N25" s="256"/>
      <c r="O25" s="1544"/>
      <c r="P25" s="1544"/>
    </row>
    <row r="26" spans="1:16" ht="0.75" hidden="1" customHeight="1">
      <c r="A26" s="1700"/>
      <c r="B26" s="1700"/>
      <c r="C26" s="293" t="s">
        <v>1523</v>
      </c>
      <c r="D26" s="9034"/>
      <c r="E26" s="8837"/>
      <c r="F26" s="8972"/>
      <c r="G26" s="329"/>
      <c r="H26" s="1415"/>
      <c r="I26" s="324"/>
      <c r="J26" s="270"/>
      <c r="K26" s="1415"/>
      <c r="L26" s="118"/>
      <c r="M26" s="8799"/>
      <c r="N26" s="256"/>
    </row>
    <row r="27" spans="1:16" s="1555" customFormat="1" ht="45" hidden="1" customHeight="1">
      <c r="A27" s="1700" t="s">
        <v>243</v>
      </c>
      <c r="B27" s="1700" t="s">
        <v>244</v>
      </c>
      <c r="C27" s="293"/>
      <c r="D27" s="9028"/>
      <c r="E27" s="9031"/>
      <c r="F27" s="903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9000" t="str">
        <f>INDEX(PT_DIFFERENTIATION_NTAR,MATCH(B27,PT_DIFFERENTIATION_NTAR_ID,0))</f>
        <v/>
      </c>
      <c r="H27" s="1781"/>
      <c r="I27" s="1658"/>
      <c r="J27" s="1693"/>
      <c r="K27" s="1784"/>
      <c r="L27" s="1781" t="s">
        <v>769</v>
      </c>
      <c r="M27" s="8799"/>
      <c r="N27" s="256"/>
      <c r="O27" s="1544"/>
      <c r="P27" s="1544"/>
    </row>
    <row r="28" spans="1:16" s="1555" customFormat="1" ht="18.75" hidden="1" customHeight="1">
      <c r="A28" s="1700"/>
      <c r="B28" s="1700"/>
      <c r="C28" s="293" t="s">
        <v>1517</v>
      </c>
      <c r="D28" s="9028"/>
      <c r="E28" s="9031"/>
      <c r="F28" s="9032"/>
      <c r="G28" s="9000"/>
      <c r="H28" s="1415"/>
      <c r="I28" s="569" t="s">
        <v>1518</v>
      </c>
      <c r="J28" s="494"/>
      <c r="K28" s="1415"/>
      <c r="L28" s="131"/>
      <c r="M28" s="8799"/>
      <c r="N28" s="256"/>
      <c r="O28" s="1544"/>
      <c r="P28" s="1544"/>
    </row>
    <row r="29" spans="1:16" s="1555" customFormat="1" ht="0.75" hidden="1" customHeight="1">
      <c r="A29" s="1700"/>
      <c r="B29" s="1700"/>
      <c r="C29" s="293" t="s">
        <v>1523</v>
      </c>
      <c r="D29" s="9028"/>
      <c r="E29" s="8837"/>
      <c r="F29" s="8972"/>
      <c r="G29" s="329"/>
      <c r="H29" s="1415"/>
      <c r="I29" s="569"/>
      <c r="J29" s="494"/>
      <c r="K29" s="1415"/>
      <c r="L29" s="131"/>
      <c r="M29" s="8799"/>
      <c r="N29" s="256"/>
      <c r="O29" s="1544"/>
      <c r="P29" s="1544"/>
    </row>
    <row r="30" spans="1:16" s="1555" customFormat="1" ht="45" hidden="1" customHeight="1">
      <c r="A30" s="1700" t="s">
        <v>249</v>
      </c>
      <c r="B30" s="1700" t="s">
        <v>250</v>
      </c>
      <c r="C30" s="293"/>
      <c r="D30" s="9028"/>
      <c r="E30" s="8837"/>
      <c r="F30" s="89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9000" t="str">
        <f>INDEX(PT_DIFFERENTIATION_NTAR,MATCH(B30,PT_DIFFERENTIATION_NTAR_ID,0))</f>
        <v/>
      </c>
      <c r="H30" s="1781"/>
      <c r="I30" s="1658"/>
      <c r="J30" s="1693"/>
      <c r="K30" s="1784"/>
      <c r="L30" s="1781" t="s">
        <v>769</v>
      </c>
      <c r="M30" s="8799"/>
      <c r="N30" s="256"/>
      <c r="O30" s="1544"/>
      <c r="P30" s="1544"/>
    </row>
    <row r="31" spans="1:16" s="1555" customFormat="1" ht="18.75" hidden="1" customHeight="1">
      <c r="A31" s="1700"/>
      <c r="B31" s="1700"/>
      <c r="C31" s="293" t="s">
        <v>1517</v>
      </c>
      <c r="D31" s="9028"/>
      <c r="E31" s="8837"/>
      <c r="F31" s="8972"/>
      <c r="G31" s="9000"/>
      <c r="H31" s="1415"/>
      <c r="I31" s="569" t="s">
        <v>1518</v>
      </c>
      <c r="J31" s="494"/>
      <c r="K31" s="1415"/>
      <c r="L31" s="131"/>
      <c r="M31" s="8799"/>
      <c r="N31" s="256"/>
      <c r="O31" s="1544"/>
      <c r="P31" s="1544"/>
    </row>
    <row r="32" spans="1:16" s="1555" customFormat="1" ht="0.75" hidden="1" customHeight="1">
      <c r="A32" s="1700"/>
      <c r="B32" s="1700"/>
      <c r="C32" s="293" t="s">
        <v>1523</v>
      </c>
      <c r="D32" s="9028"/>
      <c r="E32" s="8837"/>
      <c r="F32" s="8972"/>
      <c r="G32" s="329"/>
      <c r="H32" s="1415"/>
      <c r="I32" s="569"/>
      <c r="J32" s="494"/>
      <c r="K32" s="1415"/>
      <c r="L32" s="131"/>
      <c r="M32" s="8799"/>
      <c r="N32" s="256"/>
      <c r="O32" s="1544"/>
      <c r="P32" s="1544"/>
    </row>
    <row r="33" spans="1:16" s="1555" customFormat="1" ht="45" hidden="1" customHeight="1">
      <c r="A33" s="1700" t="s">
        <v>255</v>
      </c>
      <c r="B33" s="1700" t="s">
        <v>256</v>
      </c>
      <c r="C33" s="293"/>
      <c r="D33" s="9028"/>
      <c r="E33" s="8837"/>
      <c r="F33" s="89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9000" t="str">
        <f>INDEX(PT_DIFFERENTIATION_NTAR,MATCH(B33,PT_DIFFERENTIATION_NTAR_ID,0))</f>
        <v/>
      </c>
      <c r="H33" s="1781"/>
      <c r="I33" s="1658"/>
      <c r="J33" s="1693"/>
      <c r="K33" s="1784"/>
      <c r="L33" s="1781" t="s">
        <v>769</v>
      </c>
      <c r="M33" s="8799"/>
      <c r="N33" s="256"/>
      <c r="O33" s="1544"/>
      <c r="P33" s="1544"/>
    </row>
    <row r="34" spans="1:16" s="1555" customFormat="1" ht="18.75" hidden="1" customHeight="1">
      <c r="A34" s="1700"/>
      <c r="B34" s="1700"/>
      <c r="C34" s="293" t="s">
        <v>1517</v>
      </c>
      <c r="D34" s="9028"/>
      <c r="E34" s="8837"/>
      <c r="F34" s="8972"/>
      <c r="G34" s="9000"/>
      <c r="H34" s="1415"/>
      <c r="I34" s="569" t="s">
        <v>1518</v>
      </c>
      <c r="J34" s="494"/>
      <c r="K34" s="1415"/>
      <c r="L34" s="131"/>
      <c r="M34" s="8799"/>
      <c r="N34" s="256"/>
      <c r="O34" s="1544"/>
      <c r="P34" s="1544"/>
    </row>
    <row r="35" spans="1:16" s="1555" customFormat="1" ht="0.75" hidden="1" customHeight="1">
      <c r="A35" s="1700"/>
      <c r="B35" s="1700"/>
      <c r="C35" s="293" t="s">
        <v>1523</v>
      </c>
      <c r="D35" s="9028"/>
      <c r="E35" s="8837"/>
      <c r="F35" s="8972"/>
      <c r="G35" s="329"/>
      <c r="H35" s="1415"/>
      <c r="I35" s="569"/>
      <c r="J35" s="494"/>
      <c r="K35" s="1415"/>
      <c r="L35" s="131"/>
      <c r="M35" s="8799"/>
      <c r="N35" s="256"/>
      <c r="O35" s="1544"/>
      <c r="P35" s="1544"/>
    </row>
    <row r="36" spans="1:16" s="1555" customFormat="1" ht="18.75" hidden="1" customHeight="1">
      <c r="A36" s="1700" t="s">
        <v>261</v>
      </c>
      <c r="B36" s="1700" t="s">
        <v>262</v>
      </c>
      <c r="C36" s="293"/>
      <c r="D36" s="9028"/>
      <c r="E36" s="8837"/>
      <c r="F36" s="8972" t="str">
        <f>INDEX(PT_DIFFERENTIATION_VTAR,MATCH(A36,PT_DIFFERENTIATION_VTAR_ID,0))</f>
        <v>Тарифы на услуги по передаче тепловой энергии</v>
      </c>
      <c r="G36" s="9000" t="str">
        <f>INDEX(PT_DIFFERENTIATION_NTAR,MATCH(B36,PT_DIFFERENTIATION_NTAR_ID,0))</f>
        <v/>
      </c>
      <c r="H36" s="1781"/>
      <c r="I36" s="1658"/>
      <c r="J36" s="1693"/>
      <c r="K36" s="1784"/>
      <c r="L36" s="1781" t="s">
        <v>769</v>
      </c>
      <c r="M36" s="8799"/>
      <c r="N36" s="256"/>
      <c r="O36" s="1544"/>
      <c r="P36" s="1544"/>
    </row>
    <row r="37" spans="1:16" s="1555" customFormat="1" ht="18.75" hidden="1" customHeight="1">
      <c r="A37" s="1700"/>
      <c r="B37" s="1700"/>
      <c r="C37" s="293" t="s">
        <v>1517</v>
      </c>
      <c r="D37" s="9028"/>
      <c r="E37" s="8837"/>
      <c r="F37" s="8972"/>
      <c r="G37" s="9000"/>
      <c r="H37" s="1415"/>
      <c r="I37" s="569" t="s">
        <v>1518</v>
      </c>
      <c r="J37" s="494"/>
      <c r="K37" s="1415"/>
      <c r="L37" s="131"/>
      <c r="M37" s="8799"/>
      <c r="N37" s="256"/>
      <c r="O37" s="1544"/>
      <c r="P37" s="1544"/>
    </row>
    <row r="38" spans="1:16" s="1555" customFormat="1" ht="0.75" hidden="1" customHeight="1">
      <c r="A38" s="1700"/>
      <c r="B38" s="1700"/>
      <c r="C38" s="293" t="s">
        <v>1523</v>
      </c>
      <c r="D38" s="9028"/>
      <c r="E38" s="8837"/>
      <c r="F38" s="8972"/>
      <c r="G38" s="329"/>
      <c r="H38" s="1415"/>
      <c r="I38" s="569"/>
      <c r="J38" s="494"/>
      <c r="K38" s="1415"/>
      <c r="L38" s="131"/>
      <c r="M38" s="8799"/>
      <c r="N38" s="256"/>
      <c r="O38" s="1544"/>
      <c r="P38" s="1544"/>
    </row>
    <row r="39" spans="1:16" s="1555" customFormat="1" ht="18.75" hidden="1" customHeight="1">
      <c r="A39" s="1700" t="s">
        <v>267</v>
      </c>
      <c r="B39" s="1700" t="s">
        <v>268</v>
      </c>
      <c r="C39" s="293"/>
      <c r="D39" s="9028"/>
      <c r="E39" s="8837"/>
      <c r="F39" s="8972" t="str">
        <f>INDEX(PT_DIFFERENTIATION_VTAR,MATCH(A39,PT_DIFFERENTIATION_VTAR_ID,0))</f>
        <v>Тарифы на услуги по передаче теплоносителя</v>
      </c>
      <c r="G39" s="9000" t="str">
        <f>INDEX(PT_DIFFERENTIATION_NTAR,MATCH(B39,PT_DIFFERENTIATION_NTAR_ID,0))</f>
        <v/>
      </c>
      <c r="H39" s="1781"/>
      <c r="I39" s="1658"/>
      <c r="J39" s="1693"/>
      <c r="K39" s="1784"/>
      <c r="L39" s="1781" t="s">
        <v>769</v>
      </c>
      <c r="M39" s="8799"/>
      <c r="N39" s="256"/>
      <c r="O39" s="1544"/>
      <c r="P39" s="1544"/>
    </row>
    <row r="40" spans="1:16" s="1555" customFormat="1" ht="18.75" hidden="1" customHeight="1">
      <c r="A40" s="1700"/>
      <c r="B40" s="1700"/>
      <c r="C40" s="293" t="s">
        <v>1517</v>
      </c>
      <c r="D40" s="9028"/>
      <c r="E40" s="8837"/>
      <c r="F40" s="8972"/>
      <c r="G40" s="9000"/>
      <c r="H40" s="1415"/>
      <c r="I40" s="569" t="s">
        <v>1518</v>
      </c>
      <c r="J40" s="494"/>
      <c r="K40" s="1415"/>
      <c r="L40" s="131"/>
      <c r="M40" s="8799"/>
      <c r="N40" s="256"/>
      <c r="O40" s="1544"/>
      <c r="P40" s="1544"/>
    </row>
    <row r="41" spans="1:16" s="1555" customFormat="1" ht="0.75" hidden="1" customHeight="1">
      <c r="A41" s="1700"/>
      <c r="B41" s="1700"/>
      <c r="C41" s="293" t="s">
        <v>1523</v>
      </c>
      <c r="D41" s="9028"/>
      <c r="E41" s="8837"/>
      <c r="F41" s="8972"/>
      <c r="G41" s="329"/>
      <c r="H41" s="1415"/>
      <c r="I41" s="569"/>
      <c r="J41" s="494"/>
      <c r="K41" s="1415"/>
      <c r="L41" s="131"/>
      <c r="M41" s="8799"/>
      <c r="N41" s="256"/>
      <c r="O41" s="1544"/>
      <c r="P41" s="1544"/>
    </row>
    <row r="42" spans="1:16" s="1555" customFormat="1" ht="18.75" hidden="1" customHeight="1">
      <c r="A42" s="1700" t="s">
        <v>273</v>
      </c>
      <c r="B42" s="1700" t="s">
        <v>274</v>
      </c>
      <c r="C42" s="293"/>
      <c r="D42" s="9028"/>
      <c r="E42" s="8837"/>
      <c r="F42" s="8972" t="str">
        <f>INDEX(PT_DIFFERENTIATION_VTAR,MATCH(A42,PT_DIFFERENTIATION_VTAR_ID,0))</f>
        <v>Плата за услуги по поддержанию резервной тепловой мощности при отсутствии потребления тепловой энергии</v>
      </c>
      <c r="G42" s="9000" t="str">
        <f>INDEX(PT_DIFFERENTIATION_NTAR,MATCH(B42,PT_DIFFERENTIATION_NTAR_ID,0))</f>
        <v/>
      </c>
      <c r="H42" s="1781"/>
      <c r="I42" s="1658"/>
      <c r="J42" s="1693"/>
      <c r="K42" s="1784"/>
      <c r="L42" s="1781" t="s">
        <v>769</v>
      </c>
      <c r="M42" s="8799"/>
      <c r="N42" s="256"/>
      <c r="O42" s="1544"/>
      <c r="P42" s="1544"/>
    </row>
    <row r="43" spans="1:16" s="1555" customFormat="1" ht="18.75" hidden="1" customHeight="1">
      <c r="A43" s="1700"/>
      <c r="B43" s="1700"/>
      <c r="C43" s="293" t="s">
        <v>1517</v>
      </c>
      <c r="D43" s="9028"/>
      <c r="E43" s="8837"/>
      <c r="F43" s="8972"/>
      <c r="G43" s="9000"/>
      <c r="H43" s="1415"/>
      <c r="I43" s="569" t="s">
        <v>1518</v>
      </c>
      <c r="J43" s="494"/>
      <c r="K43" s="1415"/>
      <c r="L43" s="131"/>
      <c r="M43" s="8799"/>
      <c r="N43" s="256"/>
      <c r="O43" s="1544"/>
      <c r="P43" s="1544"/>
    </row>
    <row r="44" spans="1:16" s="1555" customFormat="1" ht="0.75" hidden="1" customHeight="1">
      <c r="A44" s="1700"/>
      <c r="B44" s="1700"/>
      <c r="C44" s="293" t="s">
        <v>1523</v>
      </c>
      <c r="D44" s="9028"/>
      <c r="E44" s="8837"/>
      <c r="F44" s="8972"/>
      <c r="G44" s="329"/>
      <c r="H44" s="1415"/>
      <c r="I44" s="569"/>
      <c r="J44" s="494"/>
      <c r="K44" s="1415"/>
      <c r="L44" s="131"/>
      <c r="M44" s="8799"/>
      <c r="N44" s="256"/>
      <c r="O44" s="1544"/>
      <c r="P44" s="1544"/>
    </row>
    <row r="45" spans="1:16" s="1555" customFormat="1" ht="18.75" hidden="1" customHeight="1">
      <c r="A45" s="1700" t="s">
        <v>279</v>
      </c>
      <c r="B45" s="1700" t="s">
        <v>280</v>
      </c>
      <c r="C45" s="293"/>
      <c r="D45" s="9028"/>
      <c r="E45" s="8837"/>
      <c r="F45" s="8972" t="str">
        <f>INDEX(PT_DIFFERENTIATION_VTAR,MATCH(A45,PT_DIFFERENTIATION_VTAR_ID,0))</f>
        <v>Плата за подключение (технологическое присоединение) к системе теплоснабжения</v>
      </c>
      <c r="G45" s="9000" t="str">
        <f>INDEX(PT_DIFFERENTIATION_NTAR,MATCH(B45,PT_DIFFERENTIATION_NTAR_ID,0))</f>
        <v/>
      </c>
      <c r="H45" s="1781"/>
      <c r="I45" s="1658"/>
      <c r="J45" s="1693"/>
      <c r="K45" s="1784"/>
      <c r="L45" s="1781" t="s">
        <v>769</v>
      </c>
      <c r="M45" s="8799"/>
      <c r="N45" s="256"/>
      <c r="O45" s="1544"/>
      <c r="P45" s="1544"/>
    </row>
    <row r="46" spans="1:16" s="1555" customFormat="1" ht="18.75" hidden="1" customHeight="1">
      <c r="A46" s="1700"/>
      <c r="B46" s="1700"/>
      <c r="C46" s="293" t="s">
        <v>1517</v>
      </c>
      <c r="D46" s="9028"/>
      <c r="E46" s="8837"/>
      <c r="F46" s="8972"/>
      <c r="G46" s="9000"/>
      <c r="H46" s="1415"/>
      <c r="I46" s="569" t="s">
        <v>1518</v>
      </c>
      <c r="J46" s="494"/>
      <c r="K46" s="1415"/>
      <c r="L46" s="131"/>
      <c r="M46" s="8799"/>
      <c r="N46" s="256"/>
      <c r="O46" s="1544"/>
      <c r="P46" s="1544"/>
    </row>
    <row r="47" spans="1:16" s="1555" customFormat="1" ht="0.75" hidden="1" customHeight="1">
      <c r="A47" s="1700"/>
      <c r="B47" s="1700"/>
      <c r="C47" s="293" t="s">
        <v>1523</v>
      </c>
      <c r="D47" s="9028"/>
      <c r="E47" s="8837"/>
      <c r="F47" s="8972"/>
      <c r="G47" s="329"/>
      <c r="H47" s="1415"/>
      <c r="I47" s="569"/>
      <c r="J47" s="494"/>
      <c r="K47" s="1415"/>
      <c r="L47" s="131"/>
      <c r="M47" s="8799"/>
      <c r="N47" s="256"/>
      <c r="O47" s="1544"/>
      <c r="P47" s="1544"/>
    </row>
    <row r="48" spans="1:16" s="1555" customFormat="1" ht="18.75" hidden="1" customHeight="1">
      <c r="A48" s="1700" t="s">
        <v>293</v>
      </c>
      <c r="B48" s="1700" t="s">
        <v>294</v>
      </c>
      <c r="C48" s="293"/>
      <c r="D48" s="9028"/>
      <c r="E48" s="8837"/>
      <c r="F48" s="8972" t="str">
        <f>INDEX(PT_DIFFERENTIATION_VTAR,MATCH(A48,PT_DIFFERENTIATION_VTAR_ID,0))</f>
        <v>Тариф на питьевую воду (питьевое водоснабжение)</v>
      </c>
      <c r="G48" s="9000" t="str">
        <f>INDEX(PT_DIFFERENTIATION_NTAR,MATCH(B48,PT_DIFFERENTIATION_NTAR_ID,0))</f>
        <v/>
      </c>
      <c r="H48" s="1781"/>
      <c r="I48" s="1658"/>
      <c r="J48" s="1693"/>
      <c r="K48" s="1784"/>
      <c r="L48" s="1781" t="s">
        <v>769</v>
      </c>
      <c r="M48" s="8799"/>
      <c r="N48" s="256"/>
      <c r="O48" s="1544"/>
      <c r="P48" s="1544"/>
    </row>
    <row r="49" spans="1:16" s="1555" customFormat="1" ht="18.75" hidden="1" customHeight="1">
      <c r="A49" s="1700"/>
      <c r="B49" s="1700"/>
      <c r="C49" s="293" t="s">
        <v>1517</v>
      </c>
      <c r="D49" s="9028"/>
      <c r="E49" s="8837"/>
      <c r="F49" s="8972"/>
      <c r="G49" s="9000"/>
      <c r="H49" s="1415"/>
      <c r="I49" s="569" t="s">
        <v>1518</v>
      </c>
      <c r="J49" s="494"/>
      <c r="K49" s="1415"/>
      <c r="L49" s="131"/>
      <c r="M49" s="8799"/>
      <c r="N49" s="256"/>
      <c r="O49" s="1544"/>
      <c r="P49" s="1544"/>
    </row>
    <row r="50" spans="1:16" s="1555" customFormat="1" ht="0.75" hidden="1" customHeight="1">
      <c r="A50" s="1700"/>
      <c r="B50" s="1700"/>
      <c r="C50" s="293" t="s">
        <v>1523</v>
      </c>
      <c r="D50" s="9028"/>
      <c r="E50" s="8837"/>
      <c r="F50" s="8972"/>
      <c r="G50" s="329"/>
      <c r="H50" s="1415"/>
      <c r="I50" s="569"/>
      <c r="J50" s="494"/>
      <c r="K50" s="1415"/>
      <c r="L50" s="131"/>
      <c r="M50" s="8799"/>
      <c r="N50" s="256"/>
      <c r="O50" s="1544"/>
      <c r="P50" s="1544"/>
    </row>
    <row r="51" spans="1:16" s="1555" customFormat="1" ht="18.75" hidden="1" customHeight="1">
      <c r="A51" s="1700" t="s">
        <v>298</v>
      </c>
      <c r="B51" s="1700" t="s">
        <v>299</v>
      </c>
      <c r="C51" s="293"/>
      <c r="D51" s="9028"/>
      <c r="E51" s="8837"/>
      <c r="F51" s="8972" t="str">
        <f>INDEX(PT_DIFFERENTIATION_VTAR,MATCH(A51,PT_DIFFERENTIATION_VTAR_ID,0))</f>
        <v>Тариф на техническую воду</v>
      </c>
      <c r="G51" s="9000" t="str">
        <f>INDEX(PT_DIFFERENTIATION_NTAR,MATCH(B51,PT_DIFFERENTIATION_NTAR_ID,0))</f>
        <v/>
      </c>
      <c r="H51" s="1781"/>
      <c r="I51" s="1658"/>
      <c r="J51" s="1693"/>
      <c r="K51" s="1784"/>
      <c r="L51" s="1781" t="s">
        <v>769</v>
      </c>
      <c r="M51" s="8799"/>
      <c r="N51" s="256"/>
      <c r="O51" s="1544"/>
      <c r="P51" s="1544"/>
    </row>
    <row r="52" spans="1:16" s="1555" customFormat="1" ht="18.75" hidden="1" customHeight="1">
      <c r="A52" s="1700"/>
      <c r="B52" s="1700"/>
      <c r="C52" s="293" t="s">
        <v>1517</v>
      </c>
      <c r="D52" s="9028"/>
      <c r="E52" s="8837"/>
      <c r="F52" s="8972"/>
      <c r="G52" s="9000"/>
      <c r="H52" s="1415"/>
      <c r="I52" s="569" t="s">
        <v>1518</v>
      </c>
      <c r="J52" s="494"/>
      <c r="K52" s="1415"/>
      <c r="L52" s="131"/>
      <c r="M52" s="8799"/>
      <c r="N52" s="256"/>
      <c r="O52" s="1544"/>
      <c r="P52" s="1544"/>
    </row>
    <row r="53" spans="1:16" s="1555" customFormat="1" ht="0.75" hidden="1" customHeight="1">
      <c r="A53" s="1700"/>
      <c r="B53" s="1700"/>
      <c r="C53" s="293" t="s">
        <v>1523</v>
      </c>
      <c r="D53" s="9028"/>
      <c r="E53" s="8837"/>
      <c r="F53" s="8972"/>
      <c r="G53" s="329"/>
      <c r="H53" s="1415"/>
      <c r="I53" s="569"/>
      <c r="J53" s="494"/>
      <c r="K53" s="1415"/>
      <c r="L53" s="131"/>
      <c r="M53" s="8799"/>
      <c r="N53" s="256"/>
      <c r="O53" s="1544"/>
      <c r="P53" s="1544"/>
    </row>
    <row r="54" spans="1:16" s="1555" customFormat="1" ht="18.75" hidden="1" customHeight="1">
      <c r="A54" s="1700" t="s">
        <v>303</v>
      </c>
      <c r="B54" s="1700" t="s">
        <v>304</v>
      </c>
      <c r="C54" s="293"/>
      <c r="D54" s="9028"/>
      <c r="E54" s="8837"/>
      <c r="F54" s="8972" t="str">
        <f>INDEX(PT_DIFFERENTIATION_VTAR,MATCH(A54,PT_DIFFERENTIATION_VTAR_ID,0))</f>
        <v>Тариф на транспортировку воды</v>
      </c>
      <c r="G54" s="9000" t="str">
        <f>INDEX(PT_DIFFERENTIATION_NTAR,MATCH(B54,PT_DIFFERENTIATION_NTAR_ID,0))</f>
        <v/>
      </c>
      <c r="H54" s="1781"/>
      <c r="I54" s="1658"/>
      <c r="J54" s="1693"/>
      <c r="K54" s="1784"/>
      <c r="L54" s="1781" t="s">
        <v>769</v>
      </c>
      <c r="M54" s="8799"/>
      <c r="N54" s="256"/>
      <c r="O54" s="1544"/>
      <c r="P54" s="1544"/>
    </row>
    <row r="55" spans="1:16" s="1555" customFormat="1" ht="18.75" hidden="1" customHeight="1">
      <c r="A55" s="1700"/>
      <c r="B55" s="1700"/>
      <c r="C55" s="293" t="s">
        <v>1517</v>
      </c>
      <c r="D55" s="9028"/>
      <c r="E55" s="8837"/>
      <c r="F55" s="8972"/>
      <c r="G55" s="9000"/>
      <c r="H55" s="1415"/>
      <c r="I55" s="569" t="s">
        <v>1518</v>
      </c>
      <c r="J55" s="494"/>
      <c r="K55" s="1415"/>
      <c r="L55" s="131"/>
      <c r="M55" s="8799"/>
      <c r="N55" s="256"/>
      <c r="O55" s="1544"/>
      <c r="P55" s="1544"/>
    </row>
    <row r="56" spans="1:16" s="1555" customFormat="1" ht="0.75" hidden="1" customHeight="1">
      <c r="A56" s="1700"/>
      <c r="B56" s="1700"/>
      <c r="C56" s="293" t="s">
        <v>1523</v>
      </c>
      <c r="D56" s="9028"/>
      <c r="E56" s="8837"/>
      <c r="F56" s="8972"/>
      <c r="G56" s="329"/>
      <c r="H56" s="1415"/>
      <c r="I56" s="569"/>
      <c r="J56" s="494"/>
      <c r="K56" s="1415"/>
      <c r="L56" s="131"/>
      <c r="M56" s="8799"/>
      <c r="N56" s="256"/>
      <c r="O56" s="1544"/>
      <c r="P56" s="1544"/>
    </row>
    <row r="57" spans="1:16" s="1555" customFormat="1" ht="18.75" customHeight="1">
      <c r="A57" s="1700" t="s">
        <v>310</v>
      </c>
      <c r="B57" s="1700" t="s">
        <v>311</v>
      </c>
      <c r="C57" s="293"/>
      <c r="D57" s="9028"/>
      <c r="E57" s="8837"/>
      <c r="F57" s="8972" t="str">
        <f>INDEX(PT_DIFFERENTIATION_VTAR,MATCH(A57,PT_DIFFERENTIATION_VTAR_ID,0))</f>
        <v>Тариф на подвоз воды</v>
      </c>
      <c r="G57" s="9000" t="str">
        <f>INDEX(PT_DIFFERENTIATION_NTAR,MATCH(B57,PT_DIFFERENTIATION_NTAR_ID,0))</f>
        <v>Подвоз воды потребителям поселка Малостепновского</v>
      </c>
      <c r="H57" s="1781"/>
      <c r="I57" s="1658">
        <v>45292</v>
      </c>
      <c r="J57" s="1693">
        <v>45657</v>
      </c>
      <c r="K57" s="1784" t="s">
        <v>1524</v>
      </c>
      <c r="L57" s="1781" t="s">
        <v>769</v>
      </c>
      <c r="M57" s="8799"/>
      <c r="N57" s="256"/>
      <c r="O57" s="1544"/>
      <c r="P57" s="1544"/>
    </row>
    <row r="58" spans="1:16" s="1555" customFormat="1" ht="18.75" customHeight="1">
      <c r="A58" s="1700"/>
      <c r="B58" s="1700"/>
      <c r="C58" s="293" t="s">
        <v>1517</v>
      </c>
      <c r="D58" s="9028"/>
      <c r="E58" s="8837"/>
      <c r="F58" s="8972"/>
      <c r="G58" s="9000"/>
      <c r="H58" s="1415"/>
      <c r="I58" s="569" t="s">
        <v>1518</v>
      </c>
      <c r="J58" s="494"/>
      <c r="K58" s="1415"/>
      <c r="L58" s="131"/>
      <c r="M58" s="8799"/>
      <c r="N58" s="256"/>
      <c r="O58" s="1544"/>
      <c r="P58" s="1544"/>
    </row>
    <row r="59" spans="1:16" s="1555" customFormat="1" ht="18.75" customHeight="1">
      <c r="A59" s="1742" t="s">
        <v>310</v>
      </c>
      <c r="B59" s="1742" t="s">
        <v>317</v>
      </c>
      <c r="C59" s="1607"/>
      <c r="D59" s="9029"/>
      <c r="E59" s="9030"/>
      <c r="F59" s="9030"/>
      <c r="G59" s="9000" t="str">
        <f>INDEX(PT_DIFFERENTIATION_NTAR,MATCH(B59,PT_DIFFERENTIATION_NTAR_ID,0))</f>
        <v>Подвоз воды потребителям хутора Репьевая</v>
      </c>
      <c r="H59" s="1809"/>
      <c r="I59" s="1658">
        <v>45292</v>
      </c>
      <c r="J59" s="1693">
        <v>45657</v>
      </c>
      <c r="K59" s="1784" t="s">
        <v>1524</v>
      </c>
      <c r="L59" s="1809" t="s">
        <v>769</v>
      </c>
      <c r="M59" s="8918"/>
      <c r="N59" s="537"/>
      <c r="O59" s="1544"/>
      <c r="P59" s="1544"/>
    </row>
    <row r="60" spans="1:16" s="1555" customFormat="1" ht="18.75" customHeight="1">
      <c r="A60" s="1742"/>
      <c r="B60" s="1742"/>
      <c r="C60" s="1607" t="s">
        <v>1517</v>
      </c>
      <c r="D60" s="9029"/>
      <c r="E60" s="9030"/>
      <c r="F60" s="9030"/>
      <c r="G60" s="9000"/>
      <c r="H60" s="6979"/>
      <c r="I60" s="6980" t="s">
        <v>1518</v>
      </c>
      <c r="J60" s="6981"/>
      <c r="K60" s="6982"/>
      <c r="L60" s="6983"/>
      <c r="M60" s="8918"/>
      <c r="N60" s="537"/>
      <c r="O60" s="1544"/>
      <c r="P60" s="1544"/>
    </row>
    <row r="61" spans="1:16" s="1555" customFormat="1" ht="18.75" customHeight="1">
      <c r="A61" s="1742" t="s">
        <v>310</v>
      </c>
      <c r="B61" s="1742" t="s">
        <v>322</v>
      </c>
      <c r="C61" s="1607"/>
      <c r="D61" s="9029"/>
      <c r="E61" s="9030"/>
      <c r="F61" s="9030"/>
      <c r="G61" s="9000" t="str">
        <f>INDEX(PT_DIFFERENTIATION_NTAR,MATCH(B61,PT_DIFFERENTIATION_NTAR_ID,0))</f>
        <v>Подвоз воды потребителям хутора Красный Чонгарец</v>
      </c>
      <c r="H61" s="1809"/>
      <c r="I61" s="1658">
        <v>45292</v>
      </c>
      <c r="J61" s="1693">
        <v>45657</v>
      </c>
      <c r="K61" s="1784" t="s">
        <v>1524</v>
      </c>
      <c r="L61" s="1809" t="s">
        <v>769</v>
      </c>
      <c r="M61" s="8918"/>
      <c r="N61" s="537"/>
      <c r="O61" s="1544"/>
      <c r="P61" s="1544"/>
    </row>
    <row r="62" spans="1:16" s="1555" customFormat="1" ht="18.75" customHeight="1">
      <c r="A62" s="1742"/>
      <c r="B62" s="1742"/>
      <c r="C62" s="1607" t="s">
        <v>1517</v>
      </c>
      <c r="D62" s="9029"/>
      <c r="E62" s="9030"/>
      <c r="F62" s="9030"/>
      <c r="G62" s="9000"/>
      <c r="H62" s="6984"/>
      <c r="I62" s="6985" t="s">
        <v>1518</v>
      </c>
      <c r="J62" s="6986"/>
      <c r="K62" s="6987"/>
      <c r="L62" s="6988"/>
      <c r="M62" s="8918"/>
      <c r="N62" s="537"/>
      <c r="O62" s="1544"/>
      <c r="P62" s="1544"/>
    </row>
    <row r="63" spans="1:16" s="1555" customFormat="1" ht="18.75" customHeight="1">
      <c r="A63" s="1742" t="s">
        <v>310</v>
      </c>
      <c r="B63" s="1742" t="s">
        <v>327</v>
      </c>
      <c r="C63" s="1607"/>
      <c r="D63" s="9029"/>
      <c r="E63" s="9030"/>
      <c r="F63" s="9030"/>
      <c r="G63" s="9000" t="str">
        <f>INDEX(PT_DIFFERENTIATION_NTAR,MATCH(B63,PT_DIFFERENTIATION_NTAR_ID,0))</f>
        <v>Подвоз воды потребителям села Киан-Подгорного</v>
      </c>
      <c r="H63" s="1809"/>
      <c r="I63" s="1658">
        <v>45292</v>
      </c>
      <c r="J63" s="1693">
        <v>45657</v>
      </c>
      <c r="K63" s="1784" t="s">
        <v>1524</v>
      </c>
      <c r="L63" s="1809" t="s">
        <v>769</v>
      </c>
      <c r="M63" s="8918"/>
      <c r="N63" s="537"/>
      <c r="O63" s="1544"/>
      <c r="P63" s="1544"/>
    </row>
    <row r="64" spans="1:16" s="1555" customFormat="1" ht="18.75" customHeight="1">
      <c r="A64" s="1742"/>
      <c r="B64" s="1742"/>
      <c r="C64" s="1607" t="s">
        <v>1517</v>
      </c>
      <c r="D64" s="9029"/>
      <c r="E64" s="9030"/>
      <c r="F64" s="9030"/>
      <c r="G64" s="9000"/>
      <c r="H64" s="6989"/>
      <c r="I64" s="6990" t="s">
        <v>1518</v>
      </c>
      <c r="J64" s="6991"/>
      <c r="K64" s="6992"/>
      <c r="L64" s="6993"/>
      <c r="M64" s="8918"/>
      <c r="N64" s="537"/>
      <c r="O64" s="1544"/>
      <c r="P64" s="1544"/>
    </row>
    <row r="65" spans="1:16" s="1555" customFormat="1" ht="18.75" customHeight="1">
      <c r="A65" s="1742" t="s">
        <v>310</v>
      </c>
      <c r="B65" s="1742" t="s">
        <v>332</v>
      </c>
      <c r="C65" s="1607"/>
      <c r="D65" s="9029"/>
      <c r="E65" s="9030"/>
      <c r="F65" s="9030"/>
      <c r="G65" s="9000" t="str">
        <f>INDEX(PT_DIFFERENTIATION_NTAR,MATCH(B65,PT_DIFFERENTIATION_NTAR_ID,0))</f>
        <v>Подвоз воды потребителям села Водораздел</v>
      </c>
      <c r="H65" s="1809"/>
      <c r="I65" s="1658">
        <v>45292</v>
      </c>
      <c r="J65" s="1693">
        <v>45657</v>
      </c>
      <c r="K65" s="1784" t="s">
        <v>1524</v>
      </c>
      <c r="L65" s="1809" t="s">
        <v>769</v>
      </c>
      <c r="M65" s="8918"/>
      <c r="N65" s="537"/>
      <c r="O65" s="1544"/>
      <c r="P65" s="1544"/>
    </row>
    <row r="66" spans="1:16" s="1555" customFormat="1" ht="18.75" customHeight="1">
      <c r="A66" s="1742"/>
      <c r="B66" s="1742"/>
      <c r="C66" s="1607" t="s">
        <v>1517</v>
      </c>
      <c r="D66" s="9029"/>
      <c r="E66" s="9030"/>
      <c r="F66" s="9030"/>
      <c r="G66" s="9000"/>
      <c r="H66" s="6994"/>
      <c r="I66" s="6995" t="s">
        <v>1518</v>
      </c>
      <c r="J66" s="6996"/>
      <c r="K66" s="6997"/>
      <c r="L66" s="6998"/>
      <c r="M66" s="8918"/>
      <c r="N66" s="537"/>
      <c r="O66" s="1544"/>
      <c r="P66" s="1544"/>
    </row>
    <row r="67" spans="1:16" s="1555" customFormat="1" ht="18.75" customHeight="1">
      <c r="A67" s="1742" t="s">
        <v>310</v>
      </c>
      <c r="B67" s="1742" t="s">
        <v>337</v>
      </c>
      <c r="C67" s="1607"/>
      <c r="D67" s="9029"/>
      <c r="E67" s="9030"/>
      <c r="F67" s="9030"/>
      <c r="G67" s="9000" t="str">
        <f>INDEX(PT_DIFFERENTIATION_NTAR,MATCH(B67,PT_DIFFERENTIATION_NTAR_ID,0))</f>
        <v>Подвоз воды потребителям хутора Павловка</v>
      </c>
      <c r="H67" s="1809"/>
      <c r="I67" s="1658">
        <v>45292</v>
      </c>
      <c r="J67" s="1693">
        <v>45657</v>
      </c>
      <c r="K67" s="1784" t="s">
        <v>1524</v>
      </c>
      <c r="L67" s="1809" t="s">
        <v>769</v>
      </c>
      <c r="M67" s="8918"/>
      <c r="N67" s="537"/>
      <c r="O67" s="1544"/>
      <c r="P67" s="1544"/>
    </row>
    <row r="68" spans="1:16" s="1555" customFormat="1" ht="18.75" customHeight="1">
      <c r="A68" s="1742"/>
      <c r="B68" s="1742"/>
      <c r="C68" s="1607" t="s">
        <v>1517</v>
      </c>
      <c r="D68" s="9029"/>
      <c r="E68" s="9030"/>
      <c r="F68" s="9030"/>
      <c r="G68" s="9000"/>
      <c r="H68" s="6999"/>
      <c r="I68" s="7000" t="s">
        <v>1518</v>
      </c>
      <c r="J68" s="7001"/>
      <c r="K68" s="7002"/>
      <c r="L68" s="7003"/>
      <c r="M68" s="8918"/>
      <c r="N68" s="537"/>
      <c r="O68" s="1544"/>
      <c r="P68" s="1544"/>
    </row>
    <row r="69" spans="1:16" s="1555" customFormat="1" ht="18.75" customHeight="1">
      <c r="A69" s="1742" t="s">
        <v>310</v>
      </c>
      <c r="B69" s="1742" t="s">
        <v>342</v>
      </c>
      <c r="C69" s="1607"/>
      <c r="D69" s="9029"/>
      <c r="E69" s="9030"/>
      <c r="F69" s="9030"/>
      <c r="G69" s="9000" t="str">
        <f>INDEX(PT_DIFFERENTIATION_NTAR,MATCH(B69,PT_DIFFERENTIATION_NTAR_ID,0))</f>
        <v>Подвоз воды потребителям хутора Весёлого</v>
      </c>
      <c r="H69" s="1809"/>
      <c r="I69" s="1658">
        <v>45292</v>
      </c>
      <c r="J69" s="1693">
        <v>45657</v>
      </c>
      <c r="K69" s="1784" t="s">
        <v>1524</v>
      </c>
      <c r="L69" s="1809" t="s">
        <v>769</v>
      </c>
      <c r="M69" s="8918"/>
      <c r="N69" s="537"/>
      <c r="O69" s="1544"/>
      <c r="P69" s="1544"/>
    </row>
    <row r="70" spans="1:16" s="1555" customFormat="1" ht="18.75" customHeight="1">
      <c r="A70" s="1742"/>
      <c r="B70" s="1742"/>
      <c r="C70" s="1607" t="s">
        <v>1517</v>
      </c>
      <c r="D70" s="9029"/>
      <c r="E70" s="9030"/>
      <c r="F70" s="9030"/>
      <c r="G70" s="9000"/>
      <c r="H70" s="7004"/>
      <c r="I70" s="7005" t="s">
        <v>1518</v>
      </c>
      <c r="J70" s="7006"/>
      <c r="K70" s="7007"/>
      <c r="L70" s="7008"/>
      <c r="M70" s="8918"/>
      <c r="N70" s="537"/>
      <c r="O70" s="1544"/>
      <c r="P70" s="1544"/>
    </row>
    <row r="71" spans="1:16" s="1555" customFormat="1" ht="18.75" customHeight="1">
      <c r="A71" s="1742" t="s">
        <v>310</v>
      </c>
      <c r="B71" s="1742" t="s">
        <v>347</v>
      </c>
      <c r="C71" s="1607"/>
      <c r="D71" s="9029"/>
      <c r="E71" s="9030"/>
      <c r="F71" s="9030"/>
      <c r="G71" s="9000" t="str">
        <f>INDEX(PT_DIFFERENTIATION_NTAR,MATCH(B71,PT_DIFFERENTIATION_NTAR_ID,0))</f>
        <v>Подвоз воды потребителям поселка Вишнёвого</v>
      </c>
      <c r="H71" s="1809"/>
      <c r="I71" s="1658">
        <v>45292</v>
      </c>
      <c r="J71" s="1693">
        <v>45657</v>
      </c>
      <c r="K71" s="1784" t="s">
        <v>1524</v>
      </c>
      <c r="L71" s="1809" t="s">
        <v>769</v>
      </c>
      <c r="M71" s="8918"/>
      <c r="N71" s="537"/>
      <c r="O71" s="1544"/>
      <c r="P71" s="1544"/>
    </row>
    <row r="72" spans="1:16" s="1555" customFormat="1" ht="18.75" customHeight="1">
      <c r="A72" s="1742"/>
      <c r="B72" s="1742"/>
      <c r="C72" s="1607" t="s">
        <v>1517</v>
      </c>
      <c r="D72" s="9029"/>
      <c r="E72" s="9030"/>
      <c r="F72" s="9030"/>
      <c r="G72" s="9000"/>
      <c r="H72" s="7009"/>
      <c r="I72" s="7010" t="s">
        <v>1518</v>
      </c>
      <c r="J72" s="7011"/>
      <c r="K72" s="7012"/>
      <c r="L72" s="7013"/>
      <c r="M72" s="8918"/>
      <c r="N72" s="537"/>
      <c r="O72" s="1544"/>
      <c r="P72" s="1544"/>
    </row>
    <row r="73" spans="1:16" s="1555" customFormat="1" ht="18.75" customHeight="1">
      <c r="A73" s="1742" t="s">
        <v>310</v>
      </c>
      <c r="B73" s="1742" t="s">
        <v>352</v>
      </c>
      <c r="C73" s="1607"/>
      <c r="D73" s="9029"/>
      <c r="E73" s="9030"/>
      <c r="F73" s="9030"/>
      <c r="G73" s="9000" t="str">
        <f>INDEX(PT_DIFFERENTIATION_NTAR,MATCH(B73,PT_DIFFERENTIATION_NTAR_ID,0))</f>
        <v>Подвоз воды потребителям поселка Степного</v>
      </c>
      <c r="H73" s="1809"/>
      <c r="I73" s="1658">
        <v>45292</v>
      </c>
      <c r="J73" s="1693">
        <v>45657</v>
      </c>
      <c r="K73" s="1784" t="s">
        <v>1524</v>
      </c>
      <c r="L73" s="1809" t="s">
        <v>769</v>
      </c>
      <c r="M73" s="8918"/>
      <c r="N73" s="537"/>
      <c r="O73" s="1544"/>
      <c r="P73" s="1544"/>
    </row>
    <row r="74" spans="1:16" s="1555" customFormat="1" ht="18.75" customHeight="1">
      <c r="A74" s="1742"/>
      <c r="B74" s="1742"/>
      <c r="C74" s="1607" t="s">
        <v>1517</v>
      </c>
      <c r="D74" s="9029"/>
      <c r="E74" s="9030"/>
      <c r="F74" s="9030"/>
      <c r="G74" s="9000"/>
      <c r="H74" s="7014"/>
      <c r="I74" s="7015" t="s">
        <v>1518</v>
      </c>
      <c r="J74" s="7016"/>
      <c r="K74" s="7017"/>
      <c r="L74" s="7018"/>
      <c r="M74" s="8918"/>
      <c r="N74" s="537"/>
      <c r="O74" s="1544"/>
      <c r="P74" s="1544"/>
    </row>
    <row r="75" spans="1:16" s="1555" customFormat="1" ht="18.75" customHeight="1">
      <c r="A75" s="1742" t="s">
        <v>310</v>
      </c>
      <c r="B75" s="1742" t="s">
        <v>357</v>
      </c>
      <c r="C75" s="1607"/>
      <c r="D75" s="9029"/>
      <c r="E75" s="9030"/>
      <c r="F75" s="9030"/>
      <c r="G75" s="9000" t="str">
        <f>INDEX(PT_DIFFERENTIATION_NTAR,MATCH(B75,PT_DIFFERENTIATION_NTAR_ID,0))</f>
        <v>Подвоз воды потребителям поселка Лугового</v>
      </c>
      <c r="H75" s="1809"/>
      <c r="I75" s="1658">
        <v>45292</v>
      </c>
      <c r="J75" s="1693">
        <v>45657</v>
      </c>
      <c r="K75" s="1784" t="s">
        <v>1524</v>
      </c>
      <c r="L75" s="1809" t="s">
        <v>769</v>
      </c>
      <c r="M75" s="8918"/>
      <c r="N75" s="537"/>
      <c r="O75" s="1544"/>
      <c r="P75" s="1544"/>
    </row>
    <row r="76" spans="1:16" s="1555" customFormat="1" ht="18.75" customHeight="1">
      <c r="A76" s="1742"/>
      <c r="B76" s="1742"/>
      <c r="C76" s="1607" t="s">
        <v>1517</v>
      </c>
      <c r="D76" s="9029"/>
      <c r="E76" s="9030"/>
      <c r="F76" s="9030"/>
      <c r="G76" s="9000"/>
      <c r="H76" s="7019"/>
      <c r="I76" s="7020" t="s">
        <v>1518</v>
      </c>
      <c r="J76" s="7021"/>
      <c r="K76" s="7022"/>
      <c r="L76" s="7023"/>
      <c r="M76" s="8918"/>
      <c r="N76" s="537"/>
      <c r="O76" s="1544"/>
      <c r="P76" s="1544"/>
    </row>
    <row r="77" spans="1:16" s="1555" customFormat="1" ht="18.75" customHeight="1">
      <c r="A77" s="1742" t="s">
        <v>310</v>
      </c>
      <c r="B77" s="1742" t="s">
        <v>362</v>
      </c>
      <c r="C77" s="1607"/>
      <c r="D77" s="9029"/>
      <c r="E77" s="9030"/>
      <c r="F77" s="9030"/>
      <c r="G77" s="9000" t="str">
        <f>INDEX(PT_DIFFERENTIATION_NTAR,MATCH(B77,PT_DIFFERENTIATION_NTAR_ID,0))</f>
        <v>Подвоз воды потребителям поселка Правобережного</v>
      </c>
      <c r="H77" s="1809"/>
      <c r="I77" s="1658">
        <v>45292</v>
      </c>
      <c r="J77" s="1693">
        <v>45657</v>
      </c>
      <c r="K77" s="1784" t="s">
        <v>1524</v>
      </c>
      <c r="L77" s="1809" t="s">
        <v>769</v>
      </c>
      <c r="M77" s="8918"/>
      <c r="N77" s="537"/>
      <c r="O77" s="1544"/>
      <c r="P77" s="1544"/>
    </row>
    <row r="78" spans="1:16" s="1555" customFormat="1" ht="18.75" customHeight="1">
      <c r="A78" s="1742"/>
      <c r="B78" s="1742"/>
      <c r="C78" s="1607" t="s">
        <v>1517</v>
      </c>
      <c r="D78" s="9029"/>
      <c r="E78" s="9030"/>
      <c r="F78" s="9030"/>
      <c r="G78" s="9000"/>
      <c r="H78" s="7024"/>
      <c r="I78" s="7025" t="s">
        <v>1518</v>
      </c>
      <c r="J78" s="7026"/>
      <c r="K78" s="7027"/>
      <c r="L78" s="7028"/>
      <c r="M78" s="8918"/>
      <c r="N78" s="537"/>
      <c r="O78" s="1544"/>
      <c r="P78" s="1544"/>
    </row>
    <row r="79" spans="1:16" s="1555" customFormat="1" ht="18.75" customHeight="1">
      <c r="A79" s="1742" t="s">
        <v>310</v>
      </c>
      <c r="B79" s="1742" t="s">
        <v>367</v>
      </c>
      <c r="C79" s="1607"/>
      <c r="D79" s="9029"/>
      <c r="E79" s="9030"/>
      <c r="F79" s="9030"/>
      <c r="G79" s="9000" t="str">
        <f>INDEX(PT_DIFFERENTIATION_NTAR,MATCH(B79,PT_DIFFERENTIATION_NTAR_ID,0))</f>
        <v>Подвоз воды потребителям хутора Добровольного</v>
      </c>
      <c r="H79" s="1809"/>
      <c r="I79" s="1658">
        <v>45292</v>
      </c>
      <c r="J79" s="1693">
        <v>45657</v>
      </c>
      <c r="K79" s="1784" t="s">
        <v>1524</v>
      </c>
      <c r="L79" s="1809" t="s">
        <v>769</v>
      </c>
      <c r="M79" s="8918"/>
      <c r="N79" s="537"/>
      <c r="O79" s="1544"/>
      <c r="P79" s="1544"/>
    </row>
    <row r="80" spans="1:16" s="1555" customFormat="1" ht="18.75" customHeight="1">
      <c r="A80" s="1742"/>
      <c r="B80" s="1742"/>
      <c r="C80" s="1607" t="s">
        <v>1517</v>
      </c>
      <c r="D80" s="9029"/>
      <c r="E80" s="9030"/>
      <c r="F80" s="9030"/>
      <c r="G80" s="9000"/>
      <c r="H80" s="7029"/>
      <c r="I80" s="7030" t="s">
        <v>1518</v>
      </c>
      <c r="J80" s="7031"/>
      <c r="K80" s="7032"/>
      <c r="L80" s="7033"/>
      <c r="M80" s="8918"/>
      <c r="N80" s="537"/>
      <c r="O80" s="1544"/>
      <c r="P80" s="1544"/>
    </row>
    <row r="81" spans="1:16" s="1555" customFormat="1" ht="18.75" customHeight="1">
      <c r="A81" s="1742" t="s">
        <v>310</v>
      </c>
      <c r="B81" s="1742" t="s">
        <v>372</v>
      </c>
      <c r="C81" s="1607"/>
      <c r="D81" s="9029"/>
      <c r="E81" s="9030"/>
      <c r="F81" s="9030"/>
      <c r="G81" s="9000" t="str">
        <f>INDEX(PT_DIFFERENTIATION_NTAR,MATCH(B81,PT_DIFFERENTIATION_NTAR_ID,0))</f>
        <v>Подвоз воды потребителям хутора Среднего</v>
      </c>
      <c r="H81" s="1809"/>
      <c r="I81" s="1658">
        <v>45292</v>
      </c>
      <c r="J81" s="1693">
        <v>45657</v>
      </c>
      <c r="K81" s="1784" t="s">
        <v>1524</v>
      </c>
      <c r="L81" s="1809" t="s">
        <v>769</v>
      </c>
      <c r="M81" s="8918"/>
      <c r="N81" s="537"/>
      <c r="O81" s="1544"/>
      <c r="P81" s="1544"/>
    </row>
    <row r="82" spans="1:16" s="1555" customFormat="1" ht="18.75" customHeight="1">
      <c r="A82" s="1742"/>
      <c r="B82" s="1742"/>
      <c r="C82" s="1607" t="s">
        <v>1517</v>
      </c>
      <c r="D82" s="9029"/>
      <c r="E82" s="9030"/>
      <c r="F82" s="9030"/>
      <c r="G82" s="9000"/>
      <c r="H82" s="7034"/>
      <c r="I82" s="7035" t="s">
        <v>1518</v>
      </c>
      <c r="J82" s="7036"/>
      <c r="K82" s="7037"/>
      <c r="L82" s="7038"/>
      <c r="M82" s="8918"/>
      <c r="N82" s="537"/>
      <c r="O82" s="1544"/>
      <c r="P82" s="1544"/>
    </row>
    <row r="83" spans="1:16" s="1555" customFormat="1" ht="18.75" customHeight="1">
      <c r="A83" s="1742" t="s">
        <v>310</v>
      </c>
      <c r="B83" s="1742" t="s">
        <v>377</v>
      </c>
      <c r="C83" s="1607"/>
      <c r="D83" s="9029"/>
      <c r="E83" s="9030"/>
      <c r="F83" s="9030"/>
      <c r="G83" s="9000" t="str">
        <f>INDEX(PT_DIFFERENTIATION_NTAR,MATCH(B83,PT_DIFFERENTIATION_NTAR_ID,0))</f>
        <v xml:space="preserve">Подвоз воды потребителям поселка Новобалтийского </v>
      </c>
      <c r="H83" s="1809"/>
      <c r="I83" s="1658">
        <v>45292</v>
      </c>
      <c r="J83" s="1693">
        <v>45657</v>
      </c>
      <c r="K83" s="1784" t="s">
        <v>1524</v>
      </c>
      <c r="L83" s="1809" t="s">
        <v>769</v>
      </c>
      <c r="M83" s="8918"/>
      <c r="N83" s="537"/>
      <c r="O83" s="1544"/>
      <c r="P83" s="1544"/>
    </row>
    <row r="84" spans="1:16" s="1555" customFormat="1" ht="18.75" customHeight="1">
      <c r="A84" s="1742"/>
      <c r="B84" s="1742"/>
      <c r="C84" s="1607" t="s">
        <v>1517</v>
      </c>
      <c r="D84" s="9029"/>
      <c r="E84" s="9030"/>
      <c r="F84" s="9030"/>
      <c r="G84" s="9000"/>
      <c r="H84" s="7039"/>
      <c r="I84" s="7040" t="s">
        <v>1518</v>
      </c>
      <c r="J84" s="7041"/>
      <c r="K84" s="7042"/>
      <c r="L84" s="7043"/>
      <c r="M84" s="8918"/>
      <c r="N84" s="537"/>
      <c r="O84" s="1544"/>
      <c r="P84" s="1544"/>
    </row>
    <row r="85" spans="1:16" s="1555" customFormat="1" ht="18.75" customHeight="1">
      <c r="A85" s="1742" t="s">
        <v>310</v>
      </c>
      <c r="B85" s="1742" t="s">
        <v>382</v>
      </c>
      <c r="C85" s="1607"/>
      <c r="D85" s="9029"/>
      <c r="E85" s="9030"/>
      <c r="F85" s="9030"/>
      <c r="G85" s="9000" t="str">
        <f>INDEX(PT_DIFFERENTIATION_NTAR,MATCH(B85,PT_DIFFERENTIATION_NTAR_ID,0))</f>
        <v>Подвоз воды потребителям хутора Берёзкина</v>
      </c>
      <c r="H85" s="1809"/>
      <c r="I85" s="1658">
        <v>45292</v>
      </c>
      <c r="J85" s="1693">
        <v>45657</v>
      </c>
      <c r="K85" s="1784" t="s">
        <v>1524</v>
      </c>
      <c r="L85" s="1809" t="s">
        <v>769</v>
      </c>
      <c r="M85" s="8918"/>
      <c r="N85" s="537"/>
      <c r="O85" s="1544"/>
      <c r="P85" s="1544"/>
    </row>
    <row r="86" spans="1:16" s="1555" customFormat="1" ht="18.75" customHeight="1">
      <c r="A86" s="1742"/>
      <c r="B86" s="1742"/>
      <c r="C86" s="1607" t="s">
        <v>1517</v>
      </c>
      <c r="D86" s="9029"/>
      <c r="E86" s="9030"/>
      <c r="F86" s="9030"/>
      <c r="G86" s="9000"/>
      <c r="H86" s="7044"/>
      <c r="I86" s="7045" t="s">
        <v>1518</v>
      </c>
      <c r="J86" s="7046"/>
      <c r="K86" s="7047"/>
      <c r="L86" s="7048"/>
      <c r="M86" s="8918"/>
      <c r="N86" s="537"/>
      <c r="O86" s="1544"/>
      <c r="P86" s="1544"/>
    </row>
    <row r="87" spans="1:16" s="1555" customFormat="1" ht="18.75" customHeight="1">
      <c r="A87" s="1742" t="s">
        <v>310</v>
      </c>
      <c r="B87" s="1742" t="s">
        <v>387</v>
      </c>
      <c r="C87" s="1607"/>
      <c r="D87" s="9029"/>
      <c r="E87" s="9030"/>
      <c r="F87" s="9030"/>
      <c r="G87" s="9000" t="str">
        <f>INDEX(PT_DIFFERENTIATION_NTAR,MATCH(B87,PT_DIFFERENTIATION_NTAR_ID,0))</f>
        <v>Подвоз воды потребителям поселка Бурунного</v>
      </c>
      <c r="H87" s="1809"/>
      <c r="I87" s="1658">
        <v>45292</v>
      </c>
      <c r="J87" s="1693">
        <v>45657</v>
      </c>
      <c r="K87" s="1784" t="s">
        <v>1524</v>
      </c>
      <c r="L87" s="1809" t="s">
        <v>769</v>
      </c>
      <c r="M87" s="8918"/>
      <c r="N87" s="537"/>
      <c r="O87" s="1544"/>
      <c r="P87" s="1544"/>
    </row>
    <row r="88" spans="1:16" s="1555" customFormat="1" ht="18.75" customHeight="1">
      <c r="A88" s="1742"/>
      <c r="B88" s="1742"/>
      <c r="C88" s="1607" t="s">
        <v>1517</v>
      </c>
      <c r="D88" s="9029"/>
      <c r="E88" s="9030"/>
      <c r="F88" s="9030"/>
      <c r="G88" s="9000"/>
      <c r="H88" s="7049"/>
      <c r="I88" s="7050" t="s">
        <v>1518</v>
      </c>
      <c r="J88" s="7051"/>
      <c r="K88" s="7052"/>
      <c r="L88" s="7053"/>
      <c r="M88" s="8918"/>
      <c r="N88" s="537"/>
      <c r="O88" s="1544"/>
      <c r="P88" s="1544"/>
    </row>
    <row r="89" spans="1:16" s="1555" customFormat="1" ht="18.75" customHeight="1">
      <c r="A89" s="1742" t="s">
        <v>310</v>
      </c>
      <c r="B89" s="1742" t="s">
        <v>392</v>
      </c>
      <c r="C89" s="1607"/>
      <c r="D89" s="9029"/>
      <c r="E89" s="9030"/>
      <c r="F89" s="9030"/>
      <c r="G89" s="9000" t="str">
        <f>INDEX(PT_DIFFERENTIATION_NTAR,MATCH(B89,PT_DIFFERENTIATION_NTAR_ID,0))</f>
        <v>Подвоз воды потребителям поселка Мирного</v>
      </c>
      <c r="H89" s="1809"/>
      <c r="I89" s="1658">
        <v>45292</v>
      </c>
      <c r="J89" s="1693">
        <v>45657</v>
      </c>
      <c r="K89" s="1784" t="s">
        <v>1524</v>
      </c>
      <c r="L89" s="1809" t="s">
        <v>769</v>
      </c>
      <c r="M89" s="8918"/>
      <c r="N89" s="537"/>
      <c r="O89" s="1544"/>
      <c r="P89" s="1544"/>
    </row>
    <row r="90" spans="1:16" s="1555" customFormat="1" ht="18.75" customHeight="1">
      <c r="A90" s="1742"/>
      <c r="B90" s="1742"/>
      <c r="C90" s="1607" t="s">
        <v>1517</v>
      </c>
      <c r="D90" s="9029"/>
      <c r="E90" s="9030"/>
      <c r="F90" s="9030"/>
      <c r="G90" s="9000"/>
      <c r="H90" s="7054"/>
      <c r="I90" s="7055" t="s">
        <v>1518</v>
      </c>
      <c r="J90" s="7056"/>
      <c r="K90" s="7057"/>
      <c r="L90" s="7058"/>
      <c r="M90" s="8918"/>
      <c r="N90" s="537"/>
      <c r="O90" s="1544"/>
      <c r="P90" s="1544"/>
    </row>
    <row r="91" spans="1:16" s="1555" customFormat="1" ht="18.75" customHeight="1">
      <c r="A91" s="1742" t="s">
        <v>310</v>
      </c>
      <c r="B91" s="1742" t="s">
        <v>397</v>
      </c>
      <c r="C91" s="1607"/>
      <c r="D91" s="9029"/>
      <c r="E91" s="9030"/>
      <c r="F91" s="9030"/>
      <c r="G91" s="9000" t="str">
        <f>INDEX(PT_DIFFERENTIATION_NTAR,MATCH(B91,PT_DIFFERENTIATION_NTAR_ID,0))</f>
        <v>Подвоз воды потребителям поселка Ага-Батыр</v>
      </c>
      <c r="H91" s="1809"/>
      <c r="I91" s="1658">
        <v>45292</v>
      </c>
      <c r="J91" s="1693">
        <v>45657</v>
      </c>
      <c r="K91" s="1784" t="s">
        <v>1524</v>
      </c>
      <c r="L91" s="1809" t="s">
        <v>769</v>
      </c>
      <c r="M91" s="8918"/>
      <c r="N91" s="537"/>
      <c r="O91" s="1544"/>
      <c r="P91" s="1544"/>
    </row>
    <row r="92" spans="1:16" s="1555" customFormat="1" ht="18.75" customHeight="1">
      <c r="A92" s="1742"/>
      <c r="B92" s="1742"/>
      <c r="C92" s="1607" t="s">
        <v>1517</v>
      </c>
      <c r="D92" s="9029"/>
      <c r="E92" s="9030"/>
      <c r="F92" s="9030"/>
      <c r="G92" s="9000"/>
      <c r="H92" s="7059"/>
      <c r="I92" s="7060" t="s">
        <v>1518</v>
      </c>
      <c r="J92" s="7061"/>
      <c r="K92" s="7062"/>
      <c r="L92" s="7063"/>
      <c r="M92" s="8918"/>
      <c r="N92" s="537"/>
      <c r="O92" s="1544"/>
      <c r="P92" s="1544"/>
    </row>
    <row r="93" spans="1:16" s="1555" customFormat="1" ht="18.75" customHeight="1">
      <c r="A93" s="1742" t="s">
        <v>310</v>
      </c>
      <c r="B93" s="1742" t="s">
        <v>402</v>
      </c>
      <c r="C93" s="1607"/>
      <c r="D93" s="9029"/>
      <c r="E93" s="9030"/>
      <c r="F93" s="9030"/>
      <c r="G93" s="9000" t="str">
        <f>INDEX(PT_DIFFERENTIATION_NTAR,MATCH(B93,PT_DIFFERENTIATION_NTAR_ID,0))</f>
        <v>Подвоз воды потребителям хутора Кировского</v>
      </c>
      <c r="H93" s="1809"/>
      <c r="I93" s="1658">
        <v>45292</v>
      </c>
      <c r="J93" s="1693">
        <v>45657</v>
      </c>
      <c r="K93" s="1784" t="s">
        <v>1524</v>
      </c>
      <c r="L93" s="1809" t="s">
        <v>769</v>
      </c>
      <c r="M93" s="8918"/>
      <c r="N93" s="537"/>
      <c r="O93" s="1544"/>
      <c r="P93" s="1544"/>
    </row>
    <row r="94" spans="1:16" s="1555" customFormat="1" ht="18.75" customHeight="1">
      <c r="A94" s="1742"/>
      <c r="B94" s="1742"/>
      <c r="C94" s="1607" t="s">
        <v>1517</v>
      </c>
      <c r="D94" s="9029"/>
      <c r="E94" s="9030"/>
      <c r="F94" s="9030"/>
      <c r="G94" s="9000"/>
      <c r="H94" s="7064"/>
      <c r="I94" s="7065" t="s">
        <v>1518</v>
      </c>
      <c r="J94" s="7066"/>
      <c r="K94" s="7067"/>
      <c r="L94" s="7068"/>
      <c r="M94" s="8918"/>
      <c r="N94" s="537"/>
      <c r="O94" s="1544"/>
      <c r="P94" s="1544"/>
    </row>
    <row r="95" spans="1:16" s="1555" customFormat="1" ht="18.75" customHeight="1">
      <c r="A95" s="1742" t="s">
        <v>310</v>
      </c>
      <c r="B95" s="1742" t="s">
        <v>407</v>
      </c>
      <c r="C95" s="1607"/>
      <c r="D95" s="9029"/>
      <c r="E95" s="9030"/>
      <c r="F95" s="9030"/>
      <c r="G95" s="9000" t="str">
        <f>INDEX(PT_DIFFERENTIATION_NTAR,MATCH(B95,PT_DIFFERENTIATION_NTAR_ID,0))</f>
        <v>Подвоз воды потребителям хутора Моздокского</v>
      </c>
      <c r="H95" s="1809"/>
      <c r="I95" s="1658">
        <v>45292</v>
      </c>
      <c r="J95" s="1693">
        <v>45657</v>
      </c>
      <c r="K95" s="1784" t="s">
        <v>1524</v>
      </c>
      <c r="L95" s="1809" t="s">
        <v>769</v>
      </c>
      <c r="M95" s="8918"/>
      <c r="N95" s="537"/>
      <c r="O95" s="1544"/>
      <c r="P95" s="1544"/>
    </row>
    <row r="96" spans="1:16" s="1555" customFormat="1" ht="18.75" customHeight="1">
      <c r="A96" s="1742"/>
      <c r="B96" s="1742"/>
      <c r="C96" s="1607" t="s">
        <v>1517</v>
      </c>
      <c r="D96" s="9029"/>
      <c r="E96" s="9030"/>
      <c r="F96" s="9030"/>
      <c r="G96" s="9000"/>
      <c r="H96" s="7069"/>
      <c r="I96" s="7070" t="s">
        <v>1518</v>
      </c>
      <c r="J96" s="7071"/>
      <c r="K96" s="7072"/>
      <c r="L96" s="7073"/>
      <c r="M96" s="8918"/>
      <c r="N96" s="537"/>
      <c r="O96" s="1544"/>
      <c r="P96" s="1544"/>
    </row>
    <row r="97" spans="1:16" s="1555" customFormat="1" ht="18.75" customHeight="1">
      <c r="A97" s="1742" t="s">
        <v>310</v>
      </c>
      <c r="B97" s="1742" t="s">
        <v>412</v>
      </c>
      <c r="C97" s="1607"/>
      <c r="D97" s="9029"/>
      <c r="E97" s="9030"/>
      <c r="F97" s="9030"/>
      <c r="G97" s="9000" t="str">
        <f>INDEX(PT_DIFFERENTIATION_NTAR,MATCH(B97,PT_DIFFERENTIATION_NTAR_ID,0))</f>
        <v>Подвоз воды потребителям поселка Южанин</v>
      </c>
      <c r="H97" s="1809"/>
      <c r="I97" s="1658">
        <v>45292</v>
      </c>
      <c r="J97" s="1693">
        <v>45657</v>
      </c>
      <c r="K97" s="1784" t="s">
        <v>1524</v>
      </c>
      <c r="L97" s="1809" t="s">
        <v>769</v>
      </c>
      <c r="M97" s="8918"/>
      <c r="N97" s="537"/>
      <c r="O97" s="1544"/>
      <c r="P97" s="1544"/>
    </row>
    <row r="98" spans="1:16" s="1555" customFormat="1" ht="18.75" customHeight="1">
      <c r="A98" s="1742"/>
      <c r="B98" s="1742"/>
      <c r="C98" s="1607" t="s">
        <v>1517</v>
      </c>
      <c r="D98" s="9029"/>
      <c r="E98" s="9030"/>
      <c r="F98" s="9030"/>
      <c r="G98" s="9000"/>
      <c r="H98" s="7074"/>
      <c r="I98" s="7075" t="s">
        <v>1518</v>
      </c>
      <c r="J98" s="7076"/>
      <c r="K98" s="7077"/>
      <c r="L98" s="7078"/>
      <c r="M98" s="8918"/>
      <c r="N98" s="537"/>
      <c r="O98" s="1544"/>
      <c r="P98" s="1544"/>
    </row>
    <row r="99" spans="1:16" s="1555" customFormat="1" ht="18.75" customHeight="1">
      <c r="A99" s="1742" t="s">
        <v>310</v>
      </c>
      <c r="B99" s="1742" t="s">
        <v>418</v>
      </c>
      <c r="C99" s="1607"/>
      <c r="D99" s="9029"/>
      <c r="E99" s="9030"/>
      <c r="F99" s="9030"/>
      <c r="G99" s="9000" t="str">
        <f>INDEX(PT_DIFFERENTIATION_NTAR,MATCH(B99,PT_DIFFERENTIATION_NTAR_ID,0))</f>
        <v>Подвоз воды потребителям поселка Совхозного</v>
      </c>
      <c r="H99" s="1809"/>
      <c r="I99" s="1658">
        <v>45292</v>
      </c>
      <c r="J99" s="1693">
        <v>45657</v>
      </c>
      <c r="K99" s="1784" t="s">
        <v>1524</v>
      </c>
      <c r="L99" s="1809" t="s">
        <v>769</v>
      </c>
      <c r="M99" s="8918"/>
      <c r="N99" s="537"/>
      <c r="O99" s="1544"/>
      <c r="P99" s="1544"/>
    </row>
    <row r="100" spans="1:16" s="1555" customFormat="1" ht="18.75" customHeight="1">
      <c r="A100" s="1742"/>
      <c r="B100" s="1742"/>
      <c r="C100" s="1607" t="s">
        <v>1517</v>
      </c>
      <c r="D100" s="9029"/>
      <c r="E100" s="9030"/>
      <c r="F100" s="9030"/>
      <c r="G100" s="9000"/>
      <c r="H100" s="7079"/>
      <c r="I100" s="7080" t="s">
        <v>1518</v>
      </c>
      <c r="J100" s="7081"/>
      <c r="K100" s="7082"/>
      <c r="L100" s="7083"/>
      <c r="M100" s="8918"/>
      <c r="N100" s="537"/>
      <c r="O100" s="1544"/>
      <c r="P100" s="1544"/>
    </row>
    <row r="101" spans="1:16" s="1555" customFormat="1" ht="18.75" customHeight="1">
      <c r="A101" s="1742" t="s">
        <v>310</v>
      </c>
      <c r="B101" s="1742" t="s">
        <v>424</v>
      </c>
      <c r="C101" s="1607"/>
      <c r="D101" s="9029"/>
      <c r="E101" s="9030"/>
      <c r="F101" s="9030"/>
      <c r="G101" s="9000" t="str">
        <f>INDEX(PT_DIFFERENTIATION_NTAR,MATCH(B101,PT_DIFFERENTIATION_NTAR_ID,0))</f>
        <v>Подвоз воды потребителям поселка Песчаного</v>
      </c>
      <c r="H101" s="1809"/>
      <c r="I101" s="1658">
        <v>45292</v>
      </c>
      <c r="J101" s="1693">
        <v>45657</v>
      </c>
      <c r="K101" s="1784" t="s">
        <v>1524</v>
      </c>
      <c r="L101" s="1809" t="s">
        <v>769</v>
      </c>
      <c r="M101" s="8918"/>
      <c r="N101" s="537"/>
      <c r="O101" s="1544"/>
      <c r="P101" s="1544"/>
    </row>
    <row r="102" spans="1:16" s="1555" customFormat="1" ht="18.75" customHeight="1">
      <c r="A102" s="1742"/>
      <c r="B102" s="1742"/>
      <c r="C102" s="1607" t="s">
        <v>1517</v>
      </c>
      <c r="D102" s="9029"/>
      <c r="E102" s="9030"/>
      <c r="F102" s="9030"/>
      <c r="G102" s="9000"/>
      <c r="H102" s="7084"/>
      <c r="I102" s="7085" t="s">
        <v>1518</v>
      </c>
      <c r="J102" s="7086"/>
      <c r="K102" s="7087"/>
      <c r="L102" s="7088"/>
      <c r="M102" s="8918"/>
      <c r="N102" s="537"/>
      <c r="O102" s="1544"/>
      <c r="P102" s="1544"/>
    </row>
    <row r="103" spans="1:16" s="1555" customFormat="1" ht="18.75" customHeight="1">
      <c r="A103" s="1742" t="s">
        <v>310</v>
      </c>
      <c r="B103" s="1742" t="s">
        <v>429</v>
      </c>
      <c r="C103" s="1607"/>
      <c r="D103" s="9029"/>
      <c r="E103" s="9030"/>
      <c r="F103" s="9030"/>
      <c r="G103" s="9000" t="str">
        <f>INDEX(PT_DIFFERENTIATION_NTAR,MATCH(B103,PT_DIFFERENTIATION_NTAR_ID,0))</f>
        <v>Подвоз воды потребителям аула Али-Кую</v>
      </c>
      <c r="H103" s="1809"/>
      <c r="I103" s="1658">
        <v>45292</v>
      </c>
      <c r="J103" s="1693">
        <v>45657</v>
      </c>
      <c r="K103" s="1784" t="s">
        <v>1524</v>
      </c>
      <c r="L103" s="1809" t="s">
        <v>769</v>
      </c>
      <c r="M103" s="8918"/>
      <c r="N103" s="537"/>
      <c r="O103" s="1544"/>
      <c r="P103" s="1544"/>
    </row>
    <row r="104" spans="1:16" s="1555" customFormat="1" ht="18.75" customHeight="1">
      <c r="A104" s="1742"/>
      <c r="B104" s="1742"/>
      <c r="C104" s="1607" t="s">
        <v>1517</v>
      </c>
      <c r="D104" s="9029"/>
      <c r="E104" s="9030"/>
      <c r="F104" s="9030"/>
      <c r="G104" s="9000"/>
      <c r="H104" s="7089"/>
      <c r="I104" s="7090" t="s">
        <v>1518</v>
      </c>
      <c r="J104" s="7091"/>
      <c r="K104" s="7092"/>
      <c r="L104" s="7093"/>
      <c r="M104" s="8918"/>
      <c r="N104" s="537"/>
      <c r="O104" s="1544"/>
      <c r="P104" s="1544"/>
    </row>
    <row r="105" spans="1:16" s="1555" customFormat="1" ht="18.75" customHeight="1">
      <c r="A105" s="1742" t="s">
        <v>310</v>
      </c>
      <c r="B105" s="1742" t="s">
        <v>435</v>
      </c>
      <c r="C105" s="1607"/>
      <c r="D105" s="9029"/>
      <c r="E105" s="9030"/>
      <c r="F105" s="9030"/>
      <c r="G105" s="9000" t="str">
        <f>INDEX(PT_DIFFERENTIATION_NTAR,MATCH(B105,PT_DIFFERENTIATION_NTAR_ID,0))</f>
        <v>Подвоз воды потребителям села Серноводского</v>
      </c>
      <c r="H105" s="1809"/>
      <c r="I105" s="1658">
        <v>45292</v>
      </c>
      <c r="J105" s="1693">
        <v>45657</v>
      </c>
      <c r="K105" s="1784" t="s">
        <v>1524</v>
      </c>
      <c r="L105" s="1809" t="s">
        <v>769</v>
      </c>
      <c r="M105" s="8918"/>
      <c r="N105" s="537"/>
      <c r="O105" s="1544"/>
      <c r="P105" s="1544"/>
    </row>
    <row r="106" spans="1:16" s="1555" customFormat="1" ht="18.75" customHeight="1">
      <c r="A106" s="1742"/>
      <c r="B106" s="1742"/>
      <c r="C106" s="1607" t="s">
        <v>1517</v>
      </c>
      <c r="D106" s="9029"/>
      <c r="E106" s="9030"/>
      <c r="F106" s="9030"/>
      <c r="G106" s="9000"/>
      <c r="H106" s="7094"/>
      <c r="I106" s="7095" t="s">
        <v>1518</v>
      </c>
      <c r="J106" s="7096"/>
      <c r="K106" s="7097"/>
      <c r="L106" s="7098"/>
      <c r="M106" s="8918"/>
      <c r="N106" s="537"/>
      <c r="O106" s="1544"/>
      <c r="P106" s="1544"/>
    </row>
    <row r="107" spans="1:16" s="1555" customFormat="1" ht="18.75" customHeight="1">
      <c r="A107" s="1742" t="s">
        <v>310</v>
      </c>
      <c r="B107" s="1742" t="s">
        <v>441</v>
      </c>
      <c r="C107" s="1607"/>
      <c r="D107" s="9029"/>
      <c r="E107" s="9030"/>
      <c r="F107" s="9030"/>
      <c r="G107" s="9000" t="str">
        <f>INDEX(PT_DIFFERENTIATION_NTAR,MATCH(B107,PT_DIFFERENTIATION_NTAR_ID,0))</f>
        <v>Подвоз воды потребителям хутора Медведева</v>
      </c>
      <c r="H107" s="1809"/>
      <c r="I107" s="1658">
        <v>45292</v>
      </c>
      <c r="J107" s="1693">
        <v>45657</v>
      </c>
      <c r="K107" s="1784" t="s">
        <v>1524</v>
      </c>
      <c r="L107" s="1809" t="s">
        <v>769</v>
      </c>
      <c r="M107" s="8918"/>
      <c r="N107" s="537"/>
      <c r="O107" s="1544"/>
      <c r="P107" s="1544"/>
    </row>
    <row r="108" spans="1:16" s="1555" customFormat="1" ht="18.75" customHeight="1">
      <c r="A108" s="1742"/>
      <c r="B108" s="1742"/>
      <c r="C108" s="1607" t="s">
        <v>1517</v>
      </c>
      <c r="D108" s="9029"/>
      <c r="E108" s="9030"/>
      <c r="F108" s="9030"/>
      <c r="G108" s="9000"/>
      <c r="H108" s="7099"/>
      <c r="I108" s="7100" t="s">
        <v>1518</v>
      </c>
      <c r="J108" s="7101"/>
      <c r="K108" s="7102"/>
      <c r="L108" s="7103"/>
      <c r="M108" s="8918"/>
      <c r="N108" s="537"/>
      <c r="O108" s="1544"/>
      <c r="P108" s="1544"/>
    </row>
    <row r="109" spans="1:16" s="1555" customFormat="1" ht="18.75" customHeight="1">
      <c r="A109" s="1742" t="s">
        <v>310</v>
      </c>
      <c r="B109" s="1742" t="s">
        <v>447</v>
      </c>
      <c r="C109" s="1607"/>
      <c r="D109" s="9029"/>
      <c r="E109" s="9030"/>
      <c r="F109" s="9030"/>
      <c r="G109" s="9000" t="str">
        <f>INDEX(PT_DIFFERENTIATION_NTAR,MATCH(B109,PT_DIFFERENTIATION_NTAR_ID,0))</f>
        <v>Подвоз воды потребителям хутора Графского</v>
      </c>
      <c r="H109" s="1809"/>
      <c r="I109" s="1658">
        <v>45292</v>
      </c>
      <c r="J109" s="1693">
        <v>45657</v>
      </c>
      <c r="K109" s="1784" t="s">
        <v>1524</v>
      </c>
      <c r="L109" s="1809" t="s">
        <v>769</v>
      </c>
      <c r="M109" s="8918"/>
      <c r="N109" s="537"/>
      <c r="O109" s="1544"/>
      <c r="P109" s="1544"/>
    </row>
    <row r="110" spans="1:16" s="1555" customFormat="1" ht="18.75" customHeight="1">
      <c r="A110" s="1742"/>
      <c r="B110" s="1742"/>
      <c r="C110" s="1607" t="s">
        <v>1517</v>
      </c>
      <c r="D110" s="9029"/>
      <c r="E110" s="9030"/>
      <c r="F110" s="9030"/>
      <c r="G110" s="9000"/>
      <c r="H110" s="7104"/>
      <c r="I110" s="7105" t="s">
        <v>1518</v>
      </c>
      <c r="J110" s="7106"/>
      <c r="K110" s="7107"/>
      <c r="L110" s="7108"/>
      <c r="M110" s="8918"/>
      <c r="N110" s="537"/>
      <c r="O110" s="1544"/>
      <c r="P110" s="1544"/>
    </row>
    <row r="111" spans="1:16" s="1555" customFormat="1" ht="18.75" customHeight="1">
      <c r="A111" s="1742" t="s">
        <v>310</v>
      </c>
      <c r="B111" s="1742" t="s">
        <v>453</v>
      </c>
      <c r="C111" s="1607"/>
      <c r="D111" s="9029"/>
      <c r="E111" s="9030"/>
      <c r="F111" s="9030"/>
      <c r="G111" s="9000" t="str">
        <f>INDEX(PT_DIFFERENTIATION_NTAR,MATCH(B111,PT_DIFFERENTIATION_NTAR_ID,0))</f>
        <v>Подвоз воды потребителям хутора Бугулова</v>
      </c>
      <c r="H111" s="1809"/>
      <c r="I111" s="1658">
        <v>45292</v>
      </c>
      <c r="J111" s="1693">
        <v>45657</v>
      </c>
      <c r="K111" s="1784" t="s">
        <v>1524</v>
      </c>
      <c r="L111" s="1809" t="s">
        <v>769</v>
      </c>
      <c r="M111" s="8918"/>
      <c r="N111" s="537"/>
      <c r="O111" s="1544"/>
      <c r="P111" s="1544"/>
    </row>
    <row r="112" spans="1:16" s="1555" customFormat="1" ht="18.75" customHeight="1">
      <c r="A112" s="1742"/>
      <c r="B112" s="1742"/>
      <c r="C112" s="1607" t="s">
        <v>1517</v>
      </c>
      <c r="D112" s="9029"/>
      <c r="E112" s="9030"/>
      <c r="F112" s="9030"/>
      <c r="G112" s="9000"/>
      <c r="H112" s="7109"/>
      <c r="I112" s="7110" t="s">
        <v>1518</v>
      </c>
      <c r="J112" s="7111"/>
      <c r="K112" s="7112"/>
      <c r="L112" s="7113"/>
      <c r="M112" s="8918"/>
      <c r="N112" s="537"/>
      <c r="O112" s="1544"/>
      <c r="P112" s="1544"/>
    </row>
    <row r="113" spans="1:16" s="1555" customFormat="1" ht="18.75" customHeight="1">
      <c r="A113" s="1742" t="s">
        <v>310</v>
      </c>
      <c r="B113" s="1742" t="s">
        <v>459</v>
      </c>
      <c r="C113" s="1607"/>
      <c r="D113" s="9029"/>
      <c r="E113" s="9030"/>
      <c r="F113" s="9030"/>
      <c r="G113" s="9000" t="str">
        <f>INDEX(PT_DIFFERENTIATION_NTAR,MATCH(B113,PT_DIFFERENTIATION_NTAR_ID,0))</f>
        <v>Подвоз воды потребителям хутора Горного</v>
      </c>
      <c r="H113" s="1809"/>
      <c r="I113" s="1658">
        <v>45292</v>
      </c>
      <c r="J113" s="1693">
        <v>45657</v>
      </c>
      <c r="K113" s="1784" t="s">
        <v>1524</v>
      </c>
      <c r="L113" s="1809" t="s">
        <v>769</v>
      </c>
      <c r="M113" s="8918"/>
      <c r="N113" s="537"/>
      <c r="O113" s="1544"/>
      <c r="P113" s="1544"/>
    </row>
    <row r="114" spans="1:16" s="1555" customFormat="1" ht="18.75" customHeight="1">
      <c r="A114" s="1742"/>
      <c r="B114" s="1742"/>
      <c r="C114" s="1607" t="s">
        <v>1517</v>
      </c>
      <c r="D114" s="9029"/>
      <c r="E114" s="9030"/>
      <c r="F114" s="9030"/>
      <c r="G114" s="9000"/>
      <c r="H114" s="7114"/>
      <c r="I114" s="7115" t="s">
        <v>1518</v>
      </c>
      <c r="J114" s="7116"/>
      <c r="K114" s="7117"/>
      <c r="L114" s="7118"/>
      <c r="M114" s="8918"/>
      <c r="N114" s="537"/>
      <c r="O114" s="1544"/>
      <c r="P114" s="1544"/>
    </row>
    <row r="115" spans="1:16" s="1555" customFormat="1" ht="18.75" customHeight="1">
      <c r="A115" s="1742" t="s">
        <v>310</v>
      </c>
      <c r="B115" s="1742" t="s">
        <v>465</v>
      </c>
      <c r="C115" s="1607"/>
      <c r="D115" s="9029"/>
      <c r="E115" s="9030"/>
      <c r="F115" s="9030"/>
      <c r="G115" s="9000" t="str">
        <f>INDEX(PT_DIFFERENTIATION_NTAR,MATCH(B115,PT_DIFFERENTIATION_NTAR_ID,0))</f>
        <v>Подвоз воды потребителям села Падинского</v>
      </c>
      <c r="H115" s="1809"/>
      <c r="I115" s="1658">
        <v>45292</v>
      </c>
      <c r="J115" s="1693">
        <v>45657</v>
      </c>
      <c r="K115" s="1784" t="s">
        <v>1524</v>
      </c>
      <c r="L115" s="1809" t="s">
        <v>769</v>
      </c>
      <c r="M115" s="8918"/>
      <c r="N115" s="537"/>
      <c r="O115" s="1544"/>
      <c r="P115" s="1544"/>
    </row>
    <row r="116" spans="1:16" s="1555" customFormat="1" ht="18.75" customHeight="1">
      <c r="A116" s="1742"/>
      <c r="B116" s="1742"/>
      <c r="C116" s="1607" t="s">
        <v>1517</v>
      </c>
      <c r="D116" s="9029"/>
      <c r="E116" s="9030"/>
      <c r="F116" s="9030"/>
      <c r="G116" s="9000"/>
      <c r="H116" s="7119"/>
      <c r="I116" s="7120" t="s">
        <v>1518</v>
      </c>
      <c r="J116" s="7121"/>
      <c r="K116" s="7122"/>
      <c r="L116" s="7123"/>
      <c r="M116" s="8918"/>
      <c r="N116" s="537"/>
      <c r="O116" s="1544"/>
      <c r="P116" s="1544"/>
    </row>
    <row r="117" spans="1:16" s="1555" customFormat="1" ht="18.75" customHeight="1">
      <c r="A117" s="1742" t="s">
        <v>310</v>
      </c>
      <c r="B117" s="1742" t="s">
        <v>471</v>
      </c>
      <c r="C117" s="1607"/>
      <c r="D117" s="9029"/>
      <c r="E117" s="9030"/>
      <c r="F117" s="9030"/>
      <c r="G117" s="9000" t="str">
        <f>INDEX(PT_DIFFERENTIATION_NTAR,MATCH(B117,PT_DIFFERENTIATION_NTAR_ID,0))</f>
        <v>Подвоз воды потребителям поселка Садовая Долина</v>
      </c>
      <c r="H117" s="1809"/>
      <c r="I117" s="1658">
        <v>45292</v>
      </c>
      <c r="J117" s="1693">
        <v>45657</v>
      </c>
      <c r="K117" s="1784" t="s">
        <v>1524</v>
      </c>
      <c r="L117" s="1809" t="s">
        <v>769</v>
      </c>
      <c r="M117" s="8918"/>
      <c r="N117" s="537"/>
      <c r="O117" s="1544"/>
      <c r="P117" s="1544"/>
    </row>
    <row r="118" spans="1:16" s="1555" customFormat="1" ht="18.75" customHeight="1">
      <c r="A118" s="1742"/>
      <c r="B118" s="1742"/>
      <c r="C118" s="1607" t="s">
        <v>1517</v>
      </c>
      <c r="D118" s="9029"/>
      <c r="E118" s="9030"/>
      <c r="F118" s="9030"/>
      <c r="G118" s="9000"/>
      <c r="H118" s="7124"/>
      <c r="I118" s="7125" t="s">
        <v>1518</v>
      </c>
      <c r="J118" s="7126"/>
      <c r="K118" s="7127"/>
      <c r="L118" s="7128"/>
      <c r="M118" s="8918"/>
      <c r="N118" s="537"/>
      <c r="O118" s="1544"/>
      <c r="P118" s="1544"/>
    </row>
    <row r="119" spans="1:16" s="1555" customFormat="1" ht="18.75" customHeight="1">
      <c r="A119" s="1742" t="s">
        <v>310</v>
      </c>
      <c r="B119" s="1742" t="s">
        <v>477</v>
      </c>
      <c r="C119" s="1607"/>
      <c r="D119" s="9029"/>
      <c r="E119" s="9030"/>
      <c r="F119" s="9030"/>
      <c r="G119" s="9000" t="str">
        <f>INDEX(PT_DIFFERENTIATION_NTAR,MATCH(B119,PT_DIFFERENTIATION_NTAR_ID,0))</f>
        <v>Подвоз воды потребителям хутора Новоборгустанского</v>
      </c>
      <c r="H119" s="1809"/>
      <c r="I119" s="1658">
        <v>45292</v>
      </c>
      <c r="J119" s="1693">
        <v>45657</v>
      </c>
      <c r="K119" s="1784" t="s">
        <v>1524</v>
      </c>
      <c r="L119" s="1809" t="s">
        <v>769</v>
      </c>
      <c r="M119" s="8918"/>
      <c r="N119" s="537"/>
      <c r="O119" s="1544"/>
      <c r="P119" s="1544"/>
    </row>
    <row r="120" spans="1:16" s="1555" customFormat="1" ht="18.75" customHeight="1">
      <c r="A120" s="1742"/>
      <c r="B120" s="1742"/>
      <c r="C120" s="1607" t="s">
        <v>1517</v>
      </c>
      <c r="D120" s="9029"/>
      <c r="E120" s="9030"/>
      <c r="F120" s="9030"/>
      <c r="G120" s="9000"/>
      <c r="H120" s="7129"/>
      <c r="I120" s="7130" t="s">
        <v>1518</v>
      </c>
      <c r="J120" s="7131"/>
      <c r="K120" s="7132"/>
      <c r="L120" s="7133"/>
      <c r="M120" s="8918"/>
      <c r="N120" s="537"/>
      <c r="O120" s="1544"/>
      <c r="P120" s="1544"/>
    </row>
    <row r="121" spans="1:16" s="1555" customFormat="1" ht="18.75" customHeight="1">
      <c r="A121" s="1742" t="s">
        <v>310</v>
      </c>
      <c r="B121" s="1742" t="s">
        <v>483</v>
      </c>
      <c r="C121" s="1607"/>
      <c r="D121" s="9029"/>
      <c r="E121" s="9030"/>
      <c r="F121" s="9030"/>
      <c r="G121" s="9000" t="str">
        <f>INDEX(PT_DIFFERENTIATION_NTAR,MATCH(B121,PT_DIFFERENTIATION_NTAR_ID,0))</f>
        <v>Подвоз воды потребителям поселка Боргустанские Горы</v>
      </c>
      <c r="H121" s="1809"/>
      <c r="I121" s="1658">
        <v>45292</v>
      </c>
      <c r="J121" s="1693">
        <v>45657</v>
      </c>
      <c r="K121" s="1784" t="s">
        <v>1524</v>
      </c>
      <c r="L121" s="1809" t="s">
        <v>769</v>
      </c>
      <c r="M121" s="8918"/>
      <c r="N121" s="537"/>
      <c r="O121" s="1544"/>
      <c r="P121" s="1544"/>
    </row>
    <row r="122" spans="1:16" s="1555" customFormat="1" ht="18.75" customHeight="1">
      <c r="A122" s="1742"/>
      <c r="B122" s="1742"/>
      <c r="C122" s="1607" t="s">
        <v>1517</v>
      </c>
      <c r="D122" s="9029"/>
      <c r="E122" s="9030"/>
      <c r="F122" s="9030"/>
      <c r="G122" s="9000"/>
      <c r="H122" s="7134"/>
      <c r="I122" s="7135" t="s">
        <v>1518</v>
      </c>
      <c r="J122" s="7136"/>
      <c r="K122" s="7137"/>
      <c r="L122" s="7138"/>
      <c r="M122" s="8918"/>
      <c r="N122" s="537"/>
      <c r="O122" s="1544"/>
      <c r="P122" s="1544"/>
    </row>
    <row r="123" spans="1:16" s="1555" customFormat="1" ht="18.75" customHeight="1">
      <c r="A123" s="1742" t="s">
        <v>310</v>
      </c>
      <c r="B123" s="1742" t="s">
        <v>489</v>
      </c>
      <c r="C123" s="1607"/>
      <c r="D123" s="9029"/>
      <c r="E123" s="9030"/>
      <c r="F123" s="9030"/>
      <c r="G123" s="9000" t="str">
        <f>INDEX(PT_DIFFERENTIATION_NTAR,MATCH(B123,PT_DIFFERENTIATION_NTAR_ID,0))</f>
        <v>Подвоз воды потребителям хутора Коммаяка</v>
      </c>
      <c r="H123" s="1809"/>
      <c r="I123" s="1658">
        <v>45292</v>
      </c>
      <c r="J123" s="1693">
        <v>45657</v>
      </c>
      <c r="K123" s="1784" t="s">
        <v>1524</v>
      </c>
      <c r="L123" s="1809" t="s">
        <v>769</v>
      </c>
      <c r="M123" s="8918"/>
      <c r="N123" s="537"/>
      <c r="O123" s="1544"/>
      <c r="P123" s="1544"/>
    </row>
    <row r="124" spans="1:16" s="1555" customFormat="1" ht="18.75" customHeight="1">
      <c r="A124" s="1742"/>
      <c r="B124" s="1742"/>
      <c r="C124" s="1607" t="s">
        <v>1517</v>
      </c>
      <c r="D124" s="9029"/>
      <c r="E124" s="9030"/>
      <c r="F124" s="9030"/>
      <c r="G124" s="9000"/>
      <c r="H124" s="7139"/>
      <c r="I124" s="7140" t="s">
        <v>1518</v>
      </c>
      <c r="J124" s="7141"/>
      <c r="K124" s="7142"/>
      <c r="L124" s="7143"/>
      <c r="M124" s="8918"/>
      <c r="N124" s="537"/>
      <c r="O124" s="1544"/>
      <c r="P124" s="1544"/>
    </row>
    <row r="125" spans="1:16" s="1555" customFormat="1" ht="18.75" customHeight="1">
      <c r="A125" s="1742" t="s">
        <v>310</v>
      </c>
      <c r="B125" s="1742" t="s">
        <v>495</v>
      </c>
      <c r="C125" s="1607"/>
      <c r="D125" s="9029"/>
      <c r="E125" s="9030"/>
      <c r="F125" s="9030"/>
      <c r="G125" s="9000" t="str">
        <f>INDEX(PT_DIFFERENTIATION_NTAR,MATCH(B125,PT_DIFFERENTIATION_NTAR_ID,0))</f>
        <v>Подвоз воды потребителям хутора Садового</v>
      </c>
      <c r="H125" s="1809"/>
      <c r="I125" s="1658">
        <v>45292</v>
      </c>
      <c r="J125" s="1693">
        <v>45657</v>
      </c>
      <c r="K125" s="1784" t="s">
        <v>1524</v>
      </c>
      <c r="L125" s="1809" t="s">
        <v>769</v>
      </c>
      <c r="M125" s="8918"/>
      <c r="N125" s="537"/>
      <c r="O125" s="1544"/>
      <c r="P125" s="1544"/>
    </row>
    <row r="126" spans="1:16" s="1555" customFormat="1" ht="18.75" customHeight="1">
      <c r="A126" s="1742"/>
      <c r="B126" s="1742"/>
      <c r="C126" s="1607" t="s">
        <v>1517</v>
      </c>
      <c r="D126" s="9029"/>
      <c r="E126" s="9030"/>
      <c r="F126" s="9030"/>
      <c r="G126" s="9000"/>
      <c r="H126" s="7144"/>
      <c r="I126" s="7145" t="s">
        <v>1518</v>
      </c>
      <c r="J126" s="7146"/>
      <c r="K126" s="7147"/>
      <c r="L126" s="7148"/>
      <c r="M126" s="8918"/>
      <c r="N126" s="537"/>
      <c r="O126" s="1544"/>
      <c r="P126" s="1544"/>
    </row>
    <row r="127" spans="1:16" s="1555" customFormat="1" ht="18.75" customHeight="1">
      <c r="A127" s="1742" t="s">
        <v>310</v>
      </c>
      <c r="B127" s="1742" t="s">
        <v>501</v>
      </c>
      <c r="C127" s="1607"/>
      <c r="D127" s="9029"/>
      <c r="E127" s="9030"/>
      <c r="F127" s="9030"/>
      <c r="G127" s="9000" t="str">
        <f>INDEX(PT_DIFFERENTIATION_NTAR,MATCH(B127,PT_DIFFERENTIATION_NTAR_ID,0))</f>
        <v>Подвоз воды потребителям хутора Кофанова</v>
      </c>
      <c r="H127" s="1809"/>
      <c r="I127" s="1658">
        <v>45292</v>
      </c>
      <c r="J127" s="1693">
        <v>45657</v>
      </c>
      <c r="K127" s="1784" t="s">
        <v>1524</v>
      </c>
      <c r="L127" s="1809" t="s">
        <v>769</v>
      </c>
      <c r="M127" s="8918"/>
      <c r="N127" s="537"/>
      <c r="O127" s="1544"/>
      <c r="P127" s="1544"/>
    </row>
    <row r="128" spans="1:16" s="1555" customFormat="1" ht="18.75" customHeight="1">
      <c r="A128" s="1742"/>
      <c r="B128" s="1742"/>
      <c r="C128" s="1607" t="s">
        <v>1517</v>
      </c>
      <c r="D128" s="9029"/>
      <c r="E128" s="9030"/>
      <c r="F128" s="9030"/>
      <c r="G128" s="9000"/>
      <c r="H128" s="7149"/>
      <c r="I128" s="7150" t="s">
        <v>1518</v>
      </c>
      <c r="J128" s="7151"/>
      <c r="K128" s="7152"/>
      <c r="L128" s="7153"/>
      <c r="M128" s="8918"/>
      <c r="N128" s="537"/>
      <c r="O128" s="1544"/>
      <c r="P128" s="1544"/>
    </row>
    <row r="129" spans="1:16" s="1555" customFormat="1" ht="18.75" customHeight="1">
      <c r="A129" s="1742" t="s">
        <v>310</v>
      </c>
      <c r="B129" s="1742" t="s">
        <v>506</v>
      </c>
      <c r="C129" s="1607"/>
      <c r="D129" s="9029"/>
      <c r="E129" s="9030"/>
      <c r="F129" s="9030"/>
      <c r="G129" s="9000" t="str">
        <f>INDEX(PT_DIFFERENTIATION_NTAR,MATCH(B129,PT_DIFFERENTIATION_NTAR_ID,0))</f>
        <v>Подвоз воды потребителям хутора Холодногорского</v>
      </c>
      <c r="H129" s="1809"/>
      <c r="I129" s="1658">
        <v>45292</v>
      </c>
      <c r="J129" s="1693">
        <v>45657</v>
      </c>
      <c r="K129" s="1784" t="s">
        <v>1524</v>
      </c>
      <c r="L129" s="1809" t="s">
        <v>769</v>
      </c>
      <c r="M129" s="8918"/>
      <c r="N129" s="537"/>
      <c r="O129" s="1544"/>
      <c r="P129" s="1544"/>
    </row>
    <row r="130" spans="1:16" s="1555" customFormat="1" ht="18.75" customHeight="1">
      <c r="A130" s="1742"/>
      <c r="B130" s="1742"/>
      <c r="C130" s="1607" t="s">
        <v>1517</v>
      </c>
      <c r="D130" s="9029"/>
      <c r="E130" s="9030"/>
      <c r="F130" s="9030"/>
      <c r="G130" s="9000"/>
      <c r="H130" s="7154"/>
      <c r="I130" s="7155" t="s">
        <v>1518</v>
      </c>
      <c r="J130" s="7156"/>
      <c r="K130" s="7157"/>
      <c r="L130" s="7158"/>
      <c r="M130" s="8918"/>
      <c r="N130" s="537"/>
      <c r="O130" s="1544"/>
      <c r="P130" s="1544"/>
    </row>
    <row r="131" spans="1:16" s="1555" customFormat="1" ht="18.75" customHeight="1">
      <c r="A131" s="1742" t="s">
        <v>310</v>
      </c>
      <c r="B131" s="1742" t="s">
        <v>512</v>
      </c>
      <c r="C131" s="1607"/>
      <c r="D131" s="9029"/>
      <c r="E131" s="9030"/>
      <c r="F131" s="9030"/>
      <c r="G131" s="9000" t="str">
        <f>INDEX(PT_DIFFERENTIATION_NTAR,MATCH(B131,PT_DIFFERENTIATION_NTAR_ID,0))</f>
        <v>Подвоз воды потребителям хутора Гремучего</v>
      </c>
      <c r="H131" s="1809"/>
      <c r="I131" s="1658">
        <v>45292</v>
      </c>
      <c r="J131" s="1693">
        <v>45657</v>
      </c>
      <c r="K131" s="1784" t="s">
        <v>1524</v>
      </c>
      <c r="L131" s="1809" t="s">
        <v>769</v>
      </c>
      <c r="M131" s="8918"/>
      <c r="N131" s="537"/>
      <c r="O131" s="1544"/>
      <c r="P131" s="1544"/>
    </row>
    <row r="132" spans="1:16" s="1555" customFormat="1" ht="18.75" customHeight="1">
      <c r="A132" s="1742"/>
      <c r="B132" s="1742"/>
      <c r="C132" s="1607" t="s">
        <v>1517</v>
      </c>
      <c r="D132" s="9029"/>
      <c r="E132" s="9030"/>
      <c r="F132" s="9030"/>
      <c r="G132" s="9000"/>
      <c r="H132" s="7159"/>
      <c r="I132" s="7160" t="s">
        <v>1518</v>
      </c>
      <c r="J132" s="7161"/>
      <c r="K132" s="7162"/>
      <c r="L132" s="7163"/>
      <c r="M132" s="8918"/>
      <c r="N132" s="537"/>
      <c r="O132" s="1544"/>
      <c r="P132" s="1544"/>
    </row>
    <row r="133" spans="1:16" s="1555" customFormat="1" ht="18.75" customHeight="1">
      <c r="A133" s="1742" t="s">
        <v>310</v>
      </c>
      <c r="B133" s="1742" t="s">
        <v>518</v>
      </c>
      <c r="C133" s="1607"/>
      <c r="D133" s="9029"/>
      <c r="E133" s="9030"/>
      <c r="F133" s="9030"/>
      <c r="G133" s="9000" t="str">
        <f>INDEX(PT_DIFFERENTIATION_NTAR,MATCH(B133,PT_DIFFERENTIATION_NTAR_ID,0))</f>
        <v>Подвоз воды потребителям поселка Верхнедубовского</v>
      </c>
      <c r="H133" s="1809"/>
      <c r="I133" s="1658">
        <v>45292</v>
      </c>
      <c r="J133" s="1693">
        <v>45657</v>
      </c>
      <c r="K133" s="1784" t="s">
        <v>1524</v>
      </c>
      <c r="L133" s="1809" t="s">
        <v>769</v>
      </c>
      <c r="M133" s="8918"/>
      <c r="N133" s="537"/>
      <c r="O133" s="1544"/>
      <c r="P133" s="1544"/>
    </row>
    <row r="134" spans="1:16" s="1555" customFormat="1" ht="18.75" customHeight="1">
      <c r="A134" s="1742"/>
      <c r="B134" s="1742"/>
      <c r="C134" s="1607" t="s">
        <v>1517</v>
      </c>
      <c r="D134" s="9029"/>
      <c r="E134" s="9030"/>
      <c r="F134" s="9030"/>
      <c r="G134" s="9000"/>
      <c r="H134" s="7164"/>
      <c r="I134" s="7165" t="s">
        <v>1518</v>
      </c>
      <c r="J134" s="7166"/>
      <c r="K134" s="7167"/>
      <c r="L134" s="7168"/>
      <c r="M134" s="8918"/>
      <c r="N134" s="537"/>
      <c r="O134" s="1544"/>
      <c r="P134" s="1544"/>
    </row>
    <row r="135" spans="1:16" s="1555" customFormat="1" ht="18.75" customHeight="1">
      <c r="A135" s="1742" t="s">
        <v>310</v>
      </c>
      <c r="B135" s="1742" t="s">
        <v>524</v>
      </c>
      <c r="C135" s="1607"/>
      <c r="D135" s="9029"/>
      <c r="E135" s="9030"/>
      <c r="F135" s="9030"/>
      <c r="G135" s="9000" t="str">
        <f>INDEX(PT_DIFFERENTIATION_NTAR,MATCH(B135,PT_DIFFERENTIATION_NTAR_ID,0))</f>
        <v>Подвоз воды потребителям хутора Богатого</v>
      </c>
      <c r="H135" s="1809"/>
      <c r="I135" s="1658">
        <v>45292</v>
      </c>
      <c r="J135" s="1693">
        <v>45657</v>
      </c>
      <c r="K135" s="1784" t="s">
        <v>1524</v>
      </c>
      <c r="L135" s="1809" t="s">
        <v>769</v>
      </c>
      <c r="M135" s="8918"/>
      <c r="N135" s="537"/>
      <c r="O135" s="1544"/>
      <c r="P135" s="1544"/>
    </row>
    <row r="136" spans="1:16" s="1555" customFormat="1" ht="18.75" customHeight="1">
      <c r="A136" s="1742"/>
      <c r="B136" s="1742"/>
      <c r="C136" s="1607" t="s">
        <v>1517</v>
      </c>
      <c r="D136" s="9029"/>
      <c r="E136" s="9030"/>
      <c r="F136" s="9030"/>
      <c r="G136" s="9000"/>
      <c r="H136" s="7169"/>
      <c r="I136" s="7170" t="s">
        <v>1518</v>
      </c>
      <c r="J136" s="7171"/>
      <c r="K136" s="7172"/>
      <c r="L136" s="7173"/>
      <c r="M136" s="8918"/>
      <c r="N136" s="537"/>
      <c r="O136" s="1544"/>
      <c r="P136" s="1544"/>
    </row>
    <row r="137" spans="1:16" s="1555" customFormat="1" ht="18.75" customHeight="1">
      <c r="A137" s="1742" t="s">
        <v>310</v>
      </c>
      <c r="B137" s="1742" t="s">
        <v>530</v>
      </c>
      <c r="C137" s="1607"/>
      <c r="D137" s="9029"/>
      <c r="E137" s="9030"/>
      <c r="F137" s="9030"/>
      <c r="G137" s="9000" t="str">
        <f>INDEX(PT_DIFFERENTIATION_NTAR,MATCH(B137,PT_DIFFERENTIATION_NTAR_ID,0))</f>
        <v>Подвоз воды потребителям хутора Верхнеегорлыкского</v>
      </c>
      <c r="H137" s="1809"/>
      <c r="I137" s="1658">
        <v>45292</v>
      </c>
      <c r="J137" s="1693">
        <v>45657</v>
      </c>
      <c r="K137" s="1784" t="s">
        <v>1524</v>
      </c>
      <c r="L137" s="1809" t="s">
        <v>769</v>
      </c>
      <c r="M137" s="8918"/>
      <c r="N137" s="537"/>
      <c r="O137" s="1544"/>
      <c r="P137" s="1544"/>
    </row>
    <row r="138" spans="1:16" s="1555" customFormat="1" ht="18.75" customHeight="1">
      <c r="A138" s="1742"/>
      <c r="B138" s="1742"/>
      <c r="C138" s="1607" t="s">
        <v>1517</v>
      </c>
      <c r="D138" s="9029"/>
      <c r="E138" s="9030"/>
      <c r="F138" s="9030"/>
      <c r="G138" s="9000"/>
      <c r="H138" s="7174"/>
      <c r="I138" s="7175" t="s">
        <v>1518</v>
      </c>
      <c r="J138" s="7176"/>
      <c r="K138" s="7177"/>
      <c r="L138" s="7178"/>
      <c r="M138" s="8918"/>
      <c r="N138" s="537"/>
      <c r="O138" s="1544"/>
      <c r="P138" s="1544"/>
    </row>
    <row r="139" spans="1:16" s="1555" customFormat="1" ht="18.75" customHeight="1">
      <c r="A139" s="1742" t="s">
        <v>310</v>
      </c>
      <c r="B139" s="1742" t="s">
        <v>535</v>
      </c>
      <c r="C139" s="1607"/>
      <c r="D139" s="9029"/>
      <c r="E139" s="9030"/>
      <c r="F139" s="9030"/>
      <c r="G139" s="9000" t="str">
        <f>INDEX(PT_DIFFERENTIATION_NTAR,MATCH(B139,PT_DIFFERENTIATION_NTAR_ID,0))</f>
        <v>Подвоз воды потребителям хутора Садового</v>
      </c>
      <c r="H139" s="1809"/>
      <c r="I139" s="1658">
        <v>45292</v>
      </c>
      <c r="J139" s="1693">
        <v>45657</v>
      </c>
      <c r="K139" s="1784" t="s">
        <v>1524</v>
      </c>
      <c r="L139" s="1809" t="s">
        <v>769</v>
      </c>
      <c r="M139" s="8918"/>
      <c r="N139" s="537"/>
      <c r="O139" s="1544"/>
      <c r="P139" s="1544"/>
    </row>
    <row r="140" spans="1:16" s="1555" customFormat="1" ht="18.75" customHeight="1">
      <c r="A140" s="1742"/>
      <c r="B140" s="1742"/>
      <c r="C140" s="1607" t="s">
        <v>1517</v>
      </c>
      <c r="D140" s="9029"/>
      <c r="E140" s="9030"/>
      <c r="F140" s="9030"/>
      <c r="G140" s="9000"/>
      <c r="H140" s="7179"/>
      <c r="I140" s="7180" t="s">
        <v>1518</v>
      </c>
      <c r="J140" s="7181"/>
      <c r="K140" s="7182"/>
      <c r="L140" s="7183"/>
      <c r="M140" s="8918"/>
      <c r="N140" s="537"/>
      <c r="O140" s="1544"/>
      <c r="P140" s="1544"/>
    </row>
    <row r="141" spans="1:16" s="1555" customFormat="1" ht="18.75" customHeight="1">
      <c r="A141" s="1742" t="s">
        <v>310</v>
      </c>
      <c r="B141" s="1742" t="s">
        <v>541</v>
      </c>
      <c r="C141" s="1607"/>
      <c r="D141" s="9029"/>
      <c r="E141" s="9030"/>
      <c r="F141" s="9030"/>
      <c r="G141" s="9000" t="str">
        <f>INDEX(PT_DIFFERENTIATION_NTAR,MATCH(B141,PT_DIFFERENTIATION_NTAR_ID,0))</f>
        <v>Подвоз воды потребителям хутора Темнореченского</v>
      </c>
      <c r="H141" s="1809"/>
      <c r="I141" s="1658">
        <v>45292</v>
      </c>
      <c r="J141" s="1693">
        <v>45657</v>
      </c>
      <c r="K141" s="1784" t="s">
        <v>1524</v>
      </c>
      <c r="L141" s="1809" t="s">
        <v>769</v>
      </c>
      <c r="M141" s="8918"/>
      <c r="N141" s="537"/>
      <c r="O141" s="1544"/>
      <c r="P141" s="1544"/>
    </row>
    <row r="142" spans="1:16" s="1555" customFormat="1" ht="18.75" customHeight="1">
      <c r="A142" s="1742"/>
      <c r="B142" s="1742"/>
      <c r="C142" s="1607" t="s">
        <v>1517</v>
      </c>
      <c r="D142" s="9029"/>
      <c r="E142" s="9030"/>
      <c r="F142" s="9030"/>
      <c r="G142" s="9000"/>
      <c r="H142" s="7184"/>
      <c r="I142" s="7185" t="s">
        <v>1518</v>
      </c>
      <c r="J142" s="7186"/>
      <c r="K142" s="7187"/>
      <c r="L142" s="7188"/>
      <c r="M142" s="8918"/>
      <c r="N142" s="537"/>
      <c r="O142" s="1544"/>
      <c r="P142" s="1544"/>
    </row>
    <row r="143" spans="1:16" s="1555" customFormat="1" ht="18.75" customHeight="1">
      <c r="A143" s="1742" t="s">
        <v>310</v>
      </c>
      <c r="B143" s="1742" t="s">
        <v>547</v>
      </c>
      <c r="C143" s="1607"/>
      <c r="D143" s="9029"/>
      <c r="E143" s="9030"/>
      <c r="F143" s="9030"/>
      <c r="G143" s="9000" t="str">
        <f>INDEX(PT_DIFFERENTIATION_NTAR,MATCH(B143,PT_DIFFERENTIATION_NTAR_ID,0))</f>
        <v>Подвоз воды потребителям хутора Рынок</v>
      </c>
      <c r="H143" s="1809"/>
      <c r="I143" s="1658">
        <v>45292</v>
      </c>
      <c r="J143" s="1693">
        <v>45657</v>
      </c>
      <c r="K143" s="1784" t="s">
        <v>1524</v>
      </c>
      <c r="L143" s="1809" t="s">
        <v>769</v>
      </c>
      <c r="M143" s="8918"/>
      <c r="N143" s="537"/>
      <c r="O143" s="1544"/>
      <c r="P143" s="1544"/>
    </row>
    <row r="144" spans="1:16" s="1555" customFormat="1" ht="18.75" customHeight="1">
      <c r="A144" s="1742"/>
      <c r="B144" s="1742"/>
      <c r="C144" s="1607" t="s">
        <v>1517</v>
      </c>
      <c r="D144" s="9029"/>
      <c r="E144" s="9030"/>
      <c r="F144" s="9030"/>
      <c r="G144" s="9000"/>
      <c r="H144" s="7189"/>
      <c r="I144" s="7190" t="s">
        <v>1518</v>
      </c>
      <c r="J144" s="7191"/>
      <c r="K144" s="7192"/>
      <c r="L144" s="7193"/>
      <c r="M144" s="8918"/>
      <c r="N144" s="537"/>
      <c r="O144" s="1544"/>
      <c r="P144" s="1544"/>
    </row>
    <row r="145" spans="1:16" s="1555" customFormat="1" ht="18.75" customHeight="1">
      <c r="A145" s="1742" t="s">
        <v>310</v>
      </c>
      <c r="B145" s="1742" t="s">
        <v>553</v>
      </c>
      <c r="C145" s="1607"/>
      <c r="D145" s="9029"/>
      <c r="E145" s="9030"/>
      <c r="F145" s="9030"/>
      <c r="G145" s="9000" t="str">
        <f>INDEX(PT_DIFFERENTIATION_NTAR,MATCH(B145,PT_DIFFERENTIATION_NTAR_ID,0))</f>
        <v>Подвоз воды потребителям хутора Польского</v>
      </c>
      <c r="H145" s="1809"/>
      <c r="I145" s="1658">
        <v>45292</v>
      </c>
      <c r="J145" s="1693">
        <v>45657</v>
      </c>
      <c r="K145" s="1784" t="s">
        <v>1524</v>
      </c>
      <c r="L145" s="1809" t="s">
        <v>769</v>
      </c>
      <c r="M145" s="8918"/>
      <c r="N145" s="537"/>
      <c r="O145" s="1544"/>
      <c r="P145" s="1544"/>
    </row>
    <row r="146" spans="1:16" s="1555" customFormat="1" ht="18.75" customHeight="1">
      <c r="A146" s="1742"/>
      <c r="B146" s="1742"/>
      <c r="C146" s="1607" t="s">
        <v>1517</v>
      </c>
      <c r="D146" s="9029"/>
      <c r="E146" s="9030"/>
      <c r="F146" s="9030"/>
      <c r="G146" s="9000"/>
      <c r="H146" s="7194"/>
      <c r="I146" s="7195" t="s">
        <v>1518</v>
      </c>
      <c r="J146" s="7196"/>
      <c r="K146" s="7197"/>
      <c r="L146" s="7198"/>
      <c r="M146" s="8918"/>
      <c r="N146" s="537"/>
      <c r="O146" s="1544"/>
      <c r="P146" s="1544"/>
    </row>
    <row r="147" spans="1:16" s="1555" customFormat="1" ht="18.75" customHeight="1">
      <c r="A147" s="1742" t="s">
        <v>310</v>
      </c>
      <c r="B147" s="1742" t="s">
        <v>559</v>
      </c>
      <c r="C147" s="1607"/>
      <c r="D147" s="9029"/>
      <c r="E147" s="9030"/>
      <c r="F147" s="9030"/>
      <c r="G147" s="9000" t="str">
        <f>INDEX(PT_DIFFERENTIATION_NTAR,MATCH(B147,PT_DIFFERENTIATION_NTAR_ID,0))</f>
        <v>Подвоз воды потребителям поселка Рогового</v>
      </c>
      <c r="H147" s="1809"/>
      <c r="I147" s="1658">
        <v>45292</v>
      </c>
      <c r="J147" s="1693">
        <v>45657</v>
      </c>
      <c r="K147" s="1784" t="s">
        <v>1524</v>
      </c>
      <c r="L147" s="1809" t="s">
        <v>769</v>
      </c>
      <c r="M147" s="8918"/>
      <c r="N147" s="537"/>
      <c r="O147" s="1544"/>
      <c r="P147" s="1544"/>
    </row>
    <row r="148" spans="1:16" s="1555" customFormat="1" ht="18.75" customHeight="1">
      <c r="A148" s="1742"/>
      <c r="B148" s="1742"/>
      <c r="C148" s="1607" t="s">
        <v>1517</v>
      </c>
      <c r="D148" s="9029"/>
      <c r="E148" s="9030"/>
      <c r="F148" s="9030"/>
      <c r="G148" s="9000"/>
      <c r="H148" s="7199"/>
      <c r="I148" s="7200" t="s">
        <v>1518</v>
      </c>
      <c r="J148" s="7201"/>
      <c r="K148" s="7202"/>
      <c r="L148" s="7203"/>
      <c r="M148" s="8918"/>
      <c r="N148" s="537"/>
      <c r="O148" s="1544"/>
      <c r="P148" s="1544"/>
    </row>
    <row r="149" spans="1:16" s="1555" customFormat="1" ht="18.75" customHeight="1">
      <c r="A149" s="1742" t="s">
        <v>310</v>
      </c>
      <c r="B149" s="1742" t="s">
        <v>565</v>
      </c>
      <c r="C149" s="1607"/>
      <c r="D149" s="9029"/>
      <c r="E149" s="9030"/>
      <c r="F149" s="9030"/>
      <c r="G149" s="9000" t="str">
        <f>INDEX(PT_DIFFERENTIATION_NTAR,MATCH(B149,PT_DIFFERENTIATION_NTAR_ID,0))</f>
        <v>Подвоз воды потребителям поселка Приэтокского</v>
      </c>
      <c r="H149" s="1809"/>
      <c r="I149" s="1658">
        <v>45292</v>
      </c>
      <c r="J149" s="1693">
        <v>45657</v>
      </c>
      <c r="K149" s="1784" t="s">
        <v>1524</v>
      </c>
      <c r="L149" s="1809" t="s">
        <v>769</v>
      </c>
      <c r="M149" s="8918"/>
      <c r="N149" s="537"/>
      <c r="O149" s="1544"/>
      <c r="P149" s="1544"/>
    </row>
    <row r="150" spans="1:16" s="1555" customFormat="1" ht="18.75" customHeight="1">
      <c r="A150" s="1742"/>
      <c r="B150" s="1742"/>
      <c r="C150" s="1607" t="s">
        <v>1517</v>
      </c>
      <c r="D150" s="9029"/>
      <c r="E150" s="9030"/>
      <c r="F150" s="9030"/>
      <c r="G150" s="9000"/>
      <c r="H150" s="7204"/>
      <c r="I150" s="7205" t="s">
        <v>1518</v>
      </c>
      <c r="J150" s="7206"/>
      <c r="K150" s="7207"/>
      <c r="L150" s="7208"/>
      <c r="M150" s="8918"/>
      <c r="N150" s="537"/>
      <c r="O150" s="1544"/>
      <c r="P150" s="1544"/>
    </row>
    <row r="151" spans="1:16" s="1555" customFormat="1" ht="18.75" customHeight="1">
      <c r="A151" s="1742" t="s">
        <v>310</v>
      </c>
      <c r="B151" s="1742" t="s">
        <v>571</v>
      </c>
      <c r="C151" s="1607"/>
      <c r="D151" s="9029"/>
      <c r="E151" s="9030"/>
      <c r="F151" s="9030"/>
      <c r="G151" s="9000" t="str">
        <f>INDEX(PT_DIFFERENTIATION_NTAR,MATCH(B151,PT_DIFFERENTIATION_NTAR_ID,0))</f>
        <v>Подвоз воды потребителям поселка Ореховая Роща</v>
      </c>
      <c r="H151" s="1809"/>
      <c r="I151" s="1658">
        <v>45292</v>
      </c>
      <c r="J151" s="1693">
        <v>45657</v>
      </c>
      <c r="K151" s="1784" t="s">
        <v>1524</v>
      </c>
      <c r="L151" s="1809" t="s">
        <v>769</v>
      </c>
      <c r="M151" s="8918"/>
      <c r="N151" s="537"/>
      <c r="O151" s="1544"/>
      <c r="P151" s="1544"/>
    </row>
    <row r="152" spans="1:16" s="1555" customFormat="1" ht="18.75" customHeight="1">
      <c r="A152" s="1742"/>
      <c r="B152" s="1742"/>
      <c r="C152" s="1607" t="s">
        <v>1517</v>
      </c>
      <c r="D152" s="9029"/>
      <c r="E152" s="9030"/>
      <c r="F152" s="9030"/>
      <c r="G152" s="9000"/>
      <c r="H152" s="7209"/>
      <c r="I152" s="7210" t="s">
        <v>1518</v>
      </c>
      <c r="J152" s="7211"/>
      <c r="K152" s="7212"/>
      <c r="L152" s="7213"/>
      <c r="M152" s="8918"/>
      <c r="N152" s="537"/>
      <c r="O152" s="1544"/>
      <c r="P152" s="1544"/>
    </row>
    <row r="153" spans="1:16" s="1555" customFormat="1" ht="18.75" customHeight="1">
      <c r="A153" s="1742" t="s">
        <v>310</v>
      </c>
      <c r="B153" s="1742" t="s">
        <v>577</v>
      </c>
      <c r="C153" s="1607"/>
      <c r="D153" s="9029"/>
      <c r="E153" s="9030"/>
      <c r="F153" s="9030"/>
      <c r="G153" s="9000" t="str">
        <f>INDEX(PT_DIFFERENTIATION_NTAR,MATCH(B153,PT_DIFFERENTIATION_NTAR_ID,0))</f>
        <v>Подвоз воды потребителям хутора Беляева</v>
      </c>
      <c r="H153" s="1809"/>
      <c r="I153" s="1658">
        <v>45292</v>
      </c>
      <c r="J153" s="1693">
        <v>45657</v>
      </c>
      <c r="K153" s="1784" t="s">
        <v>1524</v>
      </c>
      <c r="L153" s="1809" t="s">
        <v>769</v>
      </c>
      <c r="M153" s="8918"/>
      <c r="N153" s="537"/>
      <c r="O153" s="1544"/>
      <c r="P153" s="1544"/>
    </row>
    <row r="154" spans="1:16" s="1555" customFormat="1" ht="18.75" customHeight="1">
      <c r="A154" s="1742"/>
      <c r="B154" s="1742"/>
      <c r="C154" s="1607" t="s">
        <v>1517</v>
      </c>
      <c r="D154" s="9029"/>
      <c r="E154" s="9030"/>
      <c r="F154" s="9030"/>
      <c r="G154" s="9000"/>
      <c r="H154" s="7214"/>
      <c r="I154" s="7215" t="s">
        <v>1518</v>
      </c>
      <c r="J154" s="7216"/>
      <c r="K154" s="7217"/>
      <c r="L154" s="7218"/>
      <c r="M154" s="8918"/>
      <c r="N154" s="537"/>
      <c r="O154" s="1544"/>
      <c r="P154" s="1544"/>
    </row>
    <row r="155" spans="1:16" s="1555" customFormat="1" ht="18.75" customHeight="1">
      <c r="A155" s="1742" t="s">
        <v>310</v>
      </c>
      <c r="B155" s="1742" t="s">
        <v>583</v>
      </c>
      <c r="C155" s="1607"/>
      <c r="D155" s="9029"/>
      <c r="E155" s="9030"/>
      <c r="F155" s="9030"/>
      <c r="G155" s="9000" t="str">
        <f>INDEX(PT_DIFFERENTIATION_NTAR,MATCH(B155,PT_DIFFERENTIATION_NTAR_ID,0))</f>
        <v>Подвоз воды потребителям села Найдёновка</v>
      </c>
      <c r="H155" s="1809"/>
      <c r="I155" s="1658">
        <v>45292</v>
      </c>
      <c r="J155" s="1693">
        <v>45657</v>
      </c>
      <c r="K155" s="1784" t="s">
        <v>1524</v>
      </c>
      <c r="L155" s="1809" t="s">
        <v>769</v>
      </c>
      <c r="M155" s="8918"/>
      <c r="N155" s="537"/>
      <c r="O155" s="1544"/>
      <c r="P155" s="1544"/>
    </row>
    <row r="156" spans="1:16" s="1555" customFormat="1" ht="18.75" customHeight="1">
      <c r="A156" s="1742"/>
      <c r="B156" s="1742"/>
      <c r="C156" s="1607" t="s">
        <v>1517</v>
      </c>
      <c r="D156" s="9029"/>
      <c r="E156" s="9030"/>
      <c r="F156" s="9030"/>
      <c r="G156" s="9000"/>
      <c r="H156" s="7219"/>
      <c r="I156" s="7220" t="s">
        <v>1518</v>
      </c>
      <c r="J156" s="7221"/>
      <c r="K156" s="7222"/>
      <c r="L156" s="7223"/>
      <c r="M156" s="8918"/>
      <c r="N156" s="537"/>
      <c r="O156" s="1544"/>
      <c r="P156" s="1544"/>
    </row>
    <row r="157" spans="1:16" s="1555" customFormat="1" ht="18.75" customHeight="1">
      <c r="A157" s="1742" t="s">
        <v>310</v>
      </c>
      <c r="B157" s="1742" t="s">
        <v>589</v>
      </c>
      <c r="C157" s="1607"/>
      <c r="D157" s="9029"/>
      <c r="E157" s="9030"/>
      <c r="F157" s="9030"/>
      <c r="G157" s="9000" t="str">
        <f>INDEX(PT_DIFFERENTIATION_NTAR,MATCH(B157,PT_DIFFERENTIATION_NTAR_ID,0))</f>
        <v>Подвоз воды потребителям села Подлужного</v>
      </c>
      <c r="H157" s="1809"/>
      <c r="I157" s="1658">
        <v>45292</v>
      </c>
      <c r="J157" s="1693">
        <v>45657</v>
      </c>
      <c r="K157" s="1784" t="s">
        <v>1524</v>
      </c>
      <c r="L157" s="1809" t="s">
        <v>769</v>
      </c>
      <c r="M157" s="8918"/>
      <c r="N157" s="537"/>
      <c r="O157" s="1544"/>
      <c r="P157" s="1544"/>
    </row>
    <row r="158" spans="1:16" s="1555" customFormat="1" ht="18.75" customHeight="1">
      <c r="A158" s="1742"/>
      <c r="B158" s="1742"/>
      <c r="C158" s="1607" t="s">
        <v>1517</v>
      </c>
      <c r="D158" s="9029"/>
      <c r="E158" s="9030"/>
      <c r="F158" s="9030"/>
      <c r="G158" s="9000"/>
      <c r="H158" s="7224"/>
      <c r="I158" s="7225" t="s">
        <v>1518</v>
      </c>
      <c r="J158" s="7226"/>
      <c r="K158" s="7227"/>
      <c r="L158" s="7228"/>
      <c r="M158" s="8918"/>
      <c r="N158" s="537"/>
      <c r="O158" s="1544"/>
      <c r="P158" s="1544"/>
    </row>
    <row r="159" spans="1:16" s="1555" customFormat="1" ht="18.75" customHeight="1">
      <c r="A159" s="1742" t="s">
        <v>310</v>
      </c>
      <c r="B159" s="1742" t="s">
        <v>595</v>
      </c>
      <c r="C159" s="1607"/>
      <c r="D159" s="9029"/>
      <c r="E159" s="9030"/>
      <c r="F159" s="9030"/>
      <c r="G159" s="9000" t="str">
        <f>INDEX(PT_DIFFERENTIATION_NTAR,MATCH(B159,PT_DIFFERENTIATION_NTAR_ID,0))</f>
        <v>Подвоз воды потребителям хутора Красная Балка</v>
      </c>
      <c r="H159" s="1809"/>
      <c r="I159" s="1658">
        <v>45292</v>
      </c>
      <c r="J159" s="1693">
        <v>45657</v>
      </c>
      <c r="K159" s="1784" t="s">
        <v>1524</v>
      </c>
      <c r="L159" s="1809" t="s">
        <v>769</v>
      </c>
      <c r="M159" s="8918"/>
      <c r="N159" s="537"/>
      <c r="O159" s="1544"/>
      <c r="P159" s="1544"/>
    </row>
    <row r="160" spans="1:16" s="1555" customFormat="1" ht="18.75" customHeight="1">
      <c r="A160" s="1742"/>
      <c r="B160" s="1742"/>
      <c r="C160" s="1607" t="s">
        <v>1517</v>
      </c>
      <c r="D160" s="9029"/>
      <c r="E160" s="9030"/>
      <c r="F160" s="9030"/>
      <c r="G160" s="9000"/>
      <c r="H160" s="7229"/>
      <c r="I160" s="7230" t="s">
        <v>1518</v>
      </c>
      <c r="J160" s="7231"/>
      <c r="K160" s="7232"/>
      <c r="L160" s="7233"/>
      <c r="M160" s="8918"/>
      <c r="N160" s="537"/>
      <c r="O160" s="1544"/>
      <c r="P160" s="1544"/>
    </row>
    <row r="161" spans="1:16" s="1555" customFormat="1" ht="18.75" customHeight="1">
      <c r="A161" s="1742" t="s">
        <v>310</v>
      </c>
      <c r="B161" s="1742" t="s">
        <v>601</v>
      </c>
      <c r="C161" s="1607"/>
      <c r="D161" s="9029"/>
      <c r="E161" s="9030"/>
      <c r="F161" s="9030"/>
      <c r="G161" s="9000" t="str">
        <f>INDEX(PT_DIFFERENTIATION_NTAR,MATCH(B161,PT_DIFFERENTIATION_NTAR_ID,0))</f>
        <v>Подвоз воды потребителям хутора Козлова</v>
      </c>
      <c r="H161" s="1809"/>
      <c r="I161" s="1658">
        <v>45292</v>
      </c>
      <c r="J161" s="1693">
        <v>45657</v>
      </c>
      <c r="K161" s="1784" t="s">
        <v>1524</v>
      </c>
      <c r="L161" s="1809" t="s">
        <v>769</v>
      </c>
      <c r="M161" s="8918"/>
      <c r="N161" s="537"/>
      <c r="O161" s="1544"/>
      <c r="P161" s="1544"/>
    </row>
    <row r="162" spans="1:16" s="1555" customFormat="1" ht="18.75" customHeight="1">
      <c r="A162" s="1742"/>
      <c r="B162" s="1742"/>
      <c r="C162" s="1607" t="s">
        <v>1517</v>
      </c>
      <c r="D162" s="9029"/>
      <c r="E162" s="9030"/>
      <c r="F162" s="9030"/>
      <c r="G162" s="9000"/>
      <c r="H162" s="7234"/>
      <c r="I162" s="7235" t="s">
        <v>1518</v>
      </c>
      <c r="J162" s="7236"/>
      <c r="K162" s="7237"/>
      <c r="L162" s="7238"/>
      <c r="M162" s="8918"/>
      <c r="N162" s="537"/>
      <c r="O162" s="1544"/>
      <c r="P162" s="1544"/>
    </row>
    <row r="163" spans="1:16" s="1555" customFormat="1" ht="18.75" customHeight="1">
      <c r="A163" s="1742" t="s">
        <v>310</v>
      </c>
      <c r="B163" s="1742" t="s">
        <v>607</v>
      </c>
      <c r="C163" s="1607"/>
      <c r="D163" s="9029"/>
      <c r="E163" s="9030"/>
      <c r="F163" s="9030"/>
      <c r="G163" s="9000" t="str">
        <f>INDEX(PT_DIFFERENTIATION_NTAR,MATCH(B163,PT_DIFFERENTIATION_NTAR_ID,0))</f>
        <v>Подвоз воды потребителям села Тищенского</v>
      </c>
      <c r="H163" s="1809"/>
      <c r="I163" s="1658">
        <v>45292</v>
      </c>
      <c r="J163" s="1693">
        <v>45657</v>
      </c>
      <c r="K163" s="1784" t="s">
        <v>1524</v>
      </c>
      <c r="L163" s="1809" t="s">
        <v>769</v>
      </c>
      <c r="M163" s="8918"/>
      <c r="N163" s="537"/>
      <c r="O163" s="1544"/>
      <c r="P163" s="1544"/>
    </row>
    <row r="164" spans="1:16" s="1555" customFormat="1" ht="18.75" customHeight="1">
      <c r="A164" s="1742"/>
      <c r="B164" s="1742"/>
      <c r="C164" s="1607" t="s">
        <v>1517</v>
      </c>
      <c r="D164" s="9029"/>
      <c r="E164" s="9030"/>
      <c r="F164" s="9030"/>
      <c r="G164" s="9000"/>
      <c r="H164" s="7239"/>
      <c r="I164" s="7240" t="s">
        <v>1518</v>
      </c>
      <c r="J164" s="7241"/>
      <c r="K164" s="7242"/>
      <c r="L164" s="7243"/>
      <c r="M164" s="8918"/>
      <c r="N164" s="537"/>
      <c r="O164" s="1544"/>
      <c r="P164" s="1544"/>
    </row>
    <row r="165" spans="1:16" s="1555" customFormat="1" ht="18.75" customHeight="1">
      <c r="A165" s="1742" t="s">
        <v>310</v>
      </c>
      <c r="B165" s="1742" t="s">
        <v>613</v>
      </c>
      <c r="C165" s="1607"/>
      <c r="D165" s="9029"/>
      <c r="E165" s="9030"/>
      <c r="F165" s="9030"/>
      <c r="G165" s="9000" t="str">
        <f>INDEX(PT_DIFFERENTIATION_NTAR,MATCH(B165,PT_DIFFERENTIATION_NTAR_ID,0))</f>
        <v>Подвоз воды потребителям хутора Вавилон</v>
      </c>
      <c r="H165" s="1809"/>
      <c r="I165" s="1658">
        <v>45292</v>
      </c>
      <c r="J165" s="1693">
        <v>45657</v>
      </c>
      <c r="K165" s="1784" t="s">
        <v>1524</v>
      </c>
      <c r="L165" s="1809" t="s">
        <v>769</v>
      </c>
      <c r="M165" s="8918"/>
      <c r="N165" s="537"/>
      <c r="O165" s="1544"/>
      <c r="P165" s="1544"/>
    </row>
    <row r="166" spans="1:16" s="1555" customFormat="1" ht="18.75" customHeight="1">
      <c r="A166" s="1742"/>
      <c r="B166" s="1742"/>
      <c r="C166" s="1607" t="s">
        <v>1517</v>
      </c>
      <c r="D166" s="9029"/>
      <c r="E166" s="9030"/>
      <c r="F166" s="9030"/>
      <c r="G166" s="9000"/>
      <c r="H166" s="7244"/>
      <c r="I166" s="7245" t="s">
        <v>1518</v>
      </c>
      <c r="J166" s="7246"/>
      <c r="K166" s="7247"/>
      <c r="L166" s="7248"/>
      <c r="M166" s="8918"/>
      <c r="N166" s="537"/>
      <c r="O166" s="1544"/>
      <c r="P166" s="1544"/>
    </row>
    <row r="167" spans="1:16" s="1555" customFormat="1" ht="18.75" customHeight="1">
      <c r="A167" s="1742" t="s">
        <v>310</v>
      </c>
      <c r="B167" s="1742" t="s">
        <v>619</v>
      </c>
      <c r="C167" s="1607"/>
      <c r="D167" s="9029"/>
      <c r="E167" s="9030"/>
      <c r="F167" s="9030"/>
      <c r="G167" s="9000" t="str">
        <f>INDEX(PT_DIFFERENTIATION_NTAR,MATCH(B167,PT_DIFFERENTIATION_NTAR_ID,0))</f>
        <v>Подвоз воды потребителям хутора Липчанского</v>
      </c>
      <c r="H167" s="1809"/>
      <c r="I167" s="1658">
        <v>45292</v>
      </c>
      <c r="J167" s="1693">
        <v>45657</v>
      </c>
      <c r="K167" s="1784" t="s">
        <v>1524</v>
      </c>
      <c r="L167" s="1809" t="s">
        <v>769</v>
      </c>
      <c r="M167" s="8918"/>
      <c r="N167" s="537"/>
      <c r="O167" s="1544"/>
      <c r="P167" s="1544"/>
    </row>
    <row r="168" spans="1:16" s="1555" customFormat="1" ht="18.75" customHeight="1">
      <c r="A168" s="1742"/>
      <c r="B168" s="1742"/>
      <c r="C168" s="1607" t="s">
        <v>1517</v>
      </c>
      <c r="D168" s="9029"/>
      <c r="E168" s="9030"/>
      <c r="F168" s="9030"/>
      <c r="G168" s="9000"/>
      <c r="H168" s="7249"/>
      <c r="I168" s="7250" t="s">
        <v>1518</v>
      </c>
      <c r="J168" s="7251"/>
      <c r="K168" s="7252"/>
      <c r="L168" s="7253"/>
      <c r="M168" s="8918"/>
      <c r="N168" s="537"/>
      <c r="O168" s="1544"/>
      <c r="P168" s="1544"/>
    </row>
    <row r="169" spans="1:16" s="1555" customFormat="1" ht="18.75" customHeight="1">
      <c r="A169" s="1742" t="s">
        <v>310</v>
      </c>
      <c r="B169" s="1742" t="s">
        <v>625</v>
      </c>
      <c r="C169" s="1607"/>
      <c r="D169" s="9029"/>
      <c r="E169" s="9030"/>
      <c r="F169" s="9030"/>
      <c r="G169" s="9000" t="str">
        <f>INDEX(PT_DIFFERENTIATION_NTAR,MATCH(B169,PT_DIFFERENTIATION_NTAR_ID,0))</f>
        <v>Подвоз воды потребителям поселка Высокогорного</v>
      </c>
      <c r="H169" s="1809"/>
      <c r="I169" s="1658">
        <v>45292</v>
      </c>
      <c r="J169" s="1693">
        <v>45657</v>
      </c>
      <c r="K169" s="1784" t="s">
        <v>1524</v>
      </c>
      <c r="L169" s="1809" t="s">
        <v>769</v>
      </c>
      <c r="M169" s="8918"/>
      <c r="N169" s="537"/>
      <c r="O169" s="1544"/>
      <c r="P169" s="1544"/>
    </row>
    <row r="170" spans="1:16" s="1555" customFormat="1" ht="18.75" customHeight="1">
      <c r="A170" s="1742"/>
      <c r="B170" s="1742"/>
      <c r="C170" s="1607" t="s">
        <v>1517</v>
      </c>
      <c r="D170" s="9029"/>
      <c r="E170" s="9030"/>
      <c r="F170" s="9030"/>
      <c r="G170" s="9000"/>
      <c r="H170" s="7254"/>
      <c r="I170" s="7255" t="s">
        <v>1518</v>
      </c>
      <c r="J170" s="7256"/>
      <c r="K170" s="7257"/>
      <c r="L170" s="7258"/>
      <c r="M170" s="8918"/>
      <c r="N170" s="537"/>
      <c r="O170" s="1544"/>
      <c r="P170" s="1544"/>
    </row>
    <row r="171" spans="1:16" s="1555" customFormat="1" ht="18.75" customHeight="1">
      <c r="A171" s="1742" t="s">
        <v>310</v>
      </c>
      <c r="B171" s="1742" t="s">
        <v>631</v>
      </c>
      <c r="C171" s="1607"/>
      <c r="D171" s="9029"/>
      <c r="E171" s="9030"/>
      <c r="F171" s="9030"/>
      <c r="G171" s="9000" t="str">
        <f>INDEX(PT_DIFFERENTIATION_NTAR,MATCH(B171,PT_DIFFERENTIATION_NTAR_ID,0))</f>
        <v>Подвоз воды потребителям поселка Левоберезовского</v>
      </c>
      <c r="H171" s="1809"/>
      <c r="I171" s="1658">
        <v>45292</v>
      </c>
      <c r="J171" s="1693">
        <v>45657</v>
      </c>
      <c r="K171" s="1784" t="s">
        <v>1524</v>
      </c>
      <c r="L171" s="1809" t="s">
        <v>769</v>
      </c>
      <c r="M171" s="8918"/>
      <c r="N171" s="537"/>
      <c r="O171" s="1544"/>
      <c r="P171" s="1544"/>
    </row>
    <row r="172" spans="1:16" s="1555" customFormat="1" ht="18.75" customHeight="1">
      <c r="A172" s="1742"/>
      <c r="B172" s="1742"/>
      <c r="C172" s="1607" t="s">
        <v>1517</v>
      </c>
      <c r="D172" s="9029"/>
      <c r="E172" s="9030"/>
      <c r="F172" s="9030"/>
      <c r="G172" s="9000"/>
      <c r="H172" s="7259"/>
      <c r="I172" s="7260" t="s">
        <v>1518</v>
      </c>
      <c r="J172" s="7261"/>
      <c r="K172" s="7262"/>
      <c r="L172" s="7263"/>
      <c r="M172" s="8918"/>
      <c r="N172" s="537"/>
      <c r="O172" s="1544"/>
      <c r="P172" s="1544"/>
    </row>
    <row r="173" spans="1:16" s="1555" customFormat="1" ht="18.75" customHeight="1">
      <c r="A173" s="1742" t="s">
        <v>310</v>
      </c>
      <c r="B173" s="1742" t="s">
        <v>637</v>
      </c>
      <c r="C173" s="1607"/>
      <c r="D173" s="9029"/>
      <c r="E173" s="9030"/>
      <c r="F173" s="9030"/>
      <c r="G173" s="9000" t="str">
        <f>INDEX(PT_DIFFERENTIATION_NTAR,MATCH(B173,PT_DIFFERENTIATION_NTAR_ID,0))</f>
        <v>Подвоз воды потребителям поселка Правоберезовского</v>
      </c>
      <c r="H173" s="1809"/>
      <c r="I173" s="1658">
        <v>45292</v>
      </c>
      <c r="J173" s="1693">
        <v>45657</v>
      </c>
      <c r="K173" s="1784" t="s">
        <v>1524</v>
      </c>
      <c r="L173" s="1809" t="s">
        <v>769</v>
      </c>
      <c r="M173" s="8918"/>
      <c r="N173" s="537"/>
      <c r="O173" s="1544"/>
      <c r="P173" s="1544"/>
    </row>
    <row r="174" spans="1:16" s="1555" customFormat="1" ht="18.75" customHeight="1">
      <c r="A174" s="1742"/>
      <c r="B174" s="1742"/>
      <c r="C174" s="1607" t="s">
        <v>1517</v>
      </c>
      <c r="D174" s="9029"/>
      <c r="E174" s="9030"/>
      <c r="F174" s="9030"/>
      <c r="G174" s="9000"/>
      <c r="H174" s="7264"/>
      <c r="I174" s="7265" t="s">
        <v>1518</v>
      </c>
      <c r="J174" s="7266"/>
      <c r="K174" s="7267"/>
      <c r="L174" s="7268"/>
      <c r="M174" s="8918"/>
      <c r="N174" s="537"/>
      <c r="O174" s="1544"/>
      <c r="P174" s="1544"/>
    </row>
    <row r="175" spans="1:16" s="1555" customFormat="1" ht="18.75" customHeight="1">
      <c r="A175" s="1742" t="s">
        <v>310</v>
      </c>
      <c r="B175" s="1742" t="s">
        <v>643</v>
      </c>
      <c r="C175" s="1607"/>
      <c r="D175" s="9029"/>
      <c r="E175" s="9030"/>
      <c r="F175" s="9030"/>
      <c r="G175" s="9000" t="str">
        <f>INDEX(PT_DIFFERENTIATION_NTAR,MATCH(B175,PT_DIFFERENTIATION_NTAR_ID,0))</f>
        <v>Подвоз воды потребителям аула Бакрес</v>
      </c>
      <c r="H175" s="1809"/>
      <c r="I175" s="1658">
        <v>45292</v>
      </c>
      <c r="J175" s="1693">
        <v>45657</v>
      </c>
      <c r="K175" s="1784" t="s">
        <v>1524</v>
      </c>
      <c r="L175" s="1809" t="s">
        <v>769</v>
      </c>
      <c r="M175" s="8918"/>
      <c r="N175" s="537"/>
      <c r="O175" s="1544"/>
      <c r="P175" s="1544"/>
    </row>
    <row r="176" spans="1:16" s="1555" customFormat="1" ht="18.75" customHeight="1">
      <c r="A176" s="1742"/>
      <c r="B176" s="1742"/>
      <c r="C176" s="1607" t="s">
        <v>1517</v>
      </c>
      <c r="D176" s="9029"/>
      <c r="E176" s="9030"/>
      <c r="F176" s="9030"/>
      <c r="G176" s="9000"/>
      <c r="H176" s="7269"/>
      <c r="I176" s="7270" t="s">
        <v>1518</v>
      </c>
      <c r="J176" s="7271"/>
      <c r="K176" s="7272"/>
      <c r="L176" s="7273"/>
      <c r="M176" s="8918"/>
      <c r="N176" s="537"/>
      <c r="O176" s="1544"/>
      <c r="P176" s="1544"/>
    </row>
    <row r="177" spans="1:16" s="1555" customFormat="1" ht="18.75" customHeight="1">
      <c r="A177" s="1742" t="s">
        <v>310</v>
      </c>
      <c r="B177" s="1742" t="s">
        <v>649</v>
      </c>
      <c r="C177" s="1607"/>
      <c r="D177" s="9029"/>
      <c r="E177" s="9030"/>
      <c r="F177" s="9030"/>
      <c r="G177" s="9000" t="str">
        <f>INDEX(PT_DIFFERENTIATION_NTAR,MATCH(B177,PT_DIFFERENTIATION_NTAR_ID,0))</f>
        <v>Подвоз воды потребителям аула Уллуби-Юрт</v>
      </c>
      <c r="H177" s="1809"/>
      <c r="I177" s="1658">
        <v>45292</v>
      </c>
      <c r="J177" s="1693">
        <v>45657</v>
      </c>
      <c r="K177" s="1784" t="s">
        <v>1524</v>
      </c>
      <c r="L177" s="1809" t="s">
        <v>769</v>
      </c>
      <c r="M177" s="8918"/>
      <c r="N177" s="537"/>
      <c r="O177" s="1544"/>
      <c r="P177" s="1544"/>
    </row>
    <row r="178" spans="1:16" s="1555" customFormat="1" ht="18.75" customHeight="1">
      <c r="A178" s="1742"/>
      <c r="B178" s="1742"/>
      <c r="C178" s="1607" t="s">
        <v>1517</v>
      </c>
      <c r="D178" s="9029"/>
      <c r="E178" s="9030"/>
      <c r="F178" s="9030"/>
      <c r="G178" s="9000"/>
      <c r="H178" s="7274"/>
      <c r="I178" s="7275" t="s">
        <v>1518</v>
      </c>
      <c r="J178" s="7276"/>
      <c r="K178" s="7277"/>
      <c r="L178" s="7278"/>
      <c r="M178" s="8918"/>
      <c r="N178" s="537"/>
      <c r="O178" s="1544"/>
      <c r="P178" s="1544"/>
    </row>
    <row r="179" spans="1:16" s="1555" customFormat="1" ht="18.75" customHeight="1">
      <c r="A179" s="1742" t="s">
        <v>310</v>
      </c>
      <c r="B179" s="1742" t="s">
        <v>655</v>
      </c>
      <c r="C179" s="1607"/>
      <c r="D179" s="9029"/>
      <c r="E179" s="9030"/>
      <c r="F179" s="9030"/>
      <c r="G179" s="9000" t="str">
        <f>INDEX(PT_DIFFERENTIATION_NTAR,MATCH(B179,PT_DIFFERENTIATION_NTAR_ID,0))</f>
        <v>Подвоз воды потребителям аула Махач-Аул</v>
      </c>
      <c r="H179" s="1809"/>
      <c r="I179" s="1658">
        <v>45292</v>
      </c>
      <c r="J179" s="1693">
        <v>45657</v>
      </c>
      <c r="K179" s="1784" t="s">
        <v>1524</v>
      </c>
      <c r="L179" s="1809" t="s">
        <v>769</v>
      </c>
      <c r="M179" s="8918"/>
      <c r="N179" s="537"/>
      <c r="O179" s="1544"/>
      <c r="P179" s="1544"/>
    </row>
    <row r="180" spans="1:16" s="1555" customFormat="1" ht="18.75" customHeight="1">
      <c r="A180" s="1742"/>
      <c r="B180" s="1742"/>
      <c r="C180" s="1607" t="s">
        <v>1517</v>
      </c>
      <c r="D180" s="9029"/>
      <c r="E180" s="9030"/>
      <c r="F180" s="9030"/>
      <c r="G180" s="9000"/>
      <c r="H180" s="7279"/>
      <c r="I180" s="7280" t="s">
        <v>1518</v>
      </c>
      <c r="J180" s="7281"/>
      <c r="K180" s="7282"/>
      <c r="L180" s="7283"/>
      <c r="M180" s="8918"/>
      <c r="N180" s="537"/>
      <c r="O180" s="1544"/>
      <c r="P180" s="1544"/>
    </row>
    <row r="181" spans="1:16" s="1555" customFormat="1" ht="18.75" customHeight="1">
      <c r="A181" s="1742" t="s">
        <v>310</v>
      </c>
      <c r="B181" s="1742" t="s">
        <v>661</v>
      </c>
      <c r="C181" s="1607"/>
      <c r="D181" s="9029"/>
      <c r="E181" s="9030"/>
      <c r="F181" s="9030"/>
      <c r="G181" s="9000" t="str">
        <f>INDEX(PT_DIFFERENTIATION_NTAR,MATCH(B181,PT_DIFFERENTIATION_NTAR_ID,0))</f>
        <v>Подвоз воды потребителям аула Уч-Тюбе</v>
      </c>
      <c r="H181" s="1809"/>
      <c r="I181" s="1658">
        <v>45292</v>
      </c>
      <c r="J181" s="1693">
        <v>45657</v>
      </c>
      <c r="K181" s="1784" t="s">
        <v>1524</v>
      </c>
      <c r="L181" s="1809" t="s">
        <v>769</v>
      </c>
      <c r="M181" s="8918"/>
      <c r="N181" s="537"/>
      <c r="O181" s="1544"/>
      <c r="P181" s="1544"/>
    </row>
    <row r="182" spans="1:16" s="1555" customFormat="1" ht="18.75" customHeight="1">
      <c r="A182" s="1742"/>
      <c r="B182" s="1742"/>
      <c r="C182" s="1607" t="s">
        <v>1517</v>
      </c>
      <c r="D182" s="9029"/>
      <c r="E182" s="9030"/>
      <c r="F182" s="9030"/>
      <c r="G182" s="9000"/>
      <c r="H182" s="7284"/>
      <c r="I182" s="7285" t="s">
        <v>1518</v>
      </c>
      <c r="J182" s="7286"/>
      <c r="K182" s="7287"/>
      <c r="L182" s="7288"/>
      <c r="M182" s="8918"/>
      <c r="N182" s="537"/>
      <c r="O182" s="1544"/>
      <c r="P182" s="1544"/>
    </row>
    <row r="183" spans="1:16" s="1555" customFormat="1" ht="18.75" customHeight="1">
      <c r="A183" s="1742" t="s">
        <v>310</v>
      </c>
      <c r="B183" s="1742" t="s">
        <v>666</v>
      </c>
      <c r="C183" s="1607"/>
      <c r="D183" s="9029"/>
      <c r="E183" s="9030"/>
      <c r="F183" s="9030"/>
      <c r="G183" s="9000" t="str">
        <f>INDEX(PT_DIFFERENTIATION_NTAR,MATCH(B183,PT_DIFFERENTIATION_NTAR_ID,0))</f>
        <v>Подвоз воды потребителям аула Кунай</v>
      </c>
      <c r="H183" s="1809"/>
      <c r="I183" s="1658">
        <v>45292</v>
      </c>
      <c r="J183" s="1693">
        <v>45657</v>
      </c>
      <c r="K183" s="1784" t="s">
        <v>1524</v>
      </c>
      <c r="L183" s="1809" t="s">
        <v>769</v>
      </c>
      <c r="M183" s="8918"/>
      <c r="N183" s="537"/>
      <c r="O183" s="1544"/>
      <c r="P183" s="1544"/>
    </row>
    <row r="184" spans="1:16" s="1555" customFormat="1" ht="18.75" customHeight="1">
      <c r="A184" s="1742"/>
      <c r="B184" s="1742"/>
      <c r="C184" s="1607" t="s">
        <v>1517</v>
      </c>
      <c r="D184" s="9029"/>
      <c r="E184" s="9030"/>
      <c r="F184" s="9030"/>
      <c r="G184" s="9000"/>
      <c r="H184" s="7289"/>
      <c r="I184" s="7290" t="s">
        <v>1518</v>
      </c>
      <c r="J184" s="7291"/>
      <c r="K184" s="7292"/>
      <c r="L184" s="7293"/>
      <c r="M184" s="8918"/>
      <c r="N184" s="537"/>
      <c r="O184" s="1544"/>
      <c r="P184" s="1544"/>
    </row>
    <row r="185" spans="1:16" s="1555" customFormat="1" ht="18.75" customHeight="1">
      <c r="A185" s="1742" t="s">
        <v>310</v>
      </c>
      <c r="B185" s="1742" t="s">
        <v>672</v>
      </c>
      <c r="C185" s="1607"/>
      <c r="D185" s="9029"/>
      <c r="E185" s="9030"/>
      <c r="F185" s="9030"/>
      <c r="G185" s="9000" t="str">
        <f>INDEX(PT_DIFFERENTIATION_NTAR,MATCH(B185,PT_DIFFERENTIATION_NTAR_ID,0))</f>
        <v>Подвоз воды потребителям аула Артезиан-Мангит</v>
      </c>
      <c r="H185" s="1809"/>
      <c r="I185" s="1658">
        <v>45292</v>
      </c>
      <c r="J185" s="1693">
        <v>45657</v>
      </c>
      <c r="K185" s="1784" t="s">
        <v>1524</v>
      </c>
      <c r="L185" s="1809" t="s">
        <v>769</v>
      </c>
      <c r="M185" s="8918"/>
      <c r="N185" s="537"/>
      <c r="O185" s="1544"/>
      <c r="P185" s="1544"/>
    </row>
    <row r="186" spans="1:16" s="1555" customFormat="1" ht="18.75" customHeight="1">
      <c r="A186" s="1742"/>
      <c r="B186" s="1742"/>
      <c r="C186" s="1607" t="s">
        <v>1517</v>
      </c>
      <c r="D186" s="9029"/>
      <c r="E186" s="9030"/>
      <c r="F186" s="9030"/>
      <c r="G186" s="9000"/>
      <c r="H186" s="7294"/>
      <c r="I186" s="7295" t="s">
        <v>1518</v>
      </c>
      <c r="J186" s="7296"/>
      <c r="K186" s="7297"/>
      <c r="L186" s="7298"/>
      <c r="M186" s="8918"/>
      <c r="N186" s="537"/>
      <c r="O186" s="1544"/>
      <c r="P186" s="1544"/>
    </row>
    <row r="187" spans="1:16" s="1555" customFormat="1" ht="18.75" customHeight="1">
      <c r="A187" s="1742" t="s">
        <v>310</v>
      </c>
      <c r="B187" s="1742" t="s">
        <v>678</v>
      </c>
      <c r="C187" s="1607"/>
      <c r="D187" s="9029"/>
      <c r="E187" s="9030"/>
      <c r="F187" s="9030"/>
      <c r="G187" s="9000" t="str">
        <f>INDEX(PT_DIFFERENTIATION_NTAR,MATCH(B187,PT_DIFFERENTIATION_NTAR_ID,0))</f>
        <v>Подвоз воды потребителям аула Кок-Бас</v>
      </c>
      <c r="H187" s="1809"/>
      <c r="I187" s="1658">
        <v>45292</v>
      </c>
      <c r="J187" s="1693">
        <v>45657</v>
      </c>
      <c r="K187" s="1784" t="s">
        <v>1524</v>
      </c>
      <c r="L187" s="1809" t="s">
        <v>769</v>
      </c>
      <c r="M187" s="8918"/>
      <c r="N187" s="537"/>
      <c r="O187" s="1544"/>
      <c r="P187" s="1544"/>
    </row>
    <row r="188" spans="1:16" s="1555" customFormat="1" ht="18.75" customHeight="1">
      <c r="A188" s="1742"/>
      <c r="B188" s="1742"/>
      <c r="C188" s="1607" t="s">
        <v>1517</v>
      </c>
      <c r="D188" s="9029"/>
      <c r="E188" s="9030"/>
      <c r="F188" s="9030"/>
      <c r="G188" s="9000"/>
      <c r="H188" s="7299"/>
      <c r="I188" s="7300" t="s">
        <v>1518</v>
      </c>
      <c r="J188" s="7301"/>
      <c r="K188" s="7302"/>
      <c r="L188" s="7303"/>
      <c r="M188" s="8918"/>
      <c r="N188" s="537"/>
      <c r="O188" s="1544"/>
      <c r="P188" s="1544"/>
    </row>
    <row r="189" spans="1:16" s="1555" customFormat="1" ht="18.75" customHeight="1">
      <c r="A189" s="1742" t="s">
        <v>310</v>
      </c>
      <c r="B189" s="1742" t="s">
        <v>684</v>
      </c>
      <c r="C189" s="1607"/>
      <c r="D189" s="9029"/>
      <c r="E189" s="9030"/>
      <c r="F189" s="9030"/>
      <c r="G189" s="9000" t="str">
        <f>INDEX(PT_DIFFERENTIATION_NTAR,MATCH(B189,PT_DIFFERENTIATION_NTAR_ID,0))</f>
        <v>Подвоз воды потребителям села Ачикулак</v>
      </c>
      <c r="H189" s="1809"/>
      <c r="I189" s="1658">
        <v>45292</v>
      </c>
      <c r="J189" s="1693">
        <v>45657</v>
      </c>
      <c r="K189" s="1784" t="s">
        <v>1524</v>
      </c>
      <c r="L189" s="1809" t="s">
        <v>769</v>
      </c>
      <c r="M189" s="8918"/>
      <c r="N189" s="537"/>
      <c r="O189" s="1544"/>
      <c r="P189" s="1544"/>
    </row>
    <row r="190" spans="1:16" s="1555" customFormat="1" ht="18.75" customHeight="1">
      <c r="A190" s="1742"/>
      <c r="B190" s="1742"/>
      <c r="C190" s="1607" t="s">
        <v>1517</v>
      </c>
      <c r="D190" s="9029"/>
      <c r="E190" s="9030"/>
      <c r="F190" s="9030"/>
      <c r="G190" s="9000"/>
      <c r="H190" s="7304"/>
      <c r="I190" s="7305" t="s">
        <v>1518</v>
      </c>
      <c r="J190" s="7306"/>
      <c r="K190" s="7307"/>
      <c r="L190" s="7308"/>
      <c r="M190" s="8918"/>
      <c r="N190" s="537"/>
      <c r="O190" s="1544"/>
      <c r="P190" s="1544"/>
    </row>
    <row r="191" spans="1:16" s="1555" customFormat="1" ht="18.75" customHeight="1">
      <c r="A191" s="1742" t="s">
        <v>310</v>
      </c>
      <c r="B191" s="1742" t="s">
        <v>690</v>
      </c>
      <c r="C191" s="1607"/>
      <c r="D191" s="9029"/>
      <c r="E191" s="9030"/>
      <c r="F191" s="9030"/>
      <c r="G191" s="9000" t="str">
        <f>INDEX(PT_DIFFERENTIATION_NTAR,MATCH(B191,PT_DIFFERENTIATION_NTAR_ID,0))</f>
        <v>Подвоз воды потребителям хутора Ганькин</v>
      </c>
      <c r="H191" s="1809"/>
      <c r="I191" s="1658">
        <v>45292</v>
      </c>
      <c r="J191" s="1693">
        <v>45657</v>
      </c>
      <c r="K191" s="1784" t="s">
        <v>1524</v>
      </c>
      <c r="L191" s="1809" t="s">
        <v>769</v>
      </c>
      <c r="M191" s="8918"/>
      <c r="N191" s="537"/>
      <c r="O191" s="1544"/>
      <c r="P191" s="1544"/>
    </row>
    <row r="192" spans="1:16" s="1555" customFormat="1" ht="18.75" customHeight="1">
      <c r="A192" s="1742"/>
      <c r="B192" s="1742"/>
      <c r="C192" s="1607" t="s">
        <v>1517</v>
      </c>
      <c r="D192" s="9029"/>
      <c r="E192" s="9030"/>
      <c r="F192" s="9030"/>
      <c r="G192" s="9000"/>
      <c r="H192" s="7309"/>
      <c r="I192" s="7310" t="s">
        <v>1518</v>
      </c>
      <c r="J192" s="7311"/>
      <c r="K192" s="7312"/>
      <c r="L192" s="7313"/>
      <c r="M192" s="8918"/>
      <c r="N192" s="537"/>
      <c r="O192" s="1544"/>
      <c r="P192" s="1544"/>
    </row>
    <row r="193" spans="1:16" s="1555" customFormat="1" ht="18.75" customHeight="1">
      <c r="A193" s="1742" t="s">
        <v>310</v>
      </c>
      <c r="B193" s="1742" t="s">
        <v>696</v>
      </c>
      <c r="C193" s="1607"/>
      <c r="D193" s="9029"/>
      <c r="E193" s="9030"/>
      <c r="F193" s="9030"/>
      <c r="G193" s="9000" t="str">
        <f>INDEX(PT_DIFFERENTIATION_NTAR,MATCH(B193,PT_DIFFERENTIATION_NTAR_ID,0))</f>
        <v>Подвоз воды потребителям хутора Сычёвского</v>
      </c>
      <c r="H193" s="1809"/>
      <c r="I193" s="1658">
        <v>45292</v>
      </c>
      <c r="J193" s="1693">
        <v>45657</v>
      </c>
      <c r="K193" s="1784" t="s">
        <v>1524</v>
      </c>
      <c r="L193" s="1809" t="s">
        <v>769</v>
      </c>
      <c r="M193" s="8918"/>
      <c r="N193" s="537"/>
      <c r="O193" s="1544"/>
      <c r="P193" s="1544"/>
    </row>
    <row r="194" spans="1:16" s="1555" customFormat="1" ht="18.75" customHeight="1">
      <c r="A194" s="1742"/>
      <c r="B194" s="1742"/>
      <c r="C194" s="1607" t="s">
        <v>1517</v>
      </c>
      <c r="D194" s="9029"/>
      <c r="E194" s="9030"/>
      <c r="F194" s="9030"/>
      <c r="G194" s="9000"/>
      <c r="H194" s="7314"/>
      <c r="I194" s="7315" t="s">
        <v>1518</v>
      </c>
      <c r="J194" s="7316"/>
      <c r="K194" s="7317"/>
      <c r="L194" s="7318"/>
      <c r="M194" s="8918"/>
      <c r="N194" s="537"/>
      <c r="O194" s="1544"/>
      <c r="P194" s="1544"/>
    </row>
    <row r="195" spans="1:16" s="1555" customFormat="1" ht="18.75" customHeight="1">
      <c r="A195" s="1742" t="s">
        <v>310</v>
      </c>
      <c r="B195" s="1742" t="s">
        <v>702</v>
      </c>
      <c r="C195" s="1607"/>
      <c r="D195" s="9029"/>
      <c r="E195" s="9030"/>
      <c r="F195" s="9030"/>
      <c r="G195" s="9000" t="str">
        <f>INDEX(PT_DIFFERENTIATION_NTAR,MATCH(B195,PT_DIFFERENTIATION_NTAR_ID,0))</f>
        <v>Подвоз воды потребителям села Величаевского</v>
      </c>
      <c r="H195" s="1809"/>
      <c r="I195" s="1658">
        <v>45292</v>
      </c>
      <c r="J195" s="1693">
        <v>45657</v>
      </c>
      <c r="K195" s="1784" t="s">
        <v>1524</v>
      </c>
      <c r="L195" s="1809" t="s">
        <v>769</v>
      </c>
      <c r="M195" s="8918"/>
      <c r="N195" s="537"/>
      <c r="O195" s="1544"/>
      <c r="P195" s="1544"/>
    </row>
    <row r="196" spans="1:16" s="1555" customFormat="1" ht="18.75" customHeight="1">
      <c r="A196" s="1742"/>
      <c r="B196" s="1742"/>
      <c r="C196" s="1607" t="s">
        <v>1517</v>
      </c>
      <c r="D196" s="9029"/>
      <c r="E196" s="9030"/>
      <c r="F196" s="9030"/>
      <c r="G196" s="9000"/>
      <c r="H196" s="7319"/>
      <c r="I196" s="7320" t="s">
        <v>1518</v>
      </c>
      <c r="J196" s="7321"/>
      <c r="K196" s="7322"/>
      <c r="L196" s="7323"/>
      <c r="M196" s="8918"/>
      <c r="N196" s="537"/>
      <c r="O196" s="1544"/>
      <c r="P196" s="1544"/>
    </row>
    <row r="197" spans="1:16" s="1555" customFormat="1" ht="0.75" customHeight="1">
      <c r="A197" s="1700"/>
      <c r="B197" s="1700"/>
      <c r="C197" s="293" t="s">
        <v>1523</v>
      </c>
      <c r="D197" s="9028"/>
      <c r="E197" s="8837"/>
      <c r="F197" s="8972"/>
      <c r="G197" s="329"/>
      <c r="H197" s="1415"/>
      <c r="I197" s="569"/>
      <c r="J197" s="494"/>
      <c r="K197" s="1415"/>
      <c r="L197" s="131"/>
      <c r="M197" s="8799"/>
      <c r="N197" s="256"/>
      <c r="O197" s="1544"/>
      <c r="P197" s="1544"/>
    </row>
    <row r="198" spans="1:16" s="1555" customFormat="1" ht="18.75" hidden="1" customHeight="1">
      <c r="A198" s="1700" t="s">
        <v>708</v>
      </c>
      <c r="B198" s="1700" t="s">
        <v>709</v>
      </c>
      <c r="C198" s="293"/>
      <c r="D198" s="9028"/>
      <c r="E198" s="8837"/>
      <c r="F198" s="8972" t="str">
        <f>INDEX(PT_DIFFERENTIATION_VTAR,MATCH(A198,PT_DIFFERENTIATION_VTAR_ID,0))</f>
        <v>Тариф на подключение (технологическое присоединение) к централизованной системе холодного водоснабжения</v>
      </c>
      <c r="G198" s="9000" t="str">
        <f>INDEX(PT_DIFFERENTIATION_NTAR,MATCH(B198,PT_DIFFERENTIATION_NTAR_ID,0))</f>
        <v/>
      </c>
      <c r="H198" s="1781"/>
      <c r="I198" s="1658"/>
      <c r="J198" s="1693"/>
      <c r="K198" s="1784"/>
      <c r="L198" s="1781" t="s">
        <v>769</v>
      </c>
      <c r="M198" s="8799"/>
      <c r="N198" s="256"/>
      <c r="O198" s="1544"/>
      <c r="P198" s="1544"/>
    </row>
    <row r="199" spans="1:16" s="1555" customFormat="1" ht="18.75" hidden="1" customHeight="1">
      <c r="A199" s="1700"/>
      <c r="B199" s="1700"/>
      <c r="C199" s="293" t="s">
        <v>1517</v>
      </c>
      <c r="D199" s="9028"/>
      <c r="E199" s="8837"/>
      <c r="F199" s="8972"/>
      <c r="G199" s="9000"/>
      <c r="H199" s="1415"/>
      <c r="I199" s="569" t="s">
        <v>1518</v>
      </c>
      <c r="J199" s="494"/>
      <c r="K199" s="1415"/>
      <c r="L199" s="131"/>
      <c r="M199" s="8799"/>
      <c r="N199" s="256"/>
      <c r="O199" s="1544"/>
      <c r="P199" s="1544"/>
    </row>
    <row r="200" spans="1:16" s="1555" customFormat="1" ht="0.75" hidden="1" customHeight="1">
      <c r="A200" s="1700"/>
      <c r="B200" s="1700"/>
      <c r="C200" s="293" t="s">
        <v>1523</v>
      </c>
      <c r="D200" s="9028"/>
      <c r="E200" s="8837"/>
      <c r="F200" s="8972"/>
      <c r="G200" s="329"/>
      <c r="H200" s="1415"/>
      <c r="I200" s="569"/>
      <c r="J200" s="494"/>
      <c r="K200" s="1415"/>
      <c r="L200" s="131"/>
      <c r="M200" s="8799"/>
      <c r="N200" s="256"/>
      <c r="O200" s="1544"/>
      <c r="P200" s="1544"/>
    </row>
    <row r="201" spans="1:16" s="1555" customFormat="1" ht="18.75" hidden="1" customHeight="1">
      <c r="A201" s="1700" t="s">
        <v>713</v>
      </c>
      <c r="B201" s="1700" t="s">
        <v>714</v>
      </c>
      <c r="C201" s="293"/>
      <c r="D201" s="9028"/>
      <c r="E201" s="8837"/>
      <c r="F201" s="8972" t="str">
        <f>INDEX(PT_DIFFERENTIATION_VTAR,MATCH(A201,PT_DIFFERENTIATION_VTAR_ID,0))</f>
        <v>Тариф на горячую воду (горячее водоснабжение)</v>
      </c>
      <c r="G201" s="9000" t="str">
        <f>INDEX(PT_DIFFERENTIATION_NTAR,MATCH(B201,PT_DIFFERENTIATION_NTAR_ID,0))</f>
        <v/>
      </c>
      <c r="H201" s="1781"/>
      <c r="I201" s="1658"/>
      <c r="J201" s="1693"/>
      <c r="K201" s="1784"/>
      <c r="L201" s="1781" t="s">
        <v>769</v>
      </c>
      <c r="M201" s="8799"/>
      <c r="N201" s="256"/>
      <c r="O201" s="1544"/>
      <c r="P201" s="1544"/>
    </row>
    <row r="202" spans="1:16" s="1555" customFormat="1" ht="18.75" hidden="1" customHeight="1">
      <c r="A202" s="1700"/>
      <c r="B202" s="1700"/>
      <c r="C202" s="293" t="s">
        <v>1517</v>
      </c>
      <c r="D202" s="9028"/>
      <c r="E202" s="8837"/>
      <c r="F202" s="8972"/>
      <c r="G202" s="9000"/>
      <c r="H202" s="1415"/>
      <c r="I202" s="569" t="s">
        <v>1518</v>
      </c>
      <c r="J202" s="494"/>
      <c r="K202" s="1415"/>
      <c r="L202" s="131"/>
      <c r="M202" s="8799"/>
      <c r="N202" s="256"/>
      <c r="O202" s="1544"/>
      <c r="P202" s="1544"/>
    </row>
    <row r="203" spans="1:16" s="1555" customFormat="1" ht="0.75" hidden="1" customHeight="1">
      <c r="A203" s="1700"/>
      <c r="B203" s="1700"/>
      <c r="C203" s="293" t="s">
        <v>1523</v>
      </c>
      <c r="D203" s="9028"/>
      <c r="E203" s="8837"/>
      <c r="F203" s="8972"/>
      <c r="G203" s="329"/>
      <c r="H203" s="1415"/>
      <c r="I203" s="569"/>
      <c r="J203" s="494"/>
      <c r="K203" s="1415"/>
      <c r="L203" s="131"/>
      <c r="M203" s="8799"/>
      <c r="N203" s="256"/>
      <c r="O203" s="1544"/>
      <c r="P203" s="1544"/>
    </row>
    <row r="204" spans="1:16" s="1555" customFormat="1" ht="18.75" hidden="1" customHeight="1">
      <c r="A204" s="1700" t="s">
        <v>718</v>
      </c>
      <c r="B204" s="1700" t="s">
        <v>719</v>
      </c>
      <c r="C204" s="293"/>
      <c r="D204" s="9028"/>
      <c r="E204" s="8837"/>
      <c r="F204" s="8972" t="str">
        <f>INDEX(PT_DIFFERENTIATION_VTAR,MATCH(A204,PT_DIFFERENTIATION_VTAR_ID,0))</f>
        <v>Тариф на транспортировку горячей воды</v>
      </c>
      <c r="G204" s="9000" t="str">
        <f>INDEX(PT_DIFFERENTIATION_NTAR,MATCH(B204,PT_DIFFERENTIATION_NTAR_ID,0))</f>
        <v/>
      </c>
      <c r="H204" s="1781"/>
      <c r="I204" s="1658"/>
      <c r="J204" s="1693"/>
      <c r="K204" s="1784"/>
      <c r="L204" s="1781" t="s">
        <v>769</v>
      </c>
      <c r="M204" s="8799"/>
      <c r="N204" s="256"/>
      <c r="O204" s="1544"/>
      <c r="P204" s="1544"/>
    </row>
    <row r="205" spans="1:16" s="1555" customFormat="1" ht="18.75" hidden="1" customHeight="1">
      <c r="A205" s="1700"/>
      <c r="B205" s="1700"/>
      <c r="C205" s="293" t="s">
        <v>1517</v>
      </c>
      <c r="D205" s="9028"/>
      <c r="E205" s="8837"/>
      <c r="F205" s="8972"/>
      <c r="G205" s="9000"/>
      <c r="H205" s="1415"/>
      <c r="I205" s="569" t="s">
        <v>1518</v>
      </c>
      <c r="J205" s="494"/>
      <c r="K205" s="1415"/>
      <c r="L205" s="131"/>
      <c r="M205" s="8799"/>
      <c r="N205" s="256"/>
      <c r="O205" s="1544"/>
      <c r="P205" s="1544"/>
    </row>
    <row r="206" spans="1:16" s="1555" customFormat="1" ht="0.75" hidden="1" customHeight="1">
      <c r="A206" s="1700"/>
      <c r="B206" s="1700"/>
      <c r="C206" s="293" t="s">
        <v>1523</v>
      </c>
      <c r="D206" s="9028"/>
      <c r="E206" s="8837"/>
      <c r="F206" s="8972"/>
      <c r="G206" s="329"/>
      <c r="H206" s="1415"/>
      <c r="I206" s="569"/>
      <c r="J206" s="494"/>
      <c r="K206" s="1415"/>
      <c r="L206" s="131"/>
      <c r="M206" s="8799"/>
      <c r="N206" s="256"/>
      <c r="O206" s="1544"/>
      <c r="P206" s="1544"/>
    </row>
    <row r="207" spans="1:16" s="1555" customFormat="1" ht="18.75" hidden="1" customHeight="1">
      <c r="A207" s="1700" t="s">
        <v>723</v>
      </c>
      <c r="B207" s="1700" t="s">
        <v>724</v>
      </c>
      <c r="C207" s="293"/>
      <c r="D207" s="9028"/>
      <c r="E207" s="8837"/>
      <c r="F207" s="8972" t="str">
        <f>INDEX(PT_DIFFERENTIATION_VTAR,MATCH(A207,PT_DIFFERENTIATION_VTAR_ID,0))</f>
        <v>Тариф на подключение (технологическое присоединение) к централизованной системе горячего водоснабжения</v>
      </c>
      <c r="G207" s="9000" t="str">
        <f>INDEX(PT_DIFFERENTIATION_NTAR,MATCH(B207,PT_DIFFERENTIATION_NTAR_ID,0))</f>
        <v/>
      </c>
      <c r="H207" s="1781"/>
      <c r="I207" s="1658"/>
      <c r="J207" s="1693"/>
      <c r="K207" s="1784"/>
      <c r="L207" s="1781" t="s">
        <v>769</v>
      </c>
      <c r="M207" s="8799"/>
      <c r="N207" s="256"/>
      <c r="O207" s="1544"/>
      <c r="P207" s="1544"/>
    </row>
    <row r="208" spans="1:16" s="1555" customFormat="1" ht="18.75" hidden="1" customHeight="1">
      <c r="A208" s="1700"/>
      <c r="B208" s="1700"/>
      <c r="C208" s="293" t="s">
        <v>1517</v>
      </c>
      <c r="D208" s="9028"/>
      <c r="E208" s="8837"/>
      <c r="F208" s="8972"/>
      <c r="G208" s="9000"/>
      <c r="H208" s="1415"/>
      <c r="I208" s="569" t="s">
        <v>1518</v>
      </c>
      <c r="J208" s="494"/>
      <c r="K208" s="1415"/>
      <c r="L208" s="131"/>
      <c r="M208" s="8799"/>
      <c r="N208" s="256"/>
      <c r="O208" s="1544"/>
      <c r="P208" s="1544"/>
    </row>
    <row r="209" spans="1:16" s="1555" customFormat="1" ht="0.75" hidden="1" customHeight="1">
      <c r="A209" s="1700"/>
      <c r="B209" s="1700"/>
      <c r="C209" s="293" t="s">
        <v>1523</v>
      </c>
      <c r="D209" s="9028"/>
      <c r="E209" s="8837"/>
      <c r="F209" s="8972"/>
      <c r="G209" s="329"/>
      <c r="H209" s="1415"/>
      <c r="I209" s="569"/>
      <c r="J209" s="494"/>
      <c r="K209" s="1415"/>
      <c r="L209" s="131"/>
      <c r="M209" s="8799"/>
      <c r="N209" s="256"/>
      <c r="O209" s="1544"/>
      <c r="P209" s="1544"/>
    </row>
    <row r="210" spans="1:16" s="1555" customFormat="1" ht="18.75" hidden="1" customHeight="1">
      <c r="A210" s="1700" t="s">
        <v>728</v>
      </c>
      <c r="B210" s="1700" t="s">
        <v>729</v>
      </c>
      <c r="C210" s="293"/>
      <c r="D210" s="9028"/>
      <c r="E210" s="8837"/>
      <c r="F210" s="8972" t="str">
        <f>INDEX(PT_DIFFERENTIATION_VTAR,MATCH(A210,PT_DIFFERENTIATION_VTAR_ID,0))</f>
        <v>Тариф на водоотведение</v>
      </c>
      <c r="G210" s="9000" t="str">
        <f>INDEX(PT_DIFFERENTIATION_NTAR,MATCH(B210,PT_DIFFERENTIATION_NTAR_ID,0))</f>
        <v/>
      </c>
      <c r="H210" s="1781"/>
      <c r="I210" s="1658"/>
      <c r="J210" s="1693"/>
      <c r="K210" s="1784"/>
      <c r="L210" s="1781" t="s">
        <v>769</v>
      </c>
      <c r="M210" s="8799"/>
      <c r="N210" s="256"/>
      <c r="O210" s="1544"/>
      <c r="P210" s="1544"/>
    </row>
    <row r="211" spans="1:16" s="1555" customFormat="1" ht="18.75" hidden="1" customHeight="1">
      <c r="A211" s="1700"/>
      <c r="B211" s="1700"/>
      <c r="C211" s="293" t="s">
        <v>1517</v>
      </c>
      <c r="D211" s="9028"/>
      <c r="E211" s="8837"/>
      <c r="F211" s="8972"/>
      <c r="G211" s="9000"/>
      <c r="H211" s="1415"/>
      <c r="I211" s="569" t="s">
        <v>1518</v>
      </c>
      <c r="J211" s="494"/>
      <c r="K211" s="1415"/>
      <c r="L211" s="131"/>
      <c r="M211" s="8799"/>
      <c r="N211" s="256"/>
      <c r="O211" s="1544"/>
      <c r="P211" s="1544"/>
    </row>
    <row r="212" spans="1:16" s="1555" customFormat="1" ht="0.75" hidden="1" customHeight="1">
      <c r="A212" s="1700"/>
      <c r="B212" s="1700"/>
      <c r="C212" s="293" t="s">
        <v>1523</v>
      </c>
      <c r="D212" s="9028"/>
      <c r="E212" s="8837"/>
      <c r="F212" s="8972"/>
      <c r="G212" s="329"/>
      <c r="H212" s="1415"/>
      <c r="I212" s="569"/>
      <c r="J212" s="494"/>
      <c r="K212" s="1415"/>
      <c r="L212" s="131"/>
      <c r="M212" s="8799"/>
      <c r="N212" s="256"/>
      <c r="O212" s="1544"/>
      <c r="P212" s="1544"/>
    </row>
    <row r="213" spans="1:16" s="1555" customFormat="1" ht="18.75" hidden="1" customHeight="1">
      <c r="A213" s="1700" t="s">
        <v>733</v>
      </c>
      <c r="B213" s="1700" t="s">
        <v>734</v>
      </c>
      <c r="C213" s="293"/>
      <c r="D213" s="9028"/>
      <c r="E213" s="8837"/>
      <c r="F213" s="8972" t="str">
        <f>INDEX(PT_DIFFERENTIATION_VTAR,MATCH(A213,PT_DIFFERENTIATION_VTAR_ID,0))</f>
        <v>Тариф на транспортировку сточных вод</v>
      </c>
      <c r="G213" s="9000" t="str">
        <f>INDEX(PT_DIFFERENTIATION_NTAR,MATCH(B213,PT_DIFFERENTIATION_NTAR_ID,0))</f>
        <v/>
      </c>
      <c r="H213" s="1781"/>
      <c r="I213" s="1658"/>
      <c r="J213" s="1693"/>
      <c r="K213" s="1784"/>
      <c r="L213" s="1781" t="s">
        <v>769</v>
      </c>
      <c r="M213" s="8799"/>
      <c r="N213" s="256"/>
      <c r="O213" s="1544"/>
      <c r="P213" s="1544"/>
    </row>
    <row r="214" spans="1:16" s="1555" customFormat="1" ht="18.75" hidden="1" customHeight="1">
      <c r="A214" s="1700"/>
      <c r="B214" s="1700"/>
      <c r="C214" s="293" t="s">
        <v>1517</v>
      </c>
      <c r="D214" s="9028"/>
      <c r="E214" s="8837"/>
      <c r="F214" s="8972"/>
      <c r="G214" s="9000"/>
      <c r="H214" s="1415"/>
      <c r="I214" s="569" t="s">
        <v>1518</v>
      </c>
      <c r="J214" s="494"/>
      <c r="K214" s="1415"/>
      <c r="L214" s="131"/>
      <c r="M214" s="8799"/>
      <c r="N214" s="256"/>
      <c r="O214" s="1544"/>
      <c r="P214" s="1544"/>
    </row>
    <row r="215" spans="1:16" s="1555" customFormat="1" ht="0.75" hidden="1" customHeight="1">
      <c r="A215" s="1700"/>
      <c r="B215" s="1700"/>
      <c r="C215" s="293" t="s">
        <v>1523</v>
      </c>
      <c r="D215" s="9028"/>
      <c r="E215" s="8837"/>
      <c r="F215" s="8972"/>
      <c r="G215" s="329"/>
      <c r="H215" s="1415"/>
      <c r="I215" s="569"/>
      <c r="J215" s="494"/>
      <c r="K215" s="1415"/>
      <c r="L215" s="131"/>
      <c r="M215" s="8799"/>
      <c r="N215" s="256"/>
      <c r="O215" s="1544"/>
      <c r="P215" s="1544"/>
    </row>
    <row r="216" spans="1:16" s="1555" customFormat="1" ht="18.75" hidden="1" customHeight="1">
      <c r="A216" s="1700" t="s">
        <v>738</v>
      </c>
      <c r="B216" s="1700" t="s">
        <v>739</v>
      </c>
      <c r="C216" s="293"/>
      <c r="D216" s="9028"/>
      <c r="E216" s="8837"/>
      <c r="F216" s="8972" t="str">
        <f>INDEX(PT_DIFFERENTIATION_VTAR,MATCH(A216,PT_DIFFERENTIATION_VTAR_ID,0))</f>
        <v>Тариф на подключение (технологическое присоединение) к централизованной системе водоотведения</v>
      </c>
      <c r="G216" s="9000" t="str">
        <f>INDEX(PT_DIFFERENTIATION_NTAR,MATCH(B216,PT_DIFFERENTIATION_NTAR_ID,0))</f>
        <v/>
      </c>
      <c r="H216" s="1781"/>
      <c r="I216" s="1658"/>
      <c r="J216" s="1693"/>
      <c r="K216" s="1784"/>
      <c r="L216" s="1781" t="s">
        <v>769</v>
      </c>
      <c r="M216" s="8799"/>
      <c r="N216" s="256"/>
      <c r="O216" s="1544"/>
      <c r="P216" s="1544"/>
    </row>
    <row r="217" spans="1:16" s="1555" customFormat="1" ht="18.75" hidden="1" customHeight="1">
      <c r="A217" s="1700"/>
      <c r="B217" s="1700"/>
      <c r="C217" s="293" t="s">
        <v>1517</v>
      </c>
      <c r="D217" s="9028"/>
      <c r="E217" s="8837"/>
      <c r="F217" s="8972"/>
      <c r="G217" s="9000"/>
      <c r="H217" s="1415"/>
      <c r="I217" s="569" t="s">
        <v>1518</v>
      </c>
      <c r="J217" s="494"/>
      <c r="K217" s="1415"/>
      <c r="L217" s="131"/>
      <c r="M217" s="8799"/>
      <c r="N217" s="256"/>
      <c r="O217" s="1544"/>
      <c r="P217" s="1544"/>
    </row>
    <row r="218" spans="1:16" s="1555" customFormat="1" ht="0.75" customHeight="1">
      <c r="A218" s="1700"/>
      <c r="B218" s="1700"/>
      <c r="C218" s="293" t="s">
        <v>1523</v>
      </c>
      <c r="D218" s="9028"/>
      <c r="E218" s="8837"/>
      <c r="F218" s="8972"/>
      <c r="G218" s="329"/>
      <c r="H218" s="1415"/>
      <c r="I218" s="569"/>
      <c r="J218" s="494"/>
      <c r="K218" s="1415"/>
      <c r="L218" s="131"/>
      <c r="M218" s="8799"/>
      <c r="N218" s="256"/>
      <c r="O218" s="1544"/>
      <c r="P218" s="1544"/>
    </row>
    <row r="219" spans="1:16" ht="18.75" customHeight="1">
      <c r="A219" s="1700"/>
      <c r="B219" s="1700"/>
      <c r="D219" s="300"/>
      <c r="E219" s="67" t="s">
        <v>99</v>
      </c>
      <c r="F219" s="902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219" s="9027"/>
      <c r="H219" s="9027"/>
      <c r="I219" s="9027"/>
      <c r="J219" s="9027"/>
      <c r="K219" s="9027"/>
      <c r="L219" s="9027"/>
      <c r="M219" s="211"/>
      <c r="N219" s="256"/>
    </row>
    <row r="220" spans="1:16" ht="33.75" customHeight="1">
      <c r="A220" s="1700"/>
      <c r="B220" s="1700"/>
      <c r="D220" s="300"/>
      <c r="E220" s="328"/>
      <c r="F220" s="115" t="s">
        <v>769</v>
      </c>
      <c r="G220" s="115" t="s">
        <v>769</v>
      </c>
      <c r="H220" s="8851" t="s">
        <v>769</v>
      </c>
      <c r="I220" s="8853"/>
      <c r="J220" s="115" t="s">
        <v>769</v>
      </c>
      <c r="K220" s="115" t="s">
        <v>769</v>
      </c>
      <c r="L220" s="330"/>
      <c r="M220" s="266" t="s">
        <v>1525</v>
      </c>
      <c r="N220" s="256"/>
    </row>
    <row r="221" spans="1:16" ht="18.75" customHeight="1">
      <c r="A221" s="1700"/>
      <c r="B221" s="1700"/>
      <c r="D221" s="300"/>
      <c r="E221" s="67" t="s">
        <v>86</v>
      </c>
      <c r="F221" s="9027" t="s">
        <v>1526</v>
      </c>
      <c r="G221" s="9027"/>
      <c r="H221" s="9027"/>
      <c r="I221" s="9027"/>
      <c r="J221" s="9027"/>
      <c r="K221" s="9027"/>
      <c r="L221" s="9027"/>
      <c r="M221" s="211"/>
      <c r="N221" s="256"/>
    </row>
    <row r="222" spans="1:16" s="1555" customFormat="1" ht="60.75" hidden="1" customHeight="1">
      <c r="A222" s="1700" t="s">
        <v>237</v>
      </c>
      <c r="B222" s="1700" t="s">
        <v>238</v>
      </c>
      <c r="C222" s="293"/>
      <c r="D222" s="9028"/>
      <c r="E222" s="8837"/>
      <c r="F222" s="8972" t="str">
        <f>INDEX(PT_DIFFERENTIATION_VTAR,MATCH(A222,PT_DIFFERENTIATION_VTAR_ID,0))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2" s="9000" t="str">
        <f>INDEX(PT_DIFFERENTIATION_NTAR,MATCH(B222,PT_DIFFERENTIATION_NTAR_ID,0))</f>
        <v/>
      </c>
      <c r="H222" s="1781"/>
      <c r="I222" s="1658"/>
      <c r="J222" s="1693"/>
      <c r="K222" s="1698"/>
      <c r="L222" s="1781" t="s">
        <v>769</v>
      </c>
      <c r="M222" s="87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222" s="256"/>
      <c r="O222" s="1544"/>
      <c r="P222" s="1544"/>
    </row>
    <row r="223" spans="1:16" s="1555" customFormat="1" ht="18.75" hidden="1" customHeight="1">
      <c r="A223" s="1700"/>
      <c r="B223" s="1700"/>
      <c r="C223" s="293" t="s">
        <v>1519</v>
      </c>
      <c r="D223" s="9028"/>
      <c r="E223" s="8837"/>
      <c r="F223" s="8972"/>
      <c r="G223" s="9000"/>
      <c r="H223" s="1415"/>
      <c r="I223" s="569" t="s">
        <v>1518</v>
      </c>
      <c r="J223" s="494"/>
      <c r="K223" s="1415"/>
      <c r="L223" s="131"/>
      <c r="M223" s="8799"/>
      <c r="N223" s="256"/>
      <c r="O223" s="1544"/>
      <c r="P223" s="1544"/>
    </row>
    <row r="224" spans="1:16" s="1555" customFormat="1" ht="0.75" hidden="1" customHeight="1">
      <c r="A224" s="1700"/>
      <c r="B224" s="1700"/>
      <c r="C224" s="293" t="s">
        <v>1527</v>
      </c>
      <c r="D224" s="9028"/>
      <c r="E224" s="8837"/>
      <c r="F224" s="8972"/>
      <c r="G224" s="329"/>
      <c r="H224" s="1415"/>
      <c r="I224" s="569"/>
      <c r="J224" s="494"/>
      <c r="K224" s="1415"/>
      <c r="L224" s="131"/>
      <c r="M224" s="8799"/>
      <c r="N224" s="256"/>
      <c r="O224" s="1544"/>
      <c r="P224" s="1544"/>
    </row>
    <row r="225" spans="1:16" s="1555" customFormat="1" ht="45" hidden="1" customHeight="1">
      <c r="A225" s="1700" t="s">
        <v>243</v>
      </c>
      <c r="B225" s="1700" t="s">
        <v>244</v>
      </c>
      <c r="C225" s="293"/>
      <c r="D225" s="9028"/>
      <c r="E225" s="8837"/>
      <c r="F225" s="8972" t="str">
        <f>INDEX(PT_DIFFERENTIATION_VTAR,MATCH(A225,PT_DIFFERENTIATION_VTAR_ID,0))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5" s="9000" t="str">
        <f>INDEX(PT_DIFFERENTIATION_NTAR,MATCH(B225,PT_DIFFERENTIATION_NTAR_ID,0))</f>
        <v/>
      </c>
      <c r="H225" s="1781"/>
      <c r="I225" s="1658"/>
      <c r="J225" s="1693"/>
      <c r="K225" s="1698"/>
      <c r="L225" s="1781" t="s">
        <v>769</v>
      </c>
      <c r="M225" s="8800"/>
      <c r="N225" s="256"/>
      <c r="O225" s="1544"/>
      <c r="P225" s="1544"/>
    </row>
    <row r="226" spans="1:16" s="1555" customFormat="1" ht="18.75" hidden="1" customHeight="1">
      <c r="A226" s="1700"/>
      <c r="B226" s="1700"/>
      <c r="C226" s="293" t="s">
        <v>1519</v>
      </c>
      <c r="D226" s="9028"/>
      <c r="E226" s="8837"/>
      <c r="F226" s="8972"/>
      <c r="G226" s="9000"/>
      <c r="H226" s="1415"/>
      <c r="I226" s="569" t="s">
        <v>1518</v>
      </c>
      <c r="J226" s="494"/>
      <c r="K226" s="1415"/>
      <c r="L226" s="131"/>
      <c r="M226" s="1780"/>
      <c r="N226" s="256"/>
      <c r="O226" s="1544"/>
      <c r="P226" s="1544"/>
    </row>
    <row r="227" spans="1:16" s="1555" customFormat="1" ht="0.75" hidden="1" customHeight="1">
      <c r="A227" s="1700"/>
      <c r="B227" s="1700"/>
      <c r="C227" s="293" t="s">
        <v>1527</v>
      </c>
      <c r="D227" s="9028"/>
      <c r="E227" s="8837"/>
      <c r="F227" s="8972"/>
      <c r="G227" s="329"/>
      <c r="H227" s="1415"/>
      <c r="I227" s="569"/>
      <c r="J227" s="494"/>
      <c r="K227" s="1415"/>
      <c r="L227" s="131"/>
      <c r="M227" s="263"/>
      <c r="N227" s="256"/>
      <c r="O227" s="1544"/>
      <c r="P227" s="1544"/>
    </row>
    <row r="228" spans="1:16" s="1555" customFormat="1" ht="45" hidden="1" customHeight="1">
      <c r="A228" s="1700" t="s">
        <v>249</v>
      </c>
      <c r="B228" s="1700" t="s">
        <v>250</v>
      </c>
      <c r="C228" s="293"/>
      <c r="D228" s="9028"/>
      <c r="E228" s="8837"/>
      <c r="F228" s="8972" t="str">
        <f>INDEX(PT_DIFFERENTIATION_VTAR,MATCH(A228,PT_DIFFERENTIATION_VTAR_ID,0))</f>
        <v>Тарифы на теплоноситель, поставляемый теплоснабжающими организациями потребителям, другим теплоснабжающим организациям</v>
      </c>
      <c r="G228" s="9000" t="str">
        <f>INDEX(PT_DIFFERENTIATION_NTAR,MATCH(B228,PT_DIFFERENTIATION_NTAR_ID,0))</f>
        <v/>
      </c>
      <c r="H228" s="1781"/>
      <c r="I228" s="1658"/>
      <c r="J228" s="1693"/>
      <c r="K228" s="1698"/>
      <c r="L228" s="1781" t="s">
        <v>769</v>
      </c>
      <c r="M228" s="263"/>
      <c r="N228" s="256"/>
      <c r="O228" s="1544"/>
      <c r="P228" s="1544"/>
    </row>
    <row r="229" spans="1:16" s="1555" customFormat="1" ht="18.75" hidden="1" customHeight="1">
      <c r="A229" s="1700"/>
      <c r="B229" s="1700"/>
      <c r="C229" s="293" t="s">
        <v>1519</v>
      </c>
      <c r="D229" s="9028"/>
      <c r="E229" s="8837"/>
      <c r="F229" s="8972"/>
      <c r="G229" s="9000"/>
      <c r="H229" s="1415"/>
      <c r="I229" s="569" t="s">
        <v>1518</v>
      </c>
      <c r="J229" s="494"/>
      <c r="K229" s="1415"/>
      <c r="L229" s="131"/>
      <c r="M229" s="263"/>
      <c r="N229" s="256"/>
      <c r="O229" s="1544"/>
      <c r="P229" s="1544"/>
    </row>
    <row r="230" spans="1:16" s="1555" customFormat="1" ht="0.75" hidden="1" customHeight="1">
      <c r="A230" s="1700"/>
      <c r="B230" s="1700"/>
      <c r="C230" s="293" t="s">
        <v>1527</v>
      </c>
      <c r="D230" s="9028"/>
      <c r="E230" s="8837"/>
      <c r="F230" s="8972"/>
      <c r="G230" s="329"/>
      <c r="H230" s="1415"/>
      <c r="I230" s="569"/>
      <c r="J230" s="494"/>
      <c r="K230" s="1415"/>
      <c r="L230" s="131"/>
      <c r="M230" s="263"/>
      <c r="N230" s="256"/>
      <c r="O230" s="1544"/>
      <c r="P230" s="1544"/>
    </row>
    <row r="231" spans="1:16" s="1555" customFormat="1" ht="45" hidden="1" customHeight="1">
      <c r="A231" s="1700" t="s">
        <v>255</v>
      </c>
      <c r="B231" s="1700" t="s">
        <v>256</v>
      </c>
      <c r="C231" s="293"/>
      <c r="D231" s="9028"/>
      <c r="E231" s="8837"/>
      <c r="F231" s="8972" t="str">
        <f>INDEX(PT_DIFFERENTIATION_VTAR,MATCH(A231,PT_DIFFERENTIATION_VTAR_ID,0))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1" s="9000" t="str">
        <f>INDEX(PT_DIFFERENTIATION_NTAR,MATCH(B231,PT_DIFFERENTIATION_NTAR_ID,0))</f>
        <v/>
      </c>
      <c r="H231" s="1781"/>
      <c r="I231" s="1658"/>
      <c r="J231" s="1693"/>
      <c r="K231" s="1698"/>
      <c r="L231" s="1781" t="s">
        <v>769</v>
      </c>
      <c r="M231" s="263"/>
      <c r="N231" s="256"/>
      <c r="O231" s="1544"/>
      <c r="P231" s="1544"/>
    </row>
    <row r="232" spans="1:16" s="1555" customFormat="1" ht="18.75" hidden="1" customHeight="1">
      <c r="A232" s="1700"/>
      <c r="B232" s="1700"/>
      <c r="C232" s="293" t="s">
        <v>1519</v>
      </c>
      <c r="D232" s="9028"/>
      <c r="E232" s="8837"/>
      <c r="F232" s="8972"/>
      <c r="G232" s="9000"/>
      <c r="H232" s="1415"/>
      <c r="I232" s="569" t="s">
        <v>1518</v>
      </c>
      <c r="J232" s="494"/>
      <c r="K232" s="1415"/>
      <c r="L232" s="131"/>
      <c r="M232" s="263"/>
      <c r="N232" s="256"/>
      <c r="O232" s="1544"/>
      <c r="P232" s="1544"/>
    </row>
    <row r="233" spans="1:16" s="1555" customFormat="1" ht="0.75" hidden="1" customHeight="1">
      <c r="A233" s="1700"/>
      <c r="B233" s="1700"/>
      <c r="C233" s="293" t="s">
        <v>1527</v>
      </c>
      <c r="D233" s="9028"/>
      <c r="E233" s="8837"/>
      <c r="F233" s="8972"/>
      <c r="G233" s="329"/>
      <c r="H233" s="1415"/>
      <c r="I233" s="569"/>
      <c r="J233" s="494"/>
      <c r="K233" s="1415"/>
      <c r="L233" s="131"/>
      <c r="M233" s="263"/>
      <c r="N233" s="256"/>
      <c r="O233" s="1544"/>
      <c r="P233" s="1544"/>
    </row>
    <row r="234" spans="1:16" s="1555" customFormat="1" ht="18.75" hidden="1" customHeight="1">
      <c r="A234" s="1700" t="s">
        <v>261</v>
      </c>
      <c r="B234" s="1700" t="s">
        <v>262</v>
      </c>
      <c r="C234" s="293"/>
      <c r="D234" s="9028"/>
      <c r="E234" s="8837"/>
      <c r="F234" s="8972" t="str">
        <f>INDEX(PT_DIFFERENTIATION_VTAR,MATCH(A234,PT_DIFFERENTIATION_VTAR_ID,0))</f>
        <v>Тарифы на услуги по передаче тепловой энергии</v>
      </c>
      <c r="G234" s="9000" t="str">
        <f>INDEX(PT_DIFFERENTIATION_NTAR,MATCH(B234,PT_DIFFERENTIATION_NTAR_ID,0))</f>
        <v/>
      </c>
      <c r="H234" s="1781"/>
      <c r="I234" s="1658"/>
      <c r="J234" s="1693"/>
      <c r="K234" s="1698"/>
      <c r="L234" s="1781" t="s">
        <v>769</v>
      </c>
      <c r="M234" s="263"/>
      <c r="N234" s="256"/>
      <c r="O234" s="1544"/>
      <c r="P234" s="1544"/>
    </row>
    <row r="235" spans="1:16" s="1555" customFormat="1" ht="18.75" hidden="1" customHeight="1">
      <c r="A235" s="1700"/>
      <c r="B235" s="1700"/>
      <c r="C235" s="293" t="s">
        <v>1519</v>
      </c>
      <c r="D235" s="9028"/>
      <c r="E235" s="8837"/>
      <c r="F235" s="8972"/>
      <c r="G235" s="9000"/>
      <c r="H235" s="1415"/>
      <c r="I235" s="569" t="s">
        <v>1518</v>
      </c>
      <c r="J235" s="494"/>
      <c r="K235" s="1415"/>
      <c r="L235" s="131"/>
      <c r="M235" s="263"/>
      <c r="N235" s="256"/>
      <c r="O235" s="1544"/>
      <c r="P235" s="1544"/>
    </row>
    <row r="236" spans="1:16" s="1555" customFormat="1" ht="0.75" hidden="1" customHeight="1">
      <c r="A236" s="1700"/>
      <c r="B236" s="1700"/>
      <c r="C236" s="293" t="s">
        <v>1527</v>
      </c>
      <c r="D236" s="9028"/>
      <c r="E236" s="8837"/>
      <c r="F236" s="8972"/>
      <c r="G236" s="329"/>
      <c r="H236" s="1415"/>
      <c r="I236" s="569"/>
      <c r="J236" s="494"/>
      <c r="K236" s="1415"/>
      <c r="L236" s="131"/>
      <c r="M236" s="263"/>
      <c r="N236" s="256"/>
      <c r="O236" s="1544"/>
      <c r="P236" s="1544"/>
    </row>
    <row r="237" spans="1:16" s="1555" customFormat="1" ht="18.75" hidden="1" customHeight="1">
      <c r="A237" s="1700" t="s">
        <v>267</v>
      </c>
      <c r="B237" s="1700" t="s">
        <v>268</v>
      </c>
      <c r="C237" s="293"/>
      <c r="D237" s="9028"/>
      <c r="E237" s="8837"/>
      <c r="F237" s="8972" t="str">
        <f>INDEX(PT_DIFFERENTIATION_VTAR,MATCH(A237,PT_DIFFERENTIATION_VTAR_ID,0))</f>
        <v>Тарифы на услуги по передаче теплоносителя</v>
      </c>
      <c r="G237" s="9000" t="str">
        <f>INDEX(PT_DIFFERENTIATION_NTAR,MATCH(B237,PT_DIFFERENTIATION_NTAR_ID,0))</f>
        <v/>
      </c>
      <c r="H237" s="1781"/>
      <c r="I237" s="1658"/>
      <c r="J237" s="1693"/>
      <c r="K237" s="1698"/>
      <c r="L237" s="1781" t="s">
        <v>769</v>
      </c>
      <c r="M237" s="263"/>
      <c r="N237" s="256"/>
      <c r="O237" s="1544"/>
      <c r="P237" s="1544"/>
    </row>
    <row r="238" spans="1:16" s="1555" customFormat="1" ht="18.75" hidden="1" customHeight="1">
      <c r="A238" s="1700"/>
      <c r="B238" s="1700"/>
      <c r="C238" s="293" t="s">
        <v>1519</v>
      </c>
      <c r="D238" s="9028"/>
      <c r="E238" s="8837"/>
      <c r="F238" s="8972"/>
      <c r="G238" s="9000"/>
      <c r="H238" s="1415"/>
      <c r="I238" s="569" t="s">
        <v>1518</v>
      </c>
      <c r="J238" s="494"/>
      <c r="K238" s="1415"/>
      <c r="L238" s="131"/>
      <c r="M238" s="263"/>
      <c r="N238" s="256"/>
      <c r="O238" s="1544"/>
      <c r="P238" s="1544"/>
    </row>
    <row r="239" spans="1:16" s="1555" customFormat="1" ht="0.75" hidden="1" customHeight="1">
      <c r="A239" s="1700"/>
      <c r="B239" s="1700"/>
      <c r="C239" s="293" t="s">
        <v>1527</v>
      </c>
      <c r="D239" s="9028"/>
      <c r="E239" s="8837"/>
      <c r="F239" s="8972"/>
      <c r="G239" s="329"/>
      <c r="H239" s="1415"/>
      <c r="I239" s="569"/>
      <c r="J239" s="494"/>
      <c r="K239" s="1415"/>
      <c r="L239" s="131"/>
      <c r="M239" s="263"/>
      <c r="N239" s="256"/>
      <c r="O239" s="1544"/>
      <c r="P239" s="1544"/>
    </row>
    <row r="240" spans="1:16" s="1555" customFormat="1" ht="18.75" hidden="1" customHeight="1">
      <c r="A240" s="1700" t="s">
        <v>273</v>
      </c>
      <c r="B240" s="1700" t="s">
        <v>274</v>
      </c>
      <c r="C240" s="293"/>
      <c r="D240" s="9028"/>
      <c r="E240" s="8837"/>
      <c r="F240" s="8972" t="str">
        <f>INDEX(PT_DIFFERENTIATION_VTAR,MATCH(A240,PT_DIFFERENTIATION_VTAR_ID,0))</f>
        <v>Плата за услуги по поддержанию резервной тепловой мощности при отсутствии потребления тепловой энергии</v>
      </c>
      <c r="G240" s="9000" t="str">
        <f>INDEX(PT_DIFFERENTIATION_NTAR,MATCH(B240,PT_DIFFERENTIATION_NTAR_ID,0))</f>
        <v/>
      </c>
      <c r="H240" s="1781"/>
      <c r="I240" s="1658"/>
      <c r="J240" s="1693"/>
      <c r="K240" s="1698"/>
      <c r="L240" s="1781" t="s">
        <v>769</v>
      </c>
      <c r="M240" s="263"/>
      <c r="N240" s="256"/>
      <c r="O240" s="1544"/>
      <c r="P240" s="1544"/>
    </row>
    <row r="241" spans="1:16" s="1555" customFormat="1" ht="18.75" hidden="1" customHeight="1">
      <c r="A241" s="1700"/>
      <c r="B241" s="1700"/>
      <c r="C241" s="293" t="s">
        <v>1519</v>
      </c>
      <c r="D241" s="9028"/>
      <c r="E241" s="8837"/>
      <c r="F241" s="8972"/>
      <c r="G241" s="9000"/>
      <c r="H241" s="1415"/>
      <c r="I241" s="569" t="s">
        <v>1518</v>
      </c>
      <c r="J241" s="494"/>
      <c r="K241" s="1415"/>
      <c r="L241" s="131"/>
      <c r="M241" s="263"/>
      <c r="N241" s="256"/>
      <c r="O241" s="1544"/>
      <c r="P241" s="1544"/>
    </row>
    <row r="242" spans="1:16" s="1555" customFormat="1" ht="0.75" hidden="1" customHeight="1">
      <c r="A242" s="1700"/>
      <c r="B242" s="1700"/>
      <c r="C242" s="293" t="s">
        <v>1527</v>
      </c>
      <c r="D242" s="9028"/>
      <c r="E242" s="8837"/>
      <c r="F242" s="8972"/>
      <c r="G242" s="329"/>
      <c r="H242" s="1415"/>
      <c r="I242" s="569"/>
      <c r="J242" s="494"/>
      <c r="K242" s="1415"/>
      <c r="L242" s="131"/>
      <c r="M242" s="263"/>
      <c r="N242" s="256"/>
      <c r="O242" s="1544"/>
      <c r="P242" s="1544"/>
    </row>
    <row r="243" spans="1:16" s="1555" customFormat="1" ht="18.75" hidden="1" customHeight="1">
      <c r="A243" s="1700" t="s">
        <v>279</v>
      </c>
      <c r="B243" s="1700" t="s">
        <v>280</v>
      </c>
      <c r="C243" s="293"/>
      <c r="D243" s="9028"/>
      <c r="E243" s="8837"/>
      <c r="F243" s="8972" t="str">
        <f>INDEX(PT_DIFFERENTIATION_VTAR,MATCH(A243,PT_DIFFERENTIATION_VTAR_ID,0))</f>
        <v>Плата за подключение (технологическое присоединение) к системе теплоснабжения</v>
      </c>
      <c r="G243" s="9000" t="str">
        <f>INDEX(PT_DIFFERENTIATION_NTAR,MATCH(B243,PT_DIFFERENTIATION_NTAR_ID,0))</f>
        <v/>
      </c>
      <c r="H243" s="1781"/>
      <c r="I243" s="1658"/>
      <c r="J243" s="1693"/>
      <c r="K243" s="1698"/>
      <c r="L243" s="1781" t="s">
        <v>769</v>
      </c>
      <c r="M243" s="263"/>
      <c r="N243" s="256"/>
      <c r="O243" s="1544"/>
      <c r="P243" s="1544"/>
    </row>
    <row r="244" spans="1:16" s="1555" customFormat="1" ht="18.75" hidden="1" customHeight="1">
      <c r="A244" s="1700"/>
      <c r="B244" s="1700"/>
      <c r="C244" s="293" t="s">
        <v>1519</v>
      </c>
      <c r="D244" s="9028"/>
      <c r="E244" s="8837"/>
      <c r="F244" s="8972"/>
      <c r="G244" s="9000"/>
      <c r="H244" s="1415"/>
      <c r="I244" s="569" t="s">
        <v>1518</v>
      </c>
      <c r="J244" s="494"/>
      <c r="K244" s="1415"/>
      <c r="L244" s="131"/>
      <c r="M244" s="263"/>
      <c r="N244" s="256"/>
      <c r="O244" s="1544"/>
      <c r="P244" s="1544"/>
    </row>
    <row r="245" spans="1:16" s="1555" customFormat="1" ht="0.75" hidden="1" customHeight="1">
      <c r="A245" s="1700"/>
      <c r="B245" s="1700"/>
      <c r="C245" s="293" t="s">
        <v>1527</v>
      </c>
      <c r="D245" s="9028"/>
      <c r="E245" s="8837"/>
      <c r="F245" s="8972"/>
      <c r="G245" s="329"/>
      <c r="H245" s="1415"/>
      <c r="I245" s="569"/>
      <c r="J245" s="494"/>
      <c r="K245" s="1415"/>
      <c r="L245" s="131"/>
      <c r="M245" s="263"/>
      <c r="N245" s="256"/>
      <c r="O245" s="1544"/>
      <c r="P245" s="1544"/>
    </row>
    <row r="246" spans="1:16" s="1555" customFormat="1" ht="18.75" hidden="1" customHeight="1">
      <c r="A246" s="1700" t="s">
        <v>293</v>
      </c>
      <c r="B246" s="1700" t="s">
        <v>294</v>
      </c>
      <c r="C246" s="293"/>
      <c r="D246" s="9028"/>
      <c r="E246" s="8837"/>
      <c r="F246" s="8972" t="str">
        <f>INDEX(PT_DIFFERENTIATION_VTAR,MATCH(A246,PT_DIFFERENTIATION_VTAR_ID,0))</f>
        <v>Тариф на питьевую воду (питьевое водоснабжение)</v>
      </c>
      <c r="G246" s="9000" t="str">
        <f>INDEX(PT_DIFFERENTIATION_NTAR,MATCH(B246,PT_DIFFERENTIATION_NTAR_ID,0))</f>
        <v/>
      </c>
      <c r="H246" s="1781"/>
      <c r="I246" s="1658"/>
      <c r="J246" s="1693"/>
      <c r="K246" s="1698"/>
      <c r="L246" s="1781" t="s">
        <v>769</v>
      </c>
      <c r="M246" s="263"/>
      <c r="N246" s="256"/>
      <c r="O246" s="1544"/>
      <c r="P246" s="1544"/>
    </row>
    <row r="247" spans="1:16" s="1555" customFormat="1" ht="18.75" hidden="1" customHeight="1">
      <c r="A247" s="1700"/>
      <c r="B247" s="1700"/>
      <c r="C247" s="293" t="s">
        <v>1519</v>
      </c>
      <c r="D247" s="9028"/>
      <c r="E247" s="8837"/>
      <c r="F247" s="8972"/>
      <c r="G247" s="9000"/>
      <c r="H247" s="1415"/>
      <c r="I247" s="569" t="s">
        <v>1518</v>
      </c>
      <c r="J247" s="494"/>
      <c r="K247" s="1415"/>
      <c r="L247" s="131"/>
      <c r="M247" s="263"/>
      <c r="N247" s="256"/>
      <c r="O247" s="1544"/>
      <c r="P247" s="1544"/>
    </row>
    <row r="248" spans="1:16" s="1555" customFormat="1" ht="0.75" hidden="1" customHeight="1">
      <c r="A248" s="1700"/>
      <c r="B248" s="1700"/>
      <c r="C248" s="293" t="s">
        <v>1527</v>
      </c>
      <c r="D248" s="9028"/>
      <c r="E248" s="8837"/>
      <c r="F248" s="8972"/>
      <c r="G248" s="329"/>
      <c r="H248" s="1415"/>
      <c r="I248" s="569"/>
      <c r="J248" s="494"/>
      <c r="K248" s="1415"/>
      <c r="L248" s="131"/>
      <c r="M248" s="263"/>
      <c r="N248" s="256"/>
      <c r="O248" s="1544"/>
      <c r="P248" s="1544"/>
    </row>
    <row r="249" spans="1:16" s="1555" customFormat="1" ht="18.75" hidden="1" customHeight="1">
      <c r="A249" s="1700" t="s">
        <v>298</v>
      </c>
      <c r="B249" s="1700" t="s">
        <v>299</v>
      </c>
      <c r="C249" s="293"/>
      <c r="D249" s="9028"/>
      <c r="E249" s="8837"/>
      <c r="F249" s="8972" t="str">
        <f>INDEX(PT_DIFFERENTIATION_VTAR,MATCH(A249,PT_DIFFERENTIATION_VTAR_ID,0))</f>
        <v>Тариф на техническую воду</v>
      </c>
      <c r="G249" s="9000" t="str">
        <f>INDEX(PT_DIFFERENTIATION_NTAR,MATCH(B249,PT_DIFFERENTIATION_NTAR_ID,0))</f>
        <v/>
      </c>
      <c r="H249" s="1781"/>
      <c r="I249" s="1658"/>
      <c r="J249" s="1693"/>
      <c r="K249" s="1698"/>
      <c r="L249" s="1781" t="s">
        <v>769</v>
      </c>
      <c r="M249" s="263"/>
      <c r="N249" s="256"/>
      <c r="O249" s="1544"/>
      <c r="P249" s="1544"/>
    </row>
    <row r="250" spans="1:16" s="1555" customFormat="1" ht="18.75" hidden="1" customHeight="1">
      <c r="A250" s="1700"/>
      <c r="B250" s="1700"/>
      <c r="C250" s="293" t="s">
        <v>1519</v>
      </c>
      <c r="D250" s="9028"/>
      <c r="E250" s="8837"/>
      <c r="F250" s="8972"/>
      <c r="G250" s="9000"/>
      <c r="H250" s="1415"/>
      <c r="I250" s="569" t="s">
        <v>1518</v>
      </c>
      <c r="J250" s="494"/>
      <c r="K250" s="1415"/>
      <c r="L250" s="131"/>
      <c r="M250" s="263"/>
      <c r="N250" s="256"/>
      <c r="O250" s="1544"/>
      <c r="P250" s="1544"/>
    </row>
    <row r="251" spans="1:16" s="1555" customFormat="1" ht="0.75" hidden="1" customHeight="1">
      <c r="A251" s="1700"/>
      <c r="B251" s="1700"/>
      <c r="C251" s="293" t="s">
        <v>1527</v>
      </c>
      <c r="D251" s="9028"/>
      <c r="E251" s="8837"/>
      <c r="F251" s="8972"/>
      <c r="G251" s="329"/>
      <c r="H251" s="1415"/>
      <c r="I251" s="569"/>
      <c r="J251" s="494"/>
      <c r="K251" s="1415"/>
      <c r="L251" s="131"/>
      <c r="M251" s="263"/>
      <c r="N251" s="256"/>
      <c r="O251" s="1544"/>
      <c r="P251" s="1544"/>
    </row>
    <row r="252" spans="1:16" s="1555" customFormat="1" ht="18.75" hidden="1" customHeight="1">
      <c r="A252" s="1700" t="s">
        <v>303</v>
      </c>
      <c r="B252" s="1700" t="s">
        <v>304</v>
      </c>
      <c r="C252" s="293"/>
      <c r="D252" s="9028"/>
      <c r="E252" s="8837"/>
      <c r="F252" s="8972" t="str">
        <f>INDEX(PT_DIFFERENTIATION_VTAR,MATCH(A252,PT_DIFFERENTIATION_VTAR_ID,0))</f>
        <v>Тариф на транспортировку воды</v>
      </c>
      <c r="G252" s="9000" t="str">
        <f>INDEX(PT_DIFFERENTIATION_NTAR,MATCH(B252,PT_DIFFERENTIATION_NTAR_ID,0))</f>
        <v/>
      </c>
      <c r="H252" s="1781"/>
      <c r="I252" s="1658"/>
      <c r="J252" s="1693"/>
      <c r="K252" s="1698"/>
      <c r="L252" s="1781" t="s">
        <v>769</v>
      </c>
      <c r="M252" s="263"/>
      <c r="N252" s="256"/>
      <c r="O252" s="1544"/>
      <c r="P252" s="1544"/>
    </row>
    <row r="253" spans="1:16" s="1555" customFormat="1" ht="18.75" hidden="1" customHeight="1">
      <c r="A253" s="1700"/>
      <c r="B253" s="1700"/>
      <c r="C253" s="293" t="s">
        <v>1519</v>
      </c>
      <c r="D253" s="9028"/>
      <c r="E253" s="8837"/>
      <c r="F253" s="8972"/>
      <c r="G253" s="9000"/>
      <c r="H253" s="1415"/>
      <c r="I253" s="569" t="s">
        <v>1518</v>
      </c>
      <c r="J253" s="494"/>
      <c r="K253" s="1415"/>
      <c r="L253" s="131"/>
      <c r="M253" s="263"/>
      <c r="N253" s="256"/>
      <c r="O253" s="1544"/>
      <c r="P253" s="1544"/>
    </row>
    <row r="254" spans="1:16" s="1555" customFormat="1" ht="0.75" hidden="1" customHeight="1">
      <c r="A254" s="1700"/>
      <c r="B254" s="1700"/>
      <c r="C254" s="293" t="s">
        <v>1527</v>
      </c>
      <c r="D254" s="9028"/>
      <c r="E254" s="8837"/>
      <c r="F254" s="8972"/>
      <c r="G254" s="329"/>
      <c r="H254" s="1415"/>
      <c r="I254" s="569"/>
      <c r="J254" s="494"/>
      <c r="K254" s="1415"/>
      <c r="L254" s="131"/>
      <c r="M254" s="263"/>
      <c r="N254" s="256"/>
      <c r="O254" s="1544"/>
      <c r="P254" s="1544"/>
    </row>
    <row r="255" spans="1:16" s="1555" customFormat="1" ht="18.75" customHeight="1">
      <c r="A255" s="1700" t="s">
        <v>310</v>
      </c>
      <c r="B255" s="1700" t="s">
        <v>311</v>
      </c>
      <c r="C255" s="293"/>
      <c r="D255" s="9028"/>
      <c r="E255" s="8837"/>
      <c r="F255" s="8972" t="str">
        <f>INDEX(PT_DIFFERENTIATION_VTAR,MATCH(A255,PT_DIFFERENTIATION_VTAR_ID,0))</f>
        <v>Тариф на подвоз воды</v>
      </c>
      <c r="G255" s="9000" t="str">
        <f>INDEX(PT_DIFFERENTIATION_NTAR,MATCH(B255,PT_DIFFERENTIATION_NTAR_ID,0))</f>
        <v>Подвоз воды потребителям поселка Малостепновского</v>
      </c>
      <c r="H255" s="1781"/>
      <c r="I255" s="1658">
        <v>45292</v>
      </c>
      <c r="J255" s="1693">
        <v>45657</v>
      </c>
      <c r="K255" s="1698">
        <f>508.22/1000</f>
        <v>0.50822000000000001</v>
      </c>
      <c r="L255" s="1781" t="s">
        <v>769</v>
      </c>
      <c r="M255" s="263"/>
      <c r="N255" s="256"/>
      <c r="O255" s="1544"/>
      <c r="P255" s="1544"/>
    </row>
    <row r="256" spans="1:16" s="1555" customFormat="1" ht="18.75" customHeight="1">
      <c r="A256" s="1700"/>
      <c r="B256" s="1700"/>
      <c r="C256" s="293" t="s">
        <v>1519</v>
      </c>
      <c r="D256" s="9028"/>
      <c r="E256" s="8837"/>
      <c r="F256" s="8972"/>
      <c r="G256" s="9000"/>
      <c r="H256" s="1415"/>
      <c r="I256" s="569" t="s">
        <v>1518</v>
      </c>
      <c r="J256" s="494"/>
      <c r="K256" s="1415"/>
      <c r="L256" s="131"/>
      <c r="M256" s="263"/>
      <c r="N256" s="256"/>
      <c r="O256" s="1544"/>
      <c r="P256" s="1544"/>
    </row>
    <row r="257" spans="1:16" s="1555" customFormat="1" ht="18.75" customHeight="1">
      <c r="A257" s="1742" t="s">
        <v>310</v>
      </c>
      <c r="B257" s="1742" t="s">
        <v>317</v>
      </c>
      <c r="C257" s="1607"/>
      <c r="D257" s="9029"/>
      <c r="E257" s="9030"/>
      <c r="F257" s="9030"/>
      <c r="G257" s="9000" t="str">
        <f>INDEX(PT_DIFFERENTIATION_NTAR,MATCH(B257,PT_DIFFERENTIATION_NTAR_ID,0))</f>
        <v>Подвоз воды потребителям хутора Репьевая</v>
      </c>
      <c r="H257" s="1809"/>
      <c r="I257" s="1658">
        <v>45292</v>
      </c>
      <c r="J257" s="1693">
        <v>45657</v>
      </c>
      <c r="K257" s="1698">
        <f>472.14/1000</f>
        <v>0.47214</v>
      </c>
      <c r="L257" s="1809" t="s">
        <v>769</v>
      </c>
      <c r="M257" s="1794"/>
      <c r="N257" s="537"/>
      <c r="O257" s="1544"/>
      <c r="P257" s="1544"/>
    </row>
    <row r="258" spans="1:16" s="1555" customFormat="1" ht="18.75" customHeight="1">
      <c r="A258" s="1742"/>
      <c r="B258" s="1742"/>
      <c r="C258" s="1607" t="s">
        <v>1519</v>
      </c>
      <c r="D258" s="9029"/>
      <c r="E258" s="9030"/>
      <c r="F258" s="9030"/>
      <c r="G258" s="9000"/>
      <c r="H258" s="7324"/>
      <c r="I258" s="7325" t="s">
        <v>1518</v>
      </c>
      <c r="J258" s="7326"/>
      <c r="K258" s="7327"/>
      <c r="L258" s="7328"/>
      <c r="M258" s="1794"/>
      <c r="N258" s="537"/>
      <c r="O258" s="1544"/>
      <c r="P258" s="1544"/>
    </row>
    <row r="259" spans="1:16" s="1555" customFormat="1" ht="18.75" customHeight="1">
      <c r="A259" s="1742" t="s">
        <v>310</v>
      </c>
      <c r="B259" s="1742" t="s">
        <v>322</v>
      </c>
      <c r="C259" s="1607"/>
      <c r="D259" s="9029"/>
      <c r="E259" s="9030"/>
      <c r="F259" s="9030"/>
      <c r="G259" s="9000" t="str">
        <f>INDEX(PT_DIFFERENTIATION_NTAR,MATCH(B259,PT_DIFFERENTIATION_NTAR_ID,0))</f>
        <v>Подвоз воды потребителям хутора Красный Чонгарец</v>
      </c>
      <c r="H259" s="1809"/>
      <c r="I259" s="1658">
        <v>45292</v>
      </c>
      <c r="J259" s="1693">
        <v>45657</v>
      </c>
      <c r="K259" s="1698">
        <f>465.07/1000</f>
        <v>0.46506999999999998</v>
      </c>
      <c r="L259" s="1809" t="s">
        <v>769</v>
      </c>
      <c r="M259" s="1794"/>
      <c r="N259" s="537"/>
      <c r="O259" s="1544"/>
      <c r="P259" s="1544"/>
    </row>
    <row r="260" spans="1:16" s="1555" customFormat="1" ht="18.75" customHeight="1">
      <c r="A260" s="1742"/>
      <c r="B260" s="1742"/>
      <c r="C260" s="1607" t="s">
        <v>1519</v>
      </c>
      <c r="D260" s="9029"/>
      <c r="E260" s="9030"/>
      <c r="F260" s="9030"/>
      <c r="G260" s="9000"/>
      <c r="H260" s="7329"/>
      <c r="I260" s="7330" t="s">
        <v>1518</v>
      </c>
      <c r="J260" s="7331"/>
      <c r="K260" s="7332"/>
      <c r="L260" s="7333"/>
      <c r="M260" s="1794"/>
      <c r="N260" s="537"/>
      <c r="O260" s="1544"/>
      <c r="P260" s="1544"/>
    </row>
    <row r="261" spans="1:16" s="1555" customFormat="1" ht="18.75" customHeight="1">
      <c r="A261" s="1742" t="s">
        <v>310</v>
      </c>
      <c r="B261" s="1742" t="s">
        <v>327</v>
      </c>
      <c r="C261" s="1607"/>
      <c r="D261" s="9029"/>
      <c r="E261" s="9030"/>
      <c r="F261" s="9030"/>
      <c r="G261" s="9000" t="str">
        <f>INDEX(PT_DIFFERENTIATION_NTAR,MATCH(B261,PT_DIFFERENTIATION_NTAR_ID,0))</f>
        <v>Подвоз воды потребителям села Киан-Подгорного</v>
      </c>
      <c r="H261" s="1809"/>
      <c r="I261" s="1658">
        <v>45292</v>
      </c>
      <c r="J261" s="1693">
        <v>45657</v>
      </c>
      <c r="K261" s="1698">
        <f>442.53/1000</f>
        <v>0.44252999999999998</v>
      </c>
      <c r="L261" s="1809" t="s">
        <v>769</v>
      </c>
      <c r="M261" s="1794"/>
      <c r="N261" s="537"/>
      <c r="O261" s="1544"/>
      <c r="P261" s="1544"/>
    </row>
    <row r="262" spans="1:16" s="1555" customFormat="1" ht="18.75" customHeight="1">
      <c r="A262" s="1742"/>
      <c r="B262" s="1742"/>
      <c r="C262" s="1607" t="s">
        <v>1519</v>
      </c>
      <c r="D262" s="9029"/>
      <c r="E262" s="9030"/>
      <c r="F262" s="9030"/>
      <c r="G262" s="9000"/>
      <c r="H262" s="7334"/>
      <c r="I262" s="7335" t="s">
        <v>1518</v>
      </c>
      <c r="J262" s="7336"/>
      <c r="K262" s="7337"/>
      <c r="L262" s="7338"/>
      <c r="M262" s="1794"/>
      <c r="N262" s="537"/>
      <c r="O262" s="1544"/>
      <c r="P262" s="1544"/>
    </row>
    <row r="263" spans="1:16" s="1555" customFormat="1" ht="18.75" customHeight="1">
      <c r="A263" s="1742" t="s">
        <v>310</v>
      </c>
      <c r="B263" s="1742" t="s">
        <v>332</v>
      </c>
      <c r="C263" s="1607"/>
      <c r="D263" s="9029"/>
      <c r="E263" s="9030"/>
      <c r="F263" s="9030"/>
      <c r="G263" s="9000" t="str">
        <f>INDEX(PT_DIFFERENTIATION_NTAR,MATCH(B263,PT_DIFFERENTIATION_NTAR_ID,0))</f>
        <v>Подвоз воды потребителям села Водораздел</v>
      </c>
      <c r="H263" s="1809"/>
      <c r="I263" s="1658">
        <v>45292</v>
      </c>
      <c r="J263" s="1693">
        <v>45657</v>
      </c>
      <c r="K263" s="1698">
        <f>378.07/1000</f>
        <v>0.37807000000000002</v>
      </c>
      <c r="L263" s="1809" t="s">
        <v>769</v>
      </c>
      <c r="M263" s="1794"/>
      <c r="N263" s="537"/>
      <c r="O263" s="1544"/>
      <c r="P263" s="1544"/>
    </row>
    <row r="264" spans="1:16" s="1555" customFormat="1" ht="18.75" customHeight="1">
      <c r="A264" s="1742"/>
      <c r="B264" s="1742"/>
      <c r="C264" s="1607" t="s">
        <v>1519</v>
      </c>
      <c r="D264" s="9029"/>
      <c r="E264" s="9030"/>
      <c r="F264" s="9030"/>
      <c r="G264" s="9000"/>
      <c r="H264" s="7339"/>
      <c r="I264" s="7340" t="s">
        <v>1518</v>
      </c>
      <c r="J264" s="7341"/>
      <c r="K264" s="7342"/>
      <c r="L264" s="7343"/>
      <c r="M264" s="1794"/>
      <c r="N264" s="537"/>
      <c r="O264" s="1544"/>
      <c r="P264" s="1544"/>
    </row>
    <row r="265" spans="1:16" s="1555" customFormat="1" ht="18.75" customHeight="1">
      <c r="A265" s="1742" t="s">
        <v>310</v>
      </c>
      <c r="B265" s="1742" t="s">
        <v>337</v>
      </c>
      <c r="C265" s="1607"/>
      <c r="D265" s="9029"/>
      <c r="E265" s="9030"/>
      <c r="F265" s="9030"/>
      <c r="G265" s="9000" t="str">
        <f>INDEX(PT_DIFFERENTIATION_NTAR,MATCH(B265,PT_DIFFERENTIATION_NTAR_ID,0))</f>
        <v>Подвоз воды потребителям хутора Павловка</v>
      </c>
      <c r="H265" s="1809"/>
      <c r="I265" s="1658">
        <v>45292</v>
      </c>
      <c r="J265" s="1693">
        <v>45657</v>
      </c>
      <c r="K265" s="1698">
        <f>565.44/1000</f>
        <v>0.56544000000000005</v>
      </c>
      <c r="L265" s="1809" t="s">
        <v>769</v>
      </c>
      <c r="M265" s="1794"/>
      <c r="N265" s="537"/>
      <c r="O265" s="1544"/>
      <c r="P265" s="1544"/>
    </row>
    <row r="266" spans="1:16" s="1555" customFormat="1" ht="18.75" customHeight="1">
      <c r="A266" s="1742"/>
      <c r="B266" s="1742"/>
      <c r="C266" s="1607" t="s">
        <v>1519</v>
      </c>
      <c r="D266" s="9029"/>
      <c r="E266" s="9030"/>
      <c r="F266" s="9030"/>
      <c r="G266" s="9000"/>
      <c r="H266" s="7344"/>
      <c r="I266" s="7345" t="s">
        <v>1518</v>
      </c>
      <c r="J266" s="7346"/>
      <c r="K266" s="7347"/>
      <c r="L266" s="7348"/>
      <c r="M266" s="1794"/>
      <c r="N266" s="537"/>
      <c r="O266" s="1544"/>
      <c r="P266" s="1544"/>
    </row>
    <row r="267" spans="1:16" s="1555" customFormat="1" ht="18.75" customHeight="1">
      <c r="A267" s="1742" t="s">
        <v>310</v>
      </c>
      <c r="B267" s="1742" t="s">
        <v>342</v>
      </c>
      <c r="C267" s="1607"/>
      <c r="D267" s="9029"/>
      <c r="E267" s="9030"/>
      <c r="F267" s="9030"/>
      <c r="G267" s="9000" t="str">
        <f>INDEX(PT_DIFFERENTIATION_NTAR,MATCH(B267,PT_DIFFERENTIATION_NTAR_ID,0))</f>
        <v>Подвоз воды потребителям хутора Весёлого</v>
      </c>
      <c r="H267" s="1809"/>
      <c r="I267" s="1658">
        <v>45292</v>
      </c>
      <c r="J267" s="1693">
        <v>45657</v>
      </c>
      <c r="K267" s="1698">
        <f>446.83/1000</f>
        <v>0.44683</v>
      </c>
      <c r="L267" s="1809" t="s">
        <v>769</v>
      </c>
      <c r="M267" s="1794"/>
      <c r="N267" s="537"/>
      <c r="O267" s="1544"/>
      <c r="P267" s="1544"/>
    </row>
    <row r="268" spans="1:16" s="1555" customFormat="1" ht="18.75" customHeight="1">
      <c r="A268" s="1742"/>
      <c r="B268" s="1742"/>
      <c r="C268" s="1607" t="s">
        <v>1519</v>
      </c>
      <c r="D268" s="9029"/>
      <c r="E268" s="9030"/>
      <c r="F268" s="9030"/>
      <c r="G268" s="9000"/>
      <c r="H268" s="7349"/>
      <c r="I268" s="7350" t="s">
        <v>1518</v>
      </c>
      <c r="J268" s="7351"/>
      <c r="K268" s="7352"/>
      <c r="L268" s="7353"/>
      <c r="M268" s="1794"/>
      <c r="N268" s="537"/>
      <c r="O268" s="1544"/>
      <c r="P268" s="1544"/>
    </row>
    <row r="269" spans="1:16" s="1555" customFormat="1" ht="18.75" customHeight="1">
      <c r="A269" s="1742" t="s">
        <v>310</v>
      </c>
      <c r="B269" s="1742" t="s">
        <v>347</v>
      </c>
      <c r="C269" s="1607"/>
      <c r="D269" s="9029"/>
      <c r="E269" s="9030"/>
      <c r="F269" s="9030"/>
      <c r="G269" s="9000" t="str">
        <f>INDEX(PT_DIFFERENTIATION_NTAR,MATCH(B269,PT_DIFFERENTIATION_NTAR_ID,0))</f>
        <v>Подвоз воды потребителям поселка Вишнёвого</v>
      </c>
      <c r="H269" s="1809"/>
      <c r="I269" s="1658">
        <v>45292</v>
      </c>
      <c r="J269" s="1693">
        <v>45657</v>
      </c>
      <c r="K269" s="1698">
        <f>420.04/1000</f>
        <v>0.42004000000000002</v>
      </c>
      <c r="L269" s="1809" t="s">
        <v>769</v>
      </c>
      <c r="M269" s="1794"/>
      <c r="N269" s="537"/>
      <c r="O269" s="1544"/>
      <c r="P269" s="1544"/>
    </row>
    <row r="270" spans="1:16" s="1555" customFormat="1" ht="18.75" customHeight="1">
      <c r="A270" s="1742"/>
      <c r="B270" s="1742"/>
      <c r="C270" s="1607" t="s">
        <v>1519</v>
      </c>
      <c r="D270" s="9029"/>
      <c r="E270" s="9030"/>
      <c r="F270" s="9030"/>
      <c r="G270" s="9000"/>
      <c r="H270" s="7354"/>
      <c r="I270" s="7355" t="s">
        <v>1518</v>
      </c>
      <c r="J270" s="7356"/>
      <c r="K270" s="7357"/>
      <c r="L270" s="7358"/>
      <c r="M270" s="1794"/>
      <c r="N270" s="537"/>
      <c r="O270" s="1544"/>
      <c r="P270" s="1544"/>
    </row>
    <row r="271" spans="1:16" s="1555" customFormat="1" ht="18.75" customHeight="1">
      <c r="A271" s="1742" t="s">
        <v>310</v>
      </c>
      <c r="B271" s="1742" t="s">
        <v>352</v>
      </c>
      <c r="C271" s="1607"/>
      <c r="D271" s="9029"/>
      <c r="E271" s="9030"/>
      <c r="F271" s="9030"/>
      <c r="G271" s="9000" t="str">
        <f>INDEX(PT_DIFFERENTIATION_NTAR,MATCH(B271,PT_DIFFERENTIATION_NTAR_ID,0))</f>
        <v>Подвоз воды потребителям поселка Степного</v>
      </c>
      <c r="H271" s="1809"/>
      <c r="I271" s="1658">
        <v>45292</v>
      </c>
      <c r="J271" s="1693">
        <v>45657</v>
      </c>
      <c r="K271" s="1698">
        <f>718.6/1000</f>
        <v>0.71860000000000002</v>
      </c>
      <c r="L271" s="1809" t="s">
        <v>769</v>
      </c>
      <c r="M271" s="1794"/>
      <c r="N271" s="537"/>
      <c r="O271" s="1544"/>
      <c r="P271" s="1544"/>
    </row>
    <row r="272" spans="1:16" s="1555" customFormat="1" ht="18.75" customHeight="1">
      <c r="A272" s="1742"/>
      <c r="B272" s="1742"/>
      <c r="C272" s="1607" t="s">
        <v>1519</v>
      </c>
      <c r="D272" s="9029"/>
      <c r="E272" s="9030"/>
      <c r="F272" s="9030"/>
      <c r="G272" s="9000"/>
      <c r="H272" s="7359"/>
      <c r="I272" s="7360" t="s">
        <v>1518</v>
      </c>
      <c r="J272" s="7361"/>
      <c r="K272" s="7362"/>
      <c r="L272" s="7363"/>
      <c r="M272" s="1794"/>
      <c r="N272" s="537"/>
      <c r="O272" s="1544"/>
      <c r="P272" s="1544"/>
    </row>
    <row r="273" spans="1:16" s="1555" customFormat="1" ht="18.75" customHeight="1">
      <c r="A273" s="1742" t="s">
        <v>310</v>
      </c>
      <c r="B273" s="1742" t="s">
        <v>357</v>
      </c>
      <c r="C273" s="1607"/>
      <c r="D273" s="9029"/>
      <c r="E273" s="9030"/>
      <c r="F273" s="9030"/>
      <c r="G273" s="9000" t="str">
        <f>INDEX(PT_DIFFERENTIATION_NTAR,MATCH(B273,PT_DIFFERENTIATION_NTAR_ID,0))</f>
        <v>Подвоз воды потребителям поселка Лугового</v>
      </c>
      <c r="H273" s="1809"/>
      <c r="I273" s="1658">
        <v>45292</v>
      </c>
      <c r="J273" s="1693">
        <v>45657</v>
      </c>
      <c r="K273" s="1698">
        <f>567.44/1000</f>
        <v>0.56744000000000006</v>
      </c>
      <c r="L273" s="1809" t="s">
        <v>769</v>
      </c>
      <c r="M273" s="1794"/>
      <c r="N273" s="537"/>
      <c r="O273" s="1544"/>
      <c r="P273" s="1544"/>
    </row>
    <row r="274" spans="1:16" s="1555" customFormat="1" ht="18.75" customHeight="1">
      <c r="A274" s="1742"/>
      <c r="B274" s="1742"/>
      <c r="C274" s="1607" t="s">
        <v>1519</v>
      </c>
      <c r="D274" s="9029"/>
      <c r="E274" s="9030"/>
      <c r="F274" s="9030"/>
      <c r="G274" s="9000"/>
      <c r="H274" s="7364"/>
      <c r="I274" s="7365" t="s">
        <v>1518</v>
      </c>
      <c r="J274" s="7366"/>
      <c r="K274" s="7367"/>
      <c r="L274" s="7368"/>
      <c r="M274" s="1794"/>
      <c r="N274" s="537"/>
      <c r="O274" s="1544"/>
      <c r="P274" s="1544"/>
    </row>
    <row r="275" spans="1:16" s="1555" customFormat="1" ht="18.75" customHeight="1">
      <c r="A275" s="1742" t="s">
        <v>310</v>
      </c>
      <c r="B275" s="1742" t="s">
        <v>362</v>
      </c>
      <c r="C275" s="1607"/>
      <c r="D275" s="9029"/>
      <c r="E275" s="9030"/>
      <c r="F275" s="9030"/>
      <c r="G275" s="9000" t="str">
        <f>INDEX(PT_DIFFERENTIATION_NTAR,MATCH(B275,PT_DIFFERENTIATION_NTAR_ID,0))</f>
        <v>Подвоз воды потребителям поселка Правобережного</v>
      </c>
      <c r="H275" s="1809"/>
      <c r="I275" s="1658">
        <v>45292</v>
      </c>
      <c r="J275" s="1693">
        <v>45657</v>
      </c>
      <c r="K275" s="1698">
        <f>477.74/1000</f>
        <v>0.47774</v>
      </c>
      <c r="L275" s="1809" t="s">
        <v>769</v>
      </c>
      <c r="M275" s="1794"/>
      <c r="N275" s="537"/>
      <c r="O275" s="1544"/>
      <c r="P275" s="1544"/>
    </row>
    <row r="276" spans="1:16" s="1555" customFormat="1" ht="18.75" customHeight="1">
      <c r="A276" s="1742"/>
      <c r="B276" s="1742"/>
      <c r="C276" s="1607" t="s">
        <v>1519</v>
      </c>
      <c r="D276" s="9029"/>
      <c r="E276" s="9030"/>
      <c r="F276" s="9030"/>
      <c r="G276" s="9000"/>
      <c r="H276" s="7369"/>
      <c r="I276" s="7370" t="s">
        <v>1518</v>
      </c>
      <c r="J276" s="7371"/>
      <c r="K276" s="7372"/>
      <c r="L276" s="7373"/>
      <c r="M276" s="1794"/>
      <c r="N276" s="537"/>
      <c r="O276" s="1544"/>
      <c r="P276" s="1544"/>
    </row>
    <row r="277" spans="1:16" s="1555" customFormat="1" ht="18.75" customHeight="1">
      <c r="A277" s="1742" t="s">
        <v>310</v>
      </c>
      <c r="B277" s="1742" t="s">
        <v>367</v>
      </c>
      <c r="C277" s="1607"/>
      <c r="D277" s="9029"/>
      <c r="E277" s="9030"/>
      <c r="F277" s="9030"/>
      <c r="G277" s="9000" t="str">
        <f>INDEX(PT_DIFFERENTIATION_NTAR,MATCH(B277,PT_DIFFERENTIATION_NTAR_ID,0))</f>
        <v>Подвоз воды потребителям хутора Добровольного</v>
      </c>
      <c r="H277" s="1809"/>
      <c r="I277" s="1658">
        <v>45292</v>
      </c>
      <c r="J277" s="1693">
        <v>45657</v>
      </c>
      <c r="K277" s="1698">
        <f>692.66/1000</f>
        <v>0.69265999999999994</v>
      </c>
      <c r="L277" s="1809" t="s">
        <v>769</v>
      </c>
      <c r="M277" s="1794"/>
      <c r="N277" s="537"/>
      <c r="O277" s="1544"/>
      <c r="P277" s="1544"/>
    </row>
    <row r="278" spans="1:16" s="1555" customFormat="1" ht="18.75" customHeight="1">
      <c r="A278" s="1742"/>
      <c r="B278" s="1742"/>
      <c r="C278" s="1607" t="s">
        <v>1519</v>
      </c>
      <c r="D278" s="9029"/>
      <c r="E278" s="9030"/>
      <c r="F278" s="9030"/>
      <c r="G278" s="9000"/>
      <c r="H278" s="7374"/>
      <c r="I278" s="7375" t="s">
        <v>1518</v>
      </c>
      <c r="J278" s="7376"/>
      <c r="K278" s="7377"/>
      <c r="L278" s="7378"/>
      <c r="M278" s="1794"/>
      <c r="N278" s="537"/>
      <c r="O278" s="1544"/>
      <c r="P278" s="1544"/>
    </row>
    <row r="279" spans="1:16" s="1555" customFormat="1" ht="18.75" customHeight="1">
      <c r="A279" s="1742" t="s">
        <v>310</v>
      </c>
      <c r="B279" s="1742" t="s">
        <v>372</v>
      </c>
      <c r="C279" s="1607"/>
      <c r="D279" s="9029"/>
      <c r="E279" s="9030"/>
      <c r="F279" s="9030"/>
      <c r="G279" s="9000" t="str">
        <f>INDEX(PT_DIFFERENTIATION_NTAR,MATCH(B279,PT_DIFFERENTIATION_NTAR_ID,0))</f>
        <v>Подвоз воды потребителям хутора Среднего</v>
      </c>
      <c r="H279" s="1809"/>
      <c r="I279" s="1658">
        <v>45292</v>
      </c>
      <c r="J279" s="1693">
        <v>45657</v>
      </c>
      <c r="K279" s="1698">
        <f>756.09/1000</f>
        <v>0.75609000000000004</v>
      </c>
      <c r="L279" s="1809" t="s">
        <v>769</v>
      </c>
      <c r="M279" s="1794"/>
      <c r="N279" s="537"/>
      <c r="O279" s="1544"/>
      <c r="P279" s="1544"/>
    </row>
    <row r="280" spans="1:16" s="1555" customFormat="1" ht="18.75" customHeight="1">
      <c r="A280" s="1742"/>
      <c r="B280" s="1742"/>
      <c r="C280" s="1607" t="s">
        <v>1519</v>
      </c>
      <c r="D280" s="9029"/>
      <c r="E280" s="9030"/>
      <c r="F280" s="9030"/>
      <c r="G280" s="9000"/>
      <c r="H280" s="7379"/>
      <c r="I280" s="7380" t="s">
        <v>1518</v>
      </c>
      <c r="J280" s="7381"/>
      <c r="K280" s="7382"/>
      <c r="L280" s="7383"/>
      <c r="M280" s="1794"/>
      <c r="N280" s="537"/>
      <c r="O280" s="1544"/>
      <c r="P280" s="1544"/>
    </row>
    <row r="281" spans="1:16" s="1555" customFormat="1" ht="18.75" customHeight="1">
      <c r="A281" s="1742" t="s">
        <v>310</v>
      </c>
      <c r="B281" s="1742" t="s">
        <v>377</v>
      </c>
      <c r="C281" s="1607"/>
      <c r="D281" s="9029"/>
      <c r="E281" s="9030"/>
      <c r="F281" s="9030"/>
      <c r="G281" s="9000" t="str">
        <f>INDEX(PT_DIFFERENTIATION_NTAR,MATCH(B281,PT_DIFFERENTIATION_NTAR_ID,0))</f>
        <v xml:space="preserve">Подвоз воды потребителям поселка Новобалтийского </v>
      </c>
      <c r="H281" s="1809"/>
      <c r="I281" s="1658">
        <v>45292</v>
      </c>
      <c r="J281" s="1693">
        <v>45657</v>
      </c>
      <c r="K281" s="1698">
        <f>552.92/1000</f>
        <v>0.55291999999999997</v>
      </c>
      <c r="L281" s="1809" t="s">
        <v>769</v>
      </c>
      <c r="M281" s="1794"/>
      <c r="N281" s="537"/>
      <c r="O281" s="1544"/>
      <c r="P281" s="1544"/>
    </row>
    <row r="282" spans="1:16" s="1555" customFormat="1" ht="18.75" customHeight="1">
      <c r="A282" s="1742"/>
      <c r="B282" s="1742"/>
      <c r="C282" s="1607" t="s">
        <v>1519</v>
      </c>
      <c r="D282" s="9029"/>
      <c r="E282" s="9030"/>
      <c r="F282" s="9030"/>
      <c r="G282" s="9000"/>
      <c r="H282" s="7384"/>
      <c r="I282" s="7385" t="s">
        <v>1518</v>
      </c>
      <c r="J282" s="7386"/>
      <c r="K282" s="7387"/>
      <c r="L282" s="7388"/>
      <c r="M282" s="1794"/>
      <c r="N282" s="537"/>
      <c r="O282" s="1544"/>
      <c r="P282" s="1544"/>
    </row>
    <row r="283" spans="1:16" s="1555" customFormat="1" ht="18.75" customHeight="1">
      <c r="A283" s="1742" t="s">
        <v>310</v>
      </c>
      <c r="B283" s="1742" t="s">
        <v>382</v>
      </c>
      <c r="C283" s="1607"/>
      <c r="D283" s="9029"/>
      <c r="E283" s="9030"/>
      <c r="F283" s="9030"/>
      <c r="G283" s="9000" t="str">
        <f>INDEX(PT_DIFFERENTIATION_NTAR,MATCH(B283,PT_DIFFERENTIATION_NTAR_ID,0))</f>
        <v>Подвоз воды потребителям хутора Берёзкина</v>
      </c>
      <c r="H283" s="1809"/>
      <c r="I283" s="1658">
        <v>45292</v>
      </c>
      <c r="J283" s="1693">
        <v>45657</v>
      </c>
      <c r="K283" s="1698">
        <f>803.41/1000</f>
        <v>0.80340999999999996</v>
      </c>
      <c r="L283" s="1809" t="s">
        <v>769</v>
      </c>
      <c r="M283" s="1794"/>
      <c r="N283" s="537"/>
      <c r="O283" s="1544"/>
      <c r="P283" s="1544"/>
    </row>
    <row r="284" spans="1:16" s="1555" customFormat="1" ht="18.75" customHeight="1">
      <c r="A284" s="1742"/>
      <c r="B284" s="1742"/>
      <c r="C284" s="1607" t="s">
        <v>1519</v>
      </c>
      <c r="D284" s="9029"/>
      <c r="E284" s="9030"/>
      <c r="F284" s="9030"/>
      <c r="G284" s="9000"/>
      <c r="H284" s="7389"/>
      <c r="I284" s="7390" t="s">
        <v>1518</v>
      </c>
      <c r="J284" s="7391"/>
      <c r="K284" s="7392"/>
      <c r="L284" s="7393"/>
      <c r="M284" s="1794"/>
      <c r="N284" s="537"/>
      <c r="O284" s="1544"/>
      <c r="P284" s="1544"/>
    </row>
    <row r="285" spans="1:16" s="1555" customFormat="1" ht="18.75" customHeight="1">
      <c r="A285" s="1742" t="s">
        <v>310</v>
      </c>
      <c r="B285" s="1742" t="s">
        <v>387</v>
      </c>
      <c r="C285" s="1607"/>
      <c r="D285" s="9029"/>
      <c r="E285" s="9030"/>
      <c r="F285" s="9030"/>
      <c r="G285" s="9000" t="str">
        <f>INDEX(PT_DIFFERENTIATION_NTAR,MATCH(B285,PT_DIFFERENTIATION_NTAR_ID,0))</f>
        <v>Подвоз воды потребителям поселка Бурунного</v>
      </c>
      <c r="H285" s="1809"/>
      <c r="I285" s="1658">
        <v>45292</v>
      </c>
      <c r="J285" s="1693">
        <v>45657</v>
      </c>
      <c r="K285" s="1698">
        <f>465.19/1000</f>
        <v>0.46518999999999999</v>
      </c>
      <c r="L285" s="1809" t="s">
        <v>769</v>
      </c>
      <c r="M285" s="1794"/>
      <c r="N285" s="537"/>
      <c r="O285" s="1544"/>
      <c r="P285" s="1544"/>
    </row>
    <row r="286" spans="1:16" s="1555" customFormat="1" ht="18.75" customHeight="1">
      <c r="A286" s="1742"/>
      <c r="B286" s="1742"/>
      <c r="C286" s="1607" t="s">
        <v>1519</v>
      </c>
      <c r="D286" s="9029"/>
      <c r="E286" s="9030"/>
      <c r="F286" s="9030"/>
      <c r="G286" s="9000"/>
      <c r="H286" s="7394"/>
      <c r="I286" s="7395" t="s">
        <v>1518</v>
      </c>
      <c r="J286" s="7396"/>
      <c r="K286" s="7397"/>
      <c r="L286" s="7398"/>
      <c r="M286" s="1794"/>
      <c r="N286" s="537"/>
      <c r="O286" s="1544"/>
      <c r="P286" s="1544"/>
    </row>
    <row r="287" spans="1:16" s="1555" customFormat="1" ht="18.75" customHeight="1">
      <c r="A287" s="1742" t="s">
        <v>310</v>
      </c>
      <c r="B287" s="1742" t="s">
        <v>392</v>
      </c>
      <c r="C287" s="1607"/>
      <c r="D287" s="9029"/>
      <c r="E287" s="9030"/>
      <c r="F287" s="9030"/>
      <c r="G287" s="9000" t="str">
        <f>INDEX(PT_DIFFERENTIATION_NTAR,MATCH(B287,PT_DIFFERENTIATION_NTAR_ID,0))</f>
        <v>Подвоз воды потребителям поселка Мирного</v>
      </c>
      <c r="H287" s="1809"/>
      <c r="I287" s="1658">
        <v>45292</v>
      </c>
      <c r="J287" s="1693">
        <v>45657</v>
      </c>
      <c r="K287" s="1698">
        <f>364.38/1000</f>
        <v>0.36437999999999998</v>
      </c>
      <c r="L287" s="1809" t="s">
        <v>769</v>
      </c>
      <c r="M287" s="1794"/>
      <c r="N287" s="537"/>
      <c r="O287" s="1544"/>
      <c r="P287" s="1544"/>
    </row>
    <row r="288" spans="1:16" s="1555" customFormat="1" ht="18.75" customHeight="1">
      <c r="A288" s="1742"/>
      <c r="B288" s="1742"/>
      <c r="C288" s="1607" t="s">
        <v>1519</v>
      </c>
      <c r="D288" s="9029"/>
      <c r="E288" s="9030"/>
      <c r="F288" s="9030"/>
      <c r="G288" s="9000"/>
      <c r="H288" s="7399"/>
      <c r="I288" s="7400" t="s">
        <v>1518</v>
      </c>
      <c r="J288" s="7401"/>
      <c r="K288" s="7402"/>
      <c r="L288" s="7403"/>
      <c r="M288" s="1794"/>
      <c r="N288" s="537"/>
      <c r="O288" s="1544"/>
      <c r="P288" s="1544"/>
    </row>
    <row r="289" spans="1:16" s="1555" customFormat="1" ht="18.75" customHeight="1">
      <c r="A289" s="1742" t="s">
        <v>310</v>
      </c>
      <c r="B289" s="1742" t="s">
        <v>397</v>
      </c>
      <c r="C289" s="1607"/>
      <c r="D289" s="9029"/>
      <c r="E289" s="9030"/>
      <c r="F289" s="9030"/>
      <c r="G289" s="9000" t="str">
        <f>INDEX(PT_DIFFERENTIATION_NTAR,MATCH(B289,PT_DIFFERENTIATION_NTAR_ID,0))</f>
        <v>Подвоз воды потребителям поселка Ага-Батыр</v>
      </c>
      <c r="H289" s="1809"/>
      <c r="I289" s="1658">
        <v>45292</v>
      </c>
      <c r="J289" s="1693">
        <v>45657</v>
      </c>
      <c r="K289" s="1698">
        <f>315.18/1000</f>
        <v>0.31518000000000002</v>
      </c>
      <c r="L289" s="1809" t="s">
        <v>769</v>
      </c>
      <c r="M289" s="1794"/>
      <c r="N289" s="537"/>
      <c r="O289" s="1544"/>
      <c r="P289" s="1544"/>
    </row>
    <row r="290" spans="1:16" s="1555" customFormat="1" ht="18.75" customHeight="1">
      <c r="A290" s="1742"/>
      <c r="B290" s="1742"/>
      <c r="C290" s="1607" t="s">
        <v>1519</v>
      </c>
      <c r="D290" s="9029"/>
      <c r="E290" s="9030"/>
      <c r="F290" s="9030"/>
      <c r="G290" s="9000"/>
      <c r="H290" s="7404"/>
      <c r="I290" s="7405" t="s">
        <v>1518</v>
      </c>
      <c r="J290" s="7406"/>
      <c r="K290" s="7407"/>
      <c r="L290" s="7408"/>
      <c r="M290" s="1794"/>
      <c r="N290" s="537"/>
      <c r="O290" s="1544"/>
      <c r="P290" s="1544"/>
    </row>
    <row r="291" spans="1:16" s="1555" customFormat="1" ht="18.75" customHeight="1">
      <c r="A291" s="1742" t="s">
        <v>310</v>
      </c>
      <c r="B291" s="1742" t="s">
        <v>402</v>
      </c>
      <c r="C291" s="1607"/>
      <c r="D291" s="9029"/>
      <c r="E291" s="9030"/>
      <c r="F291" s="9030"/>
      <c r="G291" s="9000" t="str">
        <f>INDEX(PT_DIFFERENTIATION_NTAR,MATCH(B291,PT_DIFFERENTIATION_NTAR_ID,0))</f>
        <v>Подвоз воды потребителям хутора Кировского</v>
      </c>
      <c r="H291" s="1809"/>
      <c r="I291" s="1658">
        <v>45292</v>
      </c>
      <c r="J291" s="1693">
        <v>45657</v>
      </c>
      <c r="K291" s="1698">
        <f>312.08/1000</f>
        <v>0.31207999999999997</v>
      </c>
      <c r="L291" s="1809" t="s">
        <v>769</v>
      </c>
      <c r="M291" s="1794"/>
      <c r="N291" s="537"/>
      <c r="O291" s="1544"/>
      <c r="P291" s="1544"/>
    </row>
    <row r="292" spans="1:16" s="1555" customFormat="1" ht="18.75" customHeight="1">
      <c r="A292" s="1742"/>
      <c r="B292" s="1742"/>
      <c r="C292" s="1607" t="s">
        <v>1519</v>
      </c>
      <c r="D292" s="9029"/>
      <c r="E292" s="9030"/>
      <c r="F292" s="9030"/>
      <c r="G292" s="9000"/>
      <c r="H292" s="7409"/>
      <c r="I292" s="7410" t="s">
        <v>1518</v>
      </c>
      <c r="J292" s="7411"/>
      <c r="K292" s="7412"/>
      <c r="L292" s="7413"/>
      <c r="M292" s="1794"/>
      <c r="N292" s="537"/>
      <c r="O292" s="1544"/>
      <c r="P292" s="1544"/>
    </row>
    <row r="293" spans="1:16" s="1555" customFormat="1" ht="18.75" customHeight="1">
      <c r="A293" s="1742" t="s">
        <v>310</v>
      </c>
      <c r="B293" s="1742" t="s">
        <v>407</v>
      </c>
      <c r="C293" s="1607"/>
      <c r="D293" s="9029"/>
      <c r="E293" s="9030"/>
      <c r="F293" s="9030"/>
      <c r="G293" s="9000" t="str">
        <f>INDEX(PT_DIFFERENTIATION_NTAR,MATCH(B293,PT_DIFFERENTIATION_NTAR_ID,0))</f>
        <v>Подвоз воды потребителям хутора Моздокского</v>
      </c>
      <c r="H293" s="1809"/>
      <c r="I293" s="1658">
        <v>45292</v>
      </c>
      <c r="J293" s="1693">
        <v>45657</v>
      </c>
      <c r="K293" s="1698">
        <f>279.74/1000</f>
        <v>0.27973999999999999</v>
      </c>
      <c r="L293" s="1809" t="s">
        <v>769</v>
      </c>
      <c r="M293" s="1794"/>
      <c r="N293" s="537"/>
      <c r="O293" s="1544"/>
      <c r="P293" s="1544"/>
    </row>
    <row r="294" spans="1:16" s="1555" customFormat="1" ht="18.75" customHeight="1">
      <c r="A294" s="1742"/>
      <c r="B294" s="1742"/>
      <c r="C294" s="1607" t="s">
        <v>1519</v>
      </c>
      <c r="D294" s="9029"/>
      <c r="E294" s="9030"/>
      <c r="F294" s="9030"/>
      <c r="G294" s="9000"/>
      <c r="H294" s="7414"/>
      <c r="I294" s="7415" t="s">
        <v>1518</v>
      </c>
      <c r="J294" s="7416"/>
      <c r="K294" s="7417"/>
      <c r="L294" s="7418"/>
      <c r="M294" s="1794"/>
      <c r="N294" s="537"/>
      <c r="O294" s="1544"/>
      <c r="P294" s="1544"/>
    </row>
    <row r="295" spans="1:16" s="1555" customFormat="1" ht="18.75" customHeight="1">
      <c r="A295" s="1742" t="s">
        <v>310</v>
      </c>
      <c r="B295" s="1742" t="s">
        <v>412</v>
      </c>
      <c r="C295" s="1607"/>
      <c r="D295" s="9029"/>
      <c r="E295" s="9030"/>
      <c r="F295" s="9030"/>
      <c r="G295" s="9000" t="str">
        <f>INDEX(PT_DIFFERENTIATION_NTAR,MATCH(B295,PT_DIFFERENTIATION_NTAR_ID,0))</f>
        <v>Подвоз воды потребителям поселка Южанин</v>
      </c>
      <c r="H295" s="1809"/>
      <c r="I295" s="1658">
        <v>45292</v>
      </c>
      <c r="J295" s="1693">
        <v>45657</v>
      </c>
      <c r="K295" s="1698">
        <f>690.56/1000</f>
        <v>0.69055999999999995</v>
      </c>
      <c r="L295" s="1809" t="s">
        <v>769</v>
      </c>
      <c r="M295" s="1794"/>
      <c r="N295" s="537"/>
      <c r="O295" s="1544"/>
      <c r="P295" s="1544"/>
    </row>
    <row r="296" spans="1:16" s="1555" customFormat="1" ht="18.75" customHeight="1">
      <c r="A296" s="1742"/>
      <c r="B296" s="1742"/>
      <c r="C296" s="1607" t="s">
        <v>1519</v>
      </c>
      <c r="D296" s="9029"/>
      <c r="E296" s="9030"/>
      <c r="F296" s="9030"/>
      <c r="G296" s="9000"/>
      <c r="H296" s="7419"/>
      <c r="I296" s="7420" t="s">
        <v>1518</v>
      </c>
      <c r="J296" s="7421"/>
      <c r="K296" s="7422"/>
      <c r="L296" s="7423"/>
      <c r="M296" s="1794"/>
      <c r="N296" s="537"/>
      <c r="O296" s="1544"/>
      <c r="P296" s="1544"/>
    </row>
    <row r="297" spans="1:16" s="1555" customFormat="1" ht="18.75" customHeight="1">
      <c r="A297" s="1742" t="s">
        <v>310</v>
      </c>
      <c r="B297" s="1742" t="s">
        <v>418</v>
      </c>
      <c r="C297" s="1607"/>
      <c r="D297" s="9029"/>
      <c r="E297" s="9030"/>
      <c r="F297" s="9030"/>
      <c r="G297" s="9000" t="str">
        <f>INDEX(PT_DIFFERENTIATION_NTAR,MATCH(B297,PT_DIFFERENTIATION_NTAR_ID,0))</f>
        <v>Подвоз воды потребителям поселка Совхозного</v>
      </c>
      <c r="H297" s="1809"/>
      <c r="I297" s="1658">
        <v>45292</v>
      </c>
      <c r="J297" s="1693">
        <v>45657</v>
      </c>
      <c r="K297" s="1698">
        <f>607.98/1000</f>
        <v>0.60797999999999996</v>
      </c>
      <c r="L297" s="1809" t="s">
        <v>769</v>
      </c>
      <c r="M297" s="1794"/>
      <c r="N297" s="537"/>
      <c r="O297" s="1544"/>
      <c r="P297" s="1544"/>
    </row>
    <row r="298" spans="1:16" s="1555" customFormat="1" ht="18.75" customHeight="1">
      <c r="A298" s="1742"/>
      <c r="B298" s="1742"/>
      <c r="C298" s="1607" t="s">
        <v>1519</v>
      </c>
      <c r="D298" s="9029"/>
      <c r="E298" s="9030"/>
      <c r="F298" s="9030"/>
      <c r="G298" s="9000"/>
      <c r="H298" s="7424"/>
      <c r="I298" s="7425" t="s">
        <v>1518</v>
      </c>
      <c r="J298" s="7426"/>
      <c r="K298" s="7427"/>
      <c r="L298" s="7428"/>
      <c r="M298" s="1794"/>
      <c r="N298" s="537"/>
      <c r="O298" s="1544"/>
      <c r="P298" s="1544"/>
    </row>
    <row r="299" spans="1:16" s="1555" customFormat="1" ht="18.75" customHeight="1">
      <c r="A299" s="1742" t="s">
        <v>310</v>
      </c>
      <c r="B299" s="1742" t="s">
        <v>424</v>
      </c>
      <c r="C299" s="1607"/>
      <c r="D299" s="9029"/>
      <c r="E299" s="9030"/>
      <c r="F299" s="9030"/>
      <c r="G299" s="9000" t="str">
        <f>INDEX(PT_DIFFERENTIATION_NTAR,MATCH(B299,PT_DIFFERENTIATION_NTAR_ID,0))</f>
        <v>Подвоз воды потребителям поселка Песчаного</v>
      </c>
      <c r="H299" s="1809"/>
      <c r="I299" s="1658">
        <v>45292</v>
      </c>
      <c r="J299" s="1693">
        <v>45657</v>
      </c>
      <c r="K299" s="1698">
        <f>800.66/1000</f>
        <v>0.80065999999999993</v>
      </c>
      <c r="L299" s="1809" t="s">
        <v>769</v>
      </c>
      <c r="M299" s="1794"/>
      <c r="N299" s="537"/>
      <c r="O299" s="1544"/>
      <c r="P299" s="1544"/>
    </row>
    <row r="300" spans="1:16" s="1555" customFormat="1" ht="18.75" customHeight="1">
      <c r="A300" s="1742"/>
      <c r="B300" s="1742"/>
      <c r="C300" s="1607" t="s">
        <v>1519</v>
      </c>
      <c r="D300" s="9029"/>
      <c r="E300" s="9030"/>
      <c r="F300" s="9030"/>
      <c r="G300" s="9000"/>
      <c r="H300" s="7429"/>
      <c r="I300" s="7430" t="s">
        <v>1518</v>
      </c>
      <c r="J300" s="7431"/>
      <c r="K300" s="7432"/>
      <c r="L300" s="7433"/>
      <c r="M300" s="1794"/>
      <c r="N300" s="537"/>
      <c r="O300" s="1544"/>
      <c r="P300" s="1544"/>
    </row>
    <row r="301" spans="1:16" s="1555" customFormat="1" ht="18.75" customHeight="1">
      <c r="A301" s="1742" t="s">
        <v>310</v>
      </c>
      <c r="B301" s="1742" t="s">
        <v>429</v>
      </c>
      <c r="C301" s="1607"/>
      <c r="D301" s="9029"/>
      <c r="E301" s="9030"/>
      <c r="F301" s="9030"/>
      <c r="G301" s="9000" t="str">
        <f>INDEX(PT_DIFFERENTIATION_NTAR,MATCH(B301,PT_DIFFERENTIATION_NTAR_ID,0))</f>
        <v>Подвоз воды потребителям аула Али-Кую</v>
      </c>
      <c r="H301" s="1809"/>
      <c r="I301" s="1658">
        <v>45292</v>
      </c>
      <c r="J301" s="1693">
        <v>45657</v>
      </c>
      <c r="K301" s="1698">
        <f>700.2/1000</f>
        <v>0.70020000000000004</v>
      </c>
      <c r="L301" s="1809" t="s">
        <v>769</v>
      </c>
      <c r="M301" s="1794"/>
      <c r="N301" s="537"/>
      <c r="O301" s="1544"/>
      <c r="P301" s="1544"/>
    </row>
    <row r="302" spans="1:16" s="1555" customFormat="1" ht="18.75" customHeight="1">
      <c r="A302" s="1742"/>
      <c r="B302" s="1742"/>
      <c r="C302" s="1607" t="s">
        <v>1519</v>
      </c>
      <c r="D302" s="9029"/>
      <c r="E302" s="9030"/>
      <c r="F302" s="9030"/>
      <c r="G302" s="9000"/>
      <c r="H302" s="7434"/>
      <c r="I302" s="7435" t="s">
        <v>1518</v>
      </c>
      <c r="J302" s="7436"/>
      <c r="K302" s="7437"/>
      <c r="L302" s="7438"/>
      <c r="M302" s="1794"/>
      <c r="N302" s="537"/>
      <c r="O302" s="1544"/>
      <c r="P302" s="1544"/>
    </row>
    <row r="303" spans="1:16" s="1555" customFormat="1" ht="18.75" customHeight="1">
      <c r="A303" s="1742" t="s">
        <v>310</v>
      </c>
      <c r="B303" s="1742" t="s">
        <v>435</v>
      </c>
      <c r="C303" s="1607"/>
      <c r="D303" s="9029"/>
      <c r="E303" s="9030"/>
      <c r="F303" s="9030"/>
      <c r="G303" s="9000" t="str">
        <f>INDEX(PT_DIFFERENTIATION_NTAR,MATCH(B303,PT_DIFFERENTIATION_NTAR_ID,0))</f>
        <v>Подвоз воды потребителям села Серноводского</v>
      </c>
      <c r="H303" s="1809"/>
      <c r="I303" s="1658">
        <v>45292</v>
      </c>
      <c r="J303" s="1693">
        <v>45657</v>
      </c>
      <c r="K303" s="1698">
        <f>663.03/1000</f>
        <v>0.66303000000000001</v>
      </c>
      <c r="L303" s="1809" t="s">
        <v>769</v>
      </c>
      <c r="M303" s="1794"/>
      <c r="N303" s="537"/>
      <c r="O303" s="1544"/>
      <c r="P303" s="1544"/>
    </row>
    <row r="304" spans="1:16" s="1555" customFormat="1" ht="18.75" customHeight="1">
      <c r="A304" s="1742"/>
      <c r="B304" s="1742"/>
      <c r="C304" s="1607" t="s">
        <v>1519</v>
      </c>
      <c r="D304" s="9029"/>
      <c r="E304" s="9030"/>
      <c r="F304" s="9030"/>
      <c r="G304" s="9000"/>
      <c r="H304" s="7439"/>
      <c r="I304" s="7440" t="s">
        <v>1518</v>
      </c>
      <c r="J304" s="7441"/>
      <c r="K304" s="7442"/>
      <c r="L304" s="7443"/>
      <c r="M304" s="1794"/>
      <c r="N304" s="537"/>
      <c r="O304" s="1544"/>
      <c r="P304" s="1544"/>
    </row>
    <row r="305" spans="1:16" s="1555" customFormat="1" ht="18.75" customHeight="1">
      <c r="A305" s="1742" t="s">
        <v>310</v>
      </c>
      <c r="B305" s="1742" t="s">
        <v>441</v>
      </c>
      <c r="C305" s="1607"/>
      <c r="D305" s="9029"/>
      <c r="E305" s="9030"/>
      <c r="F305" s="9030"/>
      <c r="G305" s="9000" t="str">
        <f>INDEX(PT_DIFFERENTIATION_NTAR,MATCH(B305,PT_DIFFERENTIATION_NTAR_ID,0))</f>
        <v>Подвоз воды потребителям хутора Медведева</v>
      </c>
      <c r="H305" s="1809"/>
      <c r="I305" s="1658">
        <v>45292</v>
      </c>
      <c r="J305" s="1693">
        <v>45657</v>
      </c>
      <c r="K305" s="1698">
        <f>552.92/1000</f>
        <v>0.55291999999999997</v>
      </c>
      <c r="L305" s="1809" t="s">
        <v>769</v>
      </c>
      <c r="M305" s="1794"/>
      <c r="N305" s="537"/>
      <c r="O305" s="1544"/>
      <c r="P305" s="1544"/>
    </row>
    <row r="306" spans="1:16" s="1555" customFormat="1" ht="18.75" customHeight="1">
      <c r="A306" s="1742"/>
      <c r="B306" s="1742"/>
      <c r="C306" s="1607" t="s">
        <v>1519</v>
      </c>
      <c r="D306" s="9029"/>
      <c r="E306" s="9030"/>
      <c r="F306" s="9030"/>
      <c r="G306" s="9000"/>
      <c r="H306" s="7444"/>
      <c r="I306" s="7445" t="s">
        <v>1518</v>
      </c>
      <c r="J306" s="7446"/>
      <c r="K306" s="7447"/>
      <c r="L306" s="7448"/>
      <c r="M306" s="1794"/>
      <c r="N306" s="537"/>
      <c r="O306" s="1544"/>
      <c r="P306" s="1544"/>
    </row>
    <row r="307" spans="1:16" s="1555" customFormat="1" ht="18.75" customHeight="1">
      <c r="A307" s="1742" t="s">
        <v>310</v>
      </c>
      <c r="B307" s="1742" t="s">
        <v>447</v>
      </c>
      <c r="C307" s="1607"/>
      <c r="D307" s="9029"/>
      <c r="E307" s="9030"/>
      <c r="F307" s="9030"/>
      <c r="G307" s="9000" t="str">
        <f>INDEX(PT_DIFFERENTIATION_NTAR,MATCH(B307,PT_DIFFERENTIATION_NTAR_ID,0))</f>
        <v>Подвоз воды потребителям хутора Графского</v>
      </c>
      <c r="H307" s="1809"/>
      <c r="I307" s="1658">
        <v>45292</v>
      </c>
      <c r="J307" s="1693">
        <v>45657</v>
      </c>
      <c r="K307" s="1698">
        <f>587.33/1000</f>
        <v>0.58733000000000002</v>
      </c>
      <c r="L307" s="1809" t="s">
        <v>769</v>
      </c>
      <c r="M307" s="1794"/>
      <c r="N307" s="537"/>
      <c r="O307" s="1544"/>
      <c r="P307" s="1544"/>
    </row>
    <row r="308" spans="1:16" s="1555" customFormat="1" ht="18.75" customHeight="1">
      <c r="A308" s="1742"/>
      <c r="B308" s="1742"/>
      <c r="C308" s="1607" t="s">
        <v>1519</v>
      </c>
      <c r="D308" s="9029"/>
      <c r="E308" s="9030"/>
      <c r="F308" s="9030"/>
      <c r="G308" s="9000"/>
      <c r="H308" s="7449"/>
      <c r="I308" s="7450" t="s">
        <v>1518</v>
      </c>
      <c r="J308" s="7451"/>
      <c r="K308" s="7452"/>
      <c r="L308" s="7453"/>
      <c r="M308" s="1794"/>
      <c r="N308" s="537"/>
      <c r="O308" s="1544"/>
      <c r="P308" s="1544"/>
    </row>
    <row r="309" spans="1:16" s="1555" customFormat="1" ht="18.75" customHeight="1">
      <c r="A309" s="1742" t="s">
        <v>310</v>
      </c>
      <c r="B309" s="1742" t="s">
        <v>453</v>
      </c>
      <c r="C309" s="1607"/>
      <c r="D309" s="9029"/>
      <c r="E309" s="9030"/>
      <c r="F309" s="9030"/>
      <c r="G309" s="9000" t="str">
        <f>INDEX(PT_DIFFERENTIATION_NTAR,MATCH(B309,PT_DIFFERENTIATION_NTAR_ID,0))</f>
        <v>Подвоз воды потребителям хутора Бугулова</v>
      </c>
      <c r="H309" s="1809"/>
      <c r="I309" s="1658">
        <v>45292</v>
      </c>
      <c r="J309" s="1693">
        <v>45657</v>
      </c>
      <c r="K309" s="1698">
        <f>552.92/1000</f>
        <v>0.55291999999999997</v>
      </c>
      <c r="L309" s="1809" t="s">
        <v>769</v>
      </c>
      <c r="M309" s="1794"/>
      <c r="N309" s="537"/>
      <c r="O309" s="1544"/>
      <c r="P309" s="1544"/>
    </row>
    <row r="310" spans="1:16" s="1555" customFormat="1" ht="18.75" customHeight="1">
      <c r="A310" s="1742"/>
      <c r="B310" s="1742"/>
      <c r="C310" s="1607" t="s">
        <v>1519</v>
      </c>
      <c r="D310" s="9029"/>
      <c r="E310" s="9030"/>
      <c r="F310" s="9030"/>
      <c r="G310" s="9000"/>
      <c r="H310" s="7454"/>
      <c r="I310" s="7455" t="s">
        <v>1518</v>
      </c>
      <c r="J310" s="7456"/>
      <c r="K310" s="7457"/>
      <c r="L310" s="7458"/>
      <c r="M310" s="1794"/>
      <c r="N310" s="537"/>
      <c r="O310" s="1544"/>
      <c r="P310" s="1544"/>
    </row>
    <row r="311" spans="1:16" s="1555" customFormat="1" ht="18.75" customHeight="1">
      <c r="A311" s="1742" t="s">
        <v>310</v>
      </c>
      <c r="B311" s="1742" t="s">
        <v>459</v>
      </c>
      <c r="C311" s="1607"/>
      <c r="D311" s="9029"/>
      <c r="E311" s="9030"/>
      <c r="F311" s="9030"/>
      <c r="G311" s="9000" t="str">
        <f>INDEX(PT_DIFFERENTIATION_NTAR,MATCH(B311,PT_DIFFERENTIATION_NTAR_ID,0))</f>
        <v>Подвоз воды потребителям хутора Горного</v>
      </c>
      <c r="H311" s="1809"/>
      <c r="I311" s="1658">
        <v>45292</v>
      </c>
      <c r="J311" s="1693">
        <v>45657</v>
      </c>
      <c r="K311" s="1698">
        <f>392.96/1000</f>
        <v>0.39295999999999998</v>
      </c>
      <c r="L311" s="1809" t="s">
        <v>769</v>
      </c>
      <c r="M311" s="1794"/>
      <c r="N311" s="537"/>
      <c r="O311" s="1544"/>
      <c r="P311" s="1544"/>
    </row>
    <row r="312" spans="1:16" s="1555" customFormat="1" ht="18.75" customHeight="1">
      <c r="A312" s="1742"/>
      <c r="B312" s="1742"/>
      <c r="C312" s="1607" t="s">
        <v>1519</v>
      </c>
      <c r="D312" s="9029"/>
      <c r="E312" s="9030"/>
      <c r="F312" s="9030"/>
      <c r="G312" s="9000"/>
      <c r="H312" s="7459"/>
      <c r="I312" s="7460" t="s">
        <v>1518</v>
      </c>
      <c r="J312" s="7461"/>
      <c r="K312" s="7462"/>
      <c r="L312" s="7463"/>
      <c r="M312" s="1794"/>
      <c r="N312" s="537"/>
      <c r="O312" s="1544"/>
      <c r="P312" s="1544"/>
    </row>
    <row r="313" spans="1:16" s="1555" customFormat="1" ht="18.75" customHeight="1">
      <c r="A313" s="1742" t="s">
        <v>310</v>
      </c>
      <c r="B313" s="1742" t="s">
        <v>465</v>
      </c>
      <c r="C313" s="1607"/>
      <c r="D313" s="9029"/>
      <c r="E313" s="9030"/>
      <c r="F313" s="9030"/>
      <c r="G313" s="9000" t="str">
        <f>INDEX(PT_DIFFERENTIATION_NTAR,MATCH(B313,PT_DIFFERENTIATION_NTAR_ID,0))</f>
        <v>Подвоз воды потребителям села Падинского</v>
      </c>
      <c r="H313" s="1809"/>
      <c r="I313" s="1658">
        <v>45292</v>
      </c>
      <c r="J313" s="1693">
        <v>45657</v>
      </c>
      <c r="K313" s="1698">
        <f>446.08/1000</f>
        <v>0.44607999999999998</v>
      </c>
      <c r="L313" s="1809" t="s">
        <v>769</v>
      </c>
      <c r="M313" s="1794"/>
      <c r="N313" s="537"/>
      <c r="O313" s="1544"/>
      <c r="P313" s="1544"/>
    </row>
    <row r="314" spans="1:16" s="1555" customFormat="1" ht="18.75" customHeight="1">
      <c r="A314" s="1742"/>
      <c r="B314" s="1742"/>
      <c r="C314" s="1607" t="s">
        <v>1519</v>
      </c>
      <c r="D314" s="9029"/>
      <c r="E314" s="9030"/>
      <c r="F314" s="9030"/>
      <c r="G314" s="9000"/>
      <c r="H314" s="7464"/>
      <c r="I314" s="7465" t="s">
        <v>1518</v>
      </c>
      <c r="J314" s="7466"/>
      <c r="K314" s="7467"/>
      <c r="L314" s="7468"/>
      <c r="M314" s="1794"/>
      <c r="N314" s="537"/>
      <c r="O314" s="1544"/>
      <c r="P314" s="1544"/>
    </row>
    <row r="315" spans="1:16" s="1555" customFormat="1" ht="18.75" customHeight="1">
      <c r="A315" s="1742" t="s">
        <v>310</v>
      </c>
      <c r="B315" s="1742" t="s">
        <v>471</v>
      </c>
      <c r="C315" s="1607"/>
      <c r="D315" s="9029"/>
      <c r="E315" s="9030"/>
      <c r="F315" s="9030"/>
      <c r="G315" s="9000" t="str">
        <f>INDEX(PT_DIFFERENTIATION_NTAR,MATCH(B315,PT_DIFFERENTIATION_NTAR_ID,0))</f>
        <v>Подвоз воды потребителям поселка Садовая Долина</v>
      </c>
      <c r="H315" s="1809"/>
      <c r="I315" s="1658">
        <v>45292</v>
      </c>
      <c r="J315" s="1693">
        <v>45657</v>
      </c>
      <c r="K315" s="1698">
        <f>305.77/1000</f>
        <v>0.30576999999999999</v>
      </c>
      <c r="L315" s="1809" t="s">
        <v>769</v>
      </c>
      <c r="M315" s="1794"/>
      <c r="N315" s="537"/>
      <c r="O315" s="1544"/>
      <c r="P315" s="1544"/>
    </row>
    <row r="316" spans="1:16" s="1555" customFormat="1" ht="18.75" customHeight="1">
      <c r="A316" s="1742"/>
      <c r="B316" s="1742"/>
      <c r="C316" s="1607" t="s">
        <v>1519</v>
      </c>
      <c r="D316" s="9029"/>
      <c r="E316" s="9030"/>
      <c r="F316" s="9030"/>
      <c r="G316" s="9000"/>
      <c r="H316" s="7469"/>
      <c r="I316" s="7470" t="s">
        <v>1518</v>
      </c>
      <c r="J316" s="7471"/>
      <c r="K316" s="7472"/>
      <c r="L316" s="7473"/>
      <c r="M316" s="1794"/>
      <c r="N316" s="537"/>
      <c r="O316" s="1544"/>
      <c r="P316" s="1544"/>
    </row>
    <row r="317" spans="1:16" s="1555" customFormat="1" ht="18.75" customHeight="1">
      <c r="A317" s="1742" t="s">
        <v>310</v>
      </c>
      <c r="B317" s="1742" t="s">
        <v>477</v>
      </c>
      <c r="C317" s="1607"/>
      <c r="D317" s="9029"/>
      <c r="E317" s="9030"/>
      <c r="F317" s="9030"/>
      <c r="G317" s="9000" t="str">
        <f>INDEX(PT_DIFFERENTIATION_NTAR,MATCH(B317,PT_DIFFERENTIATION_NTAR_ID,0))</f>
        <v>Подвоз воды потребителям хутора Новоборгустанского</v>
      </c>
      <c r="H317" s="1809"/>
      <c r="I317" s="1658">
        <v>45292</v>
      </c>
      <c r="J317" s="1693">
        <v>45657</v>
      </c>
      <c r="K317" s="1698">
        <f>451.89/1000</f>
        <v>0.45189000000000001</v>
      </c>
      <c r="L317" s="1809" t="s">
        <v>769</v>
      </c>
      <c r="M317" s="1794"/>
      <c r="N317" s="537"/>
      <c r="O317" s="1544"/>
      <c r="P317" s="1544"/>
    </row>
    <row r="318" spans="1:16" s="1555" customFormat="1" ht="18.75" customHeight="1">
      <c r="A318" s="1742"/>
      <c r="B318" s="1742"/>
      <c r="C318" s="1607" t="s">
        <v>1519</v>
      </c>
      <c r="D318" s="9029"/>
      <c r="E318" s="9030"/>
      <c r="F318" s="9030"/>
      <c r="G318" s="9000"/>
      <c r="H318" s="7474"/>
      <c r="I318" s="7475" t="s">
        <v>1518</v>
      </c>
      <c r="J318" s="7476"/>
      <c r="K318" s="7477"/>
      <c r="L318" s="7478"/>
      <c r="M318" s="1794"/>
      <c r="N318" s="537"/>
      <c r="O318" s="1544"/>
      <c r="P318" s="1544"/>
    </row>
    <row r="319" spans="1:16" s="1555" customFormat="1" ht="18.75" customHeight="1">
      <c r="A319" s="1742" t="s">
        <v>310</v>
      </c>
      <c r="B319" s="1742" t="s">
        <v>483</v>
      </c>
      <c r="C319" s="1607"/>
      <c r="D319" s="9029"/>
      <c r="E319" s="9030"/>
      <c r="F319" s="9030"/>
      <c r="G319" s="9000" t="str">
        <f>INDEX(PT_DIFFERENTIATION_NTAR,MATCH(B319,PT_DIFFERENTIATION_NTAR_ID,0))</f>
        <v>Подвоз воды потребителям поселка Боргустанские Горы</v>
      </c>
      <c r="H319" s="1809"/>
      <c r="I319" s="1658">
        <v>45292</v>
      </c>
      <c r="J319" s="1693">
        <v>45657</v>
      </c>
      <c r="K319" s="1698">
        <f>608.32/1000</f>
        <v>0.60832000000000008</v>
      </c>
      <c r="L319" s="1809" t="s">
        <v>769</v>
      </c>
      <c r="M319" s="1794"/>
      <c r="N319" s="537"/>
      <c r="O319" s="1544"/>
      <c r="P319" s="1544"/>
    </row>
    <row r="320" spans="1:16" s="1555" customFormat="1" ht="18.75" customHeight="1">
      <c r="A320" s="1742"/>
      <c r="B320" s="1742"/>
      <c r="C320" s="1607" t="s">
        <v>1519</v>
      </c>
      <c r="D320" s="9029"/>
      <c r="E320" s="9030"/>
      <c r="F320" s="9030"/>
      <c r="G320" s="9000"/>
      <c r="H320" s="7479"/>
      <c r="I320" s="7480" t="s">
        <v>1518</v>
      </c>
      <c r="J320" s="7481"/>
      <c r="K320" s="7482"/>
      <c r="L320" s="7483"/>
      <c r="M320" s="1794"/>
      <c r="N320" s="537"/>
      <c r="O320" s="1544"/>
      <c r="P320" s="1544"/>
    </row>
    <row r="321" spans="1:16" s="1555" customFormat="1" ht="18.75" customHeight="1">
      <c r="A321" s="1742" t="s">
        <v>310</v>
      </c>
      <c r="B321" s="1742" t="s">
        <v>489</v>
      </c>
      <c r="C321" s="1607"/>
      <c r="D321" s="9029"/>
      <c r="E321" s="9030"/>
      <c r="F321" s="9030"/>
      <c r="G321" s="9000" t="str">
        <f>INDEX(PT_DIFFERENTIATION_NTAR,MATCH(B321,PT_DIFFERENTIATION_NTAR_ID,0))</f>
        <v>Подвоз воды потребителям хутора Коммаяка</v>
      </c>
      <c r="H321" s="1809"/>
      <c r="I321" s="1658">
        <v>45292</v>
      </c>
      <c r="J321" s="1693">
        <v>45657</v>
      </c>
      <c r="K321" s="1698">
        <f>468.98/1000</f>
        <v>0.46898000000000001</v>
      </c>
      <c r="L321" s="1809" t="s">
        <v>769</v>
      </c>
      <c r="M321" s="1794"/>
      <c r="N321" s="537"/>
      <c r="O321" s="1544"/>
      <c r="P321" s="1544"/>
    </row>
    <row r="322" spans="1:16" s="1555" customFormat="1" ht="18.75" customHeight="1">
      <c r="A322" s="1742"/>
      <c r="B322" s="1742"/>
      <c r="C322" s="1607" t="s">
        <v>1519</v>
      </c>
      <c r="D322" s="9029"/>
      <c r="E322" s="9030"/>
      <c r="F322" s="9030"/>
      <c r="G322" s="9000"/>
      <c r="H322" s="7484"/>
      <c r="I322" s="7485" t="s">
        <v>1518</v>
      </c>
      <c r="J322" s="7486"/>
      <c r="K322" s="7487"/>
      <c r="L322" s="7488"/>
      <c r="M322" s="1794"/>
      <c r="N322" s="537"/>
      <c r="O322" s="1544"/>
      <c r="P322" s="1544"/>
    </row>
    <row r="323" spans="1:16" s="1555" customFormat="1" ht="18.75" customHeight="1">
      <c r="A323" s="1742" t="s">
        <v>310</v>
      </c>
      <c r="B323" s="1742" t="s">
        <v>495</v>
      </c>
      <c r="C323" s="1607"/>
      <c r="D323" s="9029"/>
      <c r="E323" s="9030"/>
      <c r="F323" s="9030"/>
      <c r="G323" s="9000" t="str">
        <f>INDEX(PT_DIFFERENTIATION_NTAR,MATCH(B323,PT_DIFFERENTIATION_NTAR_ID,0))</f>
        <v>Подвоз воды потребителям хутора Садового</v>
      </c>
      <c r="H323" s="1809"/>
      <c r="I323" s="1658">
        <v>45292</v>
      </c>
      <c r="J323" s="1693">
        <v>45657</v>
      </c>
      <c r="K323" s="1698">
        <f>773.13/1000</f>
        <v>0.77312999999999998</v>
      </c>
      <c r="L323" s="1809" t="s">
        <v>769</v>
      </c>
      <c r="M323" s="1794"/>
      <c r="N323" s="537"/>
      <c r="O323" s="1544"/>
      <c r="P323" s="1544"/>
    </row>
    <row r="324" spans="1:16" s="1555" customFormat="1" ht="18.75" customHeight="1">
      <c r="A324" s="1742"/>
      <c r="B324" s="1742"/>
      <c r="C324" s="1607" t="s">
        <v>1519</v>
      </c>
      <c r="D324" s="9029"/>
      <c r="E324" s="9030"/>
      <c r="F324" s="9030"/>
      <c r="G324" s="9000"/>
      <c r="H324" s="7489"/>
      <c r="I324" s="7490" t="s">
        <v>1518</v>
      </c>
      <c r="J324" s="7491"/>
      <c r="K324" s="7492"/>
      <c r="L324" s="7493"/>
      <c r="M324" s="1794"/>
      <c r="N324" s="537"/>
      <c r="O324" s="1544"/>
      <c r="P324" s="1544"/>
    </row>
    <row r="325" spans="1:16" s="1555" customFormat="1" ht="18.75" customHeight="1">
      <c r="A325" s="1742" t="s">
        <v>310</v>
      </c>
      <c r="B325" s="1742" t="s">
        <v>501</v>
      </c>
      <c r="C325" s="1607"/>
      <c r="D325" s="9029"/>
      <c r="E325" s="9030"/>
      <c r="F325" s="9030"/>
      <c r="G325" s="9000" t="str">
        <f>INDEX(PT_DIFFERENTIATION_NTAR,MATCH(B325,PT_DIFFERENTIATION_NTAR_ID,0))</f>
        <v>Подвоз воды потребителям хутора Кофанова</v>
      </c>
      <c r="H325" s="1809"/>
      <c r="I325" s="1658">
        <v>45292</v>
      </c>
      <c r="J325" s="1693">
        <v>45657</v>
      </c>
      <c r="K325" s="1698">
        <f>501.6/1000</f>
        <v>0.50160000000000005</v>
      </c>
      <c r="L325" s="1809" t="s">
        <v>769</v>
      </c>
      <c r="M325" s="1794"/>
      <c r="N325" s="537"/>
      <c r="O325" s="1544"/>
      <c r="P325" s="1544"/>
    </row>
    <row r="326" spans="1:16" s="1555" customFormat="1" ht="18.75" customHeight="1">
      <c r="A326" s="1742"/>
      <c r="B326" s="1742"/>
      <c r="C326" s="1607" t="s">
        <v>1519</v>
      </c>
      <c r="D326" s="9029"/>
      <c r="E326" s="9030"/>
      <c r="F326" s="9030"/>
      <c r="G326" s="9000"/>
      <c r="H326" s="7494"/>
      <c r="I326" s="7495" t="s">
        <v>1518</v>
      </c>
      <c r="J326" s="7496"/>
      <c r="K326" s="7497"/>
      <c r="L326" s="7498"/>
      <c r="M326" s="1794"/>
      <c r="N326" s="537"/>
      <c r="O326" s="1544"/>
      <c r="P326" s="1544"/>
    </row>
    <row r="327" spans="1:16" s="1555" customFormat="1" ht="18.75" customHeight="1">
      <c r="A327" s="1742" t="s">
        <v>310</v>
      </c>
      <c r="B327" s="1742" t="s">
        <v>506</v>
      </c>
      <c r="C327" s="1607"/>
      <c r="D327" s="9029"/>
      <c r="E327" s="9030"/>
      <c r="F327" s="9030"/>
      <c r="G327" s="9000" t="str">
        <f>INDEX(PT_DIFFERENTIATION_NTAR,MATCH(B327,PT_DIFFERENTIATION_NTAR_ID,0))</f>
        <v>Подвоз воды потребителям хутора Холодногорского</v>
      </c>
      <c r="H327" s="1809"/>
      <c r="I327" s="1658">
        <v>45292</v>
      </c>
      <c r="J327" s="1693">
        <v>45657</v>
      </c>
      <c r="K327" s="1698">
        <f>458.2/1000</f>
        <v>0.4582</v>
      </c>
      <c r="L327" s="1809" t="s">
        <v>769</v>
      </c>
      <c r="M327" s="1794"/>
      <c r="N327" s="537"/>
      <c r="O327" s="1544"/>
      <c r="P327" s="1544"/>
    </row>
    <row r="328" spans="1:16" s="1555" customFormat="1" ht="18.75" customHeight="1">
      <c r="A328" s="1742"/>
      <c r="B328" s="1742"/>
      <c r="C328" s="1607" t="s">
        <v>1519</v>
      </c>
      <c r="D328" s="9029"/>
      <c r="E328" s="9030"/>
      <c r="F328" s="9030"/>
      <c r="G328" s="9000"/>
      <c r="H328" s="7499"/>
      <c r="I328" s="7500" t="s">
        <v>1518</v>
      </c>
      <c r="J328" s="7501"/>
      <c r="K328" s="7502"/>
      <c r="L328" s="7503"/>
      <c r="M328" s="1794"/>
      <c r="N328" s="537"/>
      <c r="O328" s="1544"/>
      <c r="P328" s="1544"/>
    </row>
    <row r="329" spans="1:16" s="1555" customFormat="1" ht="18.75" customHeight="1">
      <c r="A329" s="1742" t="s">
        <v>310</v>
      </c>
      <c r="B329" s="1742" t="s">
        <v>512</v>
      </c>
      <c r="C329" s="1607"/>
      <c r="D329" s="9029"/>
      <c r="E329" s="9030"/>
      <c r="F329" s="9030"/>
      <c r="G329" s="9000" t="str">
        <f>INDEX(PT_DIFFERENTIATION_NTAR,MATCH(B329,PT_DIFFERENTIATION_NTAR_ID,0))</f>
        <v>Подвоз воды потребителям хутора Гремучего</v>
      </c>
      <c r="H329" s="1809"/>
      <c r="I329" s="1658">
        <v>45292</v>
      </c>
      <c r="J329" s="1693">
        <v>45657</v>
      </c>
      <c r="K329" s="1698">
        <f>449.8/1000</f>
        <v>0.44980000000000003</v>
      </c>
      <c r="L329" s="1809" t="s">
        <v>769</v>
      </c>
      <c r="M329" s="1794"/>
      <c r="N329" s="537"/>
      <c r="O329" s="1544"/>
      <c r="P329" s="1544"/>
    </row>
    <row r="330" spans="1:16" s="1555" customFormat="1" ht="18.75" customHeight="1">
      <c r="A330" s="1742"/>
      <c r="B330" s="1742"/>
      <c r="C330" s="1607" t="s">
        <v>1519</v>
      </c>
      <c r="D330" s="9029"/>
      <c r="E330" s="9030"/>
      <c r="F330" s="9030"/>
      <c r="G330" s="9000"/>
      <c r="H330" s="7504"/>
      <c r="I330" s="7505" t="s">
        <v>1518</v>
      </c>
      <c r="J330" s="7506"/>
      <c r="K330" s="7507"/>
      <c r="L330" s="7508"/>
      <c r="M330" s="1794"/>
      <c r="N330" s="537"/>
      <c r="O330" s="1544"/>
      <c r="P330" s="1544"/>
    </row>
    <row r="331" spans="1:16" s="1555" customFormat="1" ht="18.75" customHeight="1">
      <c r="A331" s="1742" t="s">
        <v>310</v>
      </c>
      <c r="B331" s="1742" t="s">
        <v>518</v>
      </c>
      <c r="C331" s="1607"/>
      <c r="D331" s="9029"/>
      <c r="E331" s="9030"/>
      <c r="F331" s="9030"/>
      <c r="G331" s="9000" t="str">
        <f>INDEX(PT_DIFFERENTIATION_NTAR,MATCH(B331,PT_DIFFERENTIATION_NTAR_ID,0))</f>
        <v>Подвоз воды потребителям поселка Верхнедубовского</v>
      </c>
      <c r="H331" s="1809"/>
      <c r="I331" s="1658">
        <v>45292</v>
      </c>
      <c r="J331" s="1693">
        <v>45657</v>
      </c>
      <c r="K331" s="1698">
        <f>399.73/1000</f>
        <v>0.39973000000000003</v>
      </c>
      <c r="L331" s="1809" t="s">
        <v>769</v>
      </c>
      <c r="M331" s="1794"/>
      <c r="N331" s="537"/>
      <c r="O331" s="1544"/>
      <c r="P331" s="1544"/>
    </row>
    <row r="332" spans="1:16" s="1555" customFormat="1" ht="18.75" customHeight="1">
      <c r="A332" s="1742"/>
      <c r="B332" s="1742"/>
      <c r="C332" s="1607" t="s">
        <v>1519</v>
      </c>
      <c r="D332" s="9029"/>
      <c r="E332" s="9030"/>
      <c r="F332" s="9030"/>
      <c r="G332" s="9000"/>
      <c r="H332" s="7509"/>
      <c r="I332" s="7510" t="s">
        <v>1518</v>
      </c>
      <c r="J332" s="7511"/>
      <c r="K332" s="7512"/>
      <c r="L332" s="7513"/>
      <c r="M332" s="1794"/>
      <c r="N332" s="537"/>
      <c r="O332" s="1544"/>
      <c r="P332" s="1544"/>
    </row>
    <row r="333" spans="1:16" s="1555" customFormat="1" ht="18.75" customHeight="1">
      <c r="A333" s="1742" t="s">
        <v>310</v>
      </c>
      <c r="B333" s="1742" t="s">
        <v>524</v>
      </c>
      <c r="C333" s="1607"/>
      <c r="D333" s="9029"/>
      <c r="E333" s="9030"/>
      <c r="F333" s="9030"/>
      <c r="G333" s="9000" t="str">
        <f>INDEX(PT_DIFFERENTIATION_NTAR,MATCH(B333,PT_DIFFERENTIATION_NTAR_ID,0))</f>
        <v>Подвоз воды потребителям хутора Богатого</v>
      </c>
      <c r="H333" s="1809"/>
      <c r="I333" s="1658">
        <v>45292</v>
      </c>
      <c r="J333" s="1693">
        <v>45657</v>
      </c>
      <c r="K333" s="1698">
        <f>490.62/1000</f>
        <v>0.49062</v>
      </c>
      <c r="L333" s="1809" t="s">
        <v>769</v>
      </c>
      <c r="M333" s="1794"/>
      <c r="N333" s="537"/>
      <c r="O333" s="1544"/>
      <c r="P333" s="1544"/>
    </row>
    <row r="334" spans="1:16" s="1555" customFormat="1" ht="18.75" customHeight="1">
      <c r="A334" s="1742"/>
      <c r="B334" s="1742"/>
      <c r="C334" s="1607" t="s">
        <v>1519</v>
      </c>
      <c r="D334" s="9029"/>
      <c r="E334" s="9030"/>
      <c r="F334" s="9030"/>
      <c r="G334" s="9000"/>
      <c r="H334" s="7514"/>
      <c r="I334" s="7515" t="s">
        <v>1518</v>
      </c>
      <c r="J334" s="7516"/>
      <c r="K334" s="7517"/>
      <c r="L334" s="7518"/>
      <c r="M334" s="1794"/>
      <c r="N334" s="537"/>
      <c r="O334" s="1544"/>
      <c r="P334" s="1544"/>
    </row>
    <row r="335" spans="1:16" s="1555" customFormat="1" ht="18.75" customHeight="1">
      <c r="A335" s="1742" t="s">
        <v>310</v>
      </c>
      <c r="B335" s="1742" t="s">
        <v>530</v>
      </c>
      <c r="C335" s="1607"/>
      <c r="D335" s="9029"/>
      <c r="E335" s="9030"/>
      <c r="F335" s="9030"/>
      <c r="G335" s="9000" t="str">
        <f>INDEX(PT_DIFFERENTIATION_NTAR,MATCH(B335,PT_DIFFERENTIATION_NTAR_ID,0))</f>
        <v>Подвоз воды потребителям хутора Верхнеегорлыкского</v>
      </c>
      <c r="H335" s="1809"/>
      <c r="I335" s="1658">
        <v>45292</v>
      </c>
      <c r="J335" s="1693">
        <v>45657</v>
      </c>
      <c r="K335" s="1698">
        <f>495.2/1000</f>
        <v>0.49519999999999997</v>
      </c>
      <c r="L335" s="1809" t="s">
        <v>769</v>
      </c>
      <c r="M335" s="1794"/>
      <c r="N335" s="537"/>
      <c r="O335" s="1544"/>
      <c r="P335" s="1544"/>
    </row>
    <row r="336" spans="1:16" s="1555" customFormat="1" ht="18.75" customHeight="1">
      <c r="A336" s="1742"/>
      <c r="B336" s="1742"/>
      <c r="C336" s="1607" t="s">
        <v>1519</v>
      </c>
      <c r="D336" s="9029"/>
      <c r="E336" s="9030"/>
      <c r="F336" s="9030"/>
      <c r="G336" s="9000"/>
      <c r="H336" s="7519"/>
      <c r="I336" s="7520" t="s">
        <v>1518</v>
      </c>
      <c r="J336" s="7521"/>
      <c r="K336" s="7522"/>
      <c r="L336" s="7523"/>
      <c r="M336" s="1794"/>
      <c r="N336" s="537"/>
      <c r="O336" s="1544"/>
      <c r="P336" s="1544"/>
    </row>
    <row r="337" spans="1:16" s="1555" customFormat="1" ht="18.75" customHeight="1">
      <c r="A337" s="1742" t="s">
        <v>310</v>
      </c>
      <c r="B337" s="1742" t="s">
        <v>535</v>
      </c>
      <c r="C337" s="1607"/>
      <c r="D337" s="9029"/>
      <c r="E337" s="9030"/>
      <c r="F337" s="9030"/>
      <c r="G337" s="9000" t="str">
        <f>INDEX(PT_DIFFERENTIATION_NTAR,MATCH(B337,PT_DIFFERENTIATION_NTAR_ID,0))</f>
        <v>Подвоз воды потребителям хутора Садового</v>
      </c>
      <c r="H337" s="1809"/>
      <c r="I337" s="1658">
        <v>45292</v>
      </c>
      <c r="J337" s="1693">
        <v>45657</v>
      </c>
      <c r="K337" s="1698">
        <f>468.51/1000</f>
        <v>0.46850999999999998</v>
      </c>
      <c r="L337" s="1809" t="s">
        <v>769</v>
      </c>
      <c r="M337" s="1794"/>
      <c r="N337" s="537"/>
      <c r="O337" s="1544"/>
      <c r="P337" s="1544"/>
    </row>
    <row r="338" spans="1:16" s="1555" customFormat="1" ht="18.75" customHeight="1">
      <c r="A338" s="1742"/>
      <c r="B338" s="1742"/>
      <c r="C338" s="1607" t="s">
        <v>1519</v>
      </c>
      <c r="D338" s="9029"/>
      <c r="E338" s="9030"/>
      <c r="F338" s="9030"/>
      <c r="G338" s="9000"/>
      <c r="H338" s="7524"/>
      <c r="I338" s="7525" t="s">
        <v>1518</v>
      </c>
      <c r="J338" s="7526"/>
      <c r="K338" s="7527"/>
      <c r="L338" s="7528"/>
      <c r="M338" s="1794"/>
      <c r="N338" s="537"/>
      <c r="O338" s="1544"/>
      <c r="P338" s="1544"/>
    </row>
    <row r="339" spans="1:16" s="1555" customFormat="1" ht="18.75" customHeight="1">
      <c r="A339" s="1742" t="s">
        <v>310</v>
      </c>
      <c r="B339" s="1742" t="s">
        <v>541</v>
      </c>
      <c r="C339" s="1607"/>
      <c r="D339" s="9029"/>
      <c r="E339" s="9030"/>
      <c r="F339" s="9030"/>
      <c r="G339" s="9000" t="str">
        <f>INDEX(PT_DIFFERENTIATION_NTAR,MATCH(B339,PT_DIFFERENTIATION_NTAR_ID,0))</f>
        <v>Подвоз воды потребителям хутора Темнореченского</v>
      </c>
      <c r="H339" s="1809"/>
      <c r="I339" s="1658">
        <v>45292</v>
      </c>
      <c r="J339" s="1693">
        <v>45657</v>
      </c>
      <c r="K339" s="1698">
        <f>486.7/1000</f>
        <v>0.48669999999999997</v>
      </c>
      <c r="L339" s="1809" t="s">
        <v>769</v>
      </c>
      <c r="M339" s="1794"/>
      <c r="N339" s="537"/>
      <c r="O339" s="1544"/>
      <c r="P339" s="1544"/>
    </row>
    <row r="340" spans="1:16" s="1555" customFormat="1" ht="18.75" customHeight="1">
      <c r="A340" s="1742"/>
      <c r="B340" s="1742"/>
      <c r="C340" s="1607" t="s">
        <v>1519</v>
      </c>
      <c r="D340" s="9029"/>
      <c r="E340" s="9030"/>
      <c r="F340" s="9030"/>
      <c r="G340" s="9000"/>
      <c r="H340" s="7529"/>
      <c r="I340" s="7530" t="s">
        <v>1518</v>
      </c>
      <c r="J340" s="7531"/>
      <c r="K340" s="7532"/>
      <c r="L340" s="7533"/>
      <c r="M340" s="1794"/>
      <c r="N340" s="537"/>
      <c r="O340" s="1544"/>
      <c r="P340" s="1544"/>
    </row>
    <row r="341" spans="1:16" s="1555" customFormat="1" ht="18.75" customHeight="1">
      <c r="A341" s="1742" t="s">
        <v>310</v>
      </c>
      <c r="B341" s="1742" t="s">
        <v>547</v>
      </c>
      <c r="C341" s="1607"/>
      <c r="D341" s="9029"/>
      <c r="E341" s="9030"/>
      <c r="F341" s="9030"/>
      <c r="G341" s="9000" t="str">
        <f>INDEX(PT_DIFFERENTIATION_NTAR,MATCH(B341,PT_DIFFERENTIATION_NTAR_ID,0))</f>
        <v>Подвоз воды потребителям хутора Рынок</v>
      </c>
      <c r="H341" s="1809"/>
      <c r="I341" s="1658">
        <v>45292</v>
      </c>
      <c r="J341" s="1693">
        <v>45657</v>
      </c>
      <c r="K341" s="1698">
        <f>517.2/1000</f>
        <v>0.51719999999999999</v>
      </c>
      <c r="L341" s="1809" t="s">
        <v>769</v>
      </c>
      <c r="M341" s="1794"/>
      <c r="N341" s="537"/>
      <c r="O341" s="1544"/>
      <c r="P341" s="1544"/>
    </row>
    <row r="342" spans="1:16" s="1555" customFormat="1" ht="18.75" customHeight="1">
      <c r="A342" s="1742"/>
      <c r="B342" s="1742"/>
      <c r="C342" s="1607" t="s">
        <v>1519</v>
      </c>
      <c r="D342" s="9029"/>
      <c r="E342" s="9030"/>
      <c r="F342" s="9030"/>
      <c r="G342" s="9000"/>
      <c r="H342" s="7534"/>
      <c r="I342" s="7535" t="s">
        <v>1518</v>
      </c>
      <c r="J342" s="7536"/>
      <c r="K342" s="7537"/>
      <c r="L342" s="7538"/>
      <c r="M342" s="1794"/>
      <c r="N342" s="537"/>
      <c r="O342" s="1544"/>
      <c r="P342" s="1544"/>
    </row>
    <row r="343" spans="1:16" s="1555" customFormat="1" ht="18.75" customHeight="1">
      <c r="A343" s="1742" t="s">
        <v>310</v>
      </c>
      <c r="B343" s="1742" t="s">
        <v>553</v>
      </c>
      <c r="C343" s="1607"/>
      <c r="D343" s="9029"/>
      <c r="E343" s="9030"/>
      <c r="F343" s="9030"/>
      <c r="G343" s="9000" t="str">
        <f>INDEX(PT_DIFFERENTIATION_NTAR,MATCH(B343,PT_DIFFERENTIATION_NTAR_ID,0))</f>
        <v>Подвоз воды потребителям хутора Польского</v>
      </c>
      <c r="H343" s="1809"/>
      <c r="I343" s="1658">
        <v>45292</v>
      </c>
      <c r="J343" s="1693">
        <v>45657</v>
      </c>
      <c r="K343" s="1698">
        <f>481.1/1000</f>
        <v>0.48110000000000003</v>
      </c>
      <c r="L343" s="1809" t="s">
        <v>769</v>
      </c>
      <c r="M343" s="1794"/>
      <c r="N343" s="537"/>
      <c r="O343" s="1544"/>
      <c r="P343" s="1544"/>
    </row>
    <row r="344" spans="1:16" s="1555" customFormat="1" ht="18.75" customHeight="1">
      <c r="A344" s="1742"/>
      <c r="B344" s="1742"/>
      <c r="C344" s="1607" t="s">
        <v>1519</v>
      </c>
      <c r="D344" s="9029"/>
      <c r="E344" s="9030"/>
      <c r="F344" s="9030"/>
      <c r="G344" s="9000"/>
      <c r="H344" s="7539"/>
      <c r="I344" s="7540" t="s">
        <v>1518</v>
      </c>
      <c r="J344" s="7541"/>
      <c r="K344" s="7542"/>
      <c r="L344" s="7543"/>
      <c r="M344" s="1794"/>
      <c r="N344" s="537"/>
      <c r="O344" s="1544"/>
      <c r="P344" s="1544"/>
    </row>
    <row r="345" spans="1:16" s="1555" customFormat="1" ht="18.75" customHeight="1">
      <c r="A345" s="1742" t="s">
        <v>310</v>
      </c>
      <c r="B345" s="1742" t="s">
        <v>559</v>
      </c>
      <c r="C345" s="1607"/>
      <c r="D345" s="9029"/>
      <c r="E345" s="9030"/>
      <c r="F345" s="9030"/>
      <c r="G345" s="9000" t="str">
        <f>INDEX(PT_DIFFERENTIATION_NTAR,MATCH(B345,PT_DIFFERENTIATION_NTAR_ID,0))</f>
        <v>Подвоз воды потребителям поселка Рогового</v>
      </c>
      <c r="H345" s="1809"/>
      <c r="I345" s="1658">
        <v>45292</v>
      </c>
      <c r="J345" s="1693">
        <v>45657</v>
      </c>
      <c r="K345" s="1698">
        <f>1008.68</f>
        <v>1008.68</v>
      </c>
      <c r="L345" s="1809" t="s">
        <v>769</v>
      </c>
      <c r="M345" s="1794"/>
      <c r="N345" s="537"/>
      <c r="O345" s="1544"/>
      <c r="P345" s="1544"/>
    </row>
    <row r="346" spans="1:16" s="1555" customFormat="1" ht="18.75" customHeight="1">
      <c r="A346" s="1742"/>
      <c r="B346" s="1742"/>
      <c r="C346" s="1607" t="s">
        <v>1519</v>
      </c>
      <c r="D346" s="9029"/>
      <c r="E346" s="9030"/>
      <c r="F346" s="9030"/>
      <c r="G346" s="9000"/>
      <c r="H346" s="7544"/>
      <c r="I346" s="7545" t="s">
        <v>1518</v>
      </c>
      <c r="J346" s="7546"/>
      <c r="K346" s="7547"/>
      <c r="L346" s="7548"/>
      <c r="M346" s="1794"/>
      <c r="N346" s="537"/>
      <c r="O346" s="1544"/>
      <c r="P346" s="1544"/>
    </row>
    <row r="347" spans="1:16" s="1555" customFormat="1" ht="18.75" customHeight="1">
      <c r="A347" s="1742" t="s">
        <v>310</v>
      </c>
      <c r="B347" s="1742" t="s">
        <v>565</v>
      </c>
      <c r="C347" s="1607"/>
      <c r="D347" s="9029"/>
      <c r="E347" s="9030"/>
      <c r="F347" s="9030"/>
      <c r="G347" s="9000" t="str">
        <f>INDEX(PT_DIFFERENTIATION_NTAR,MATCH(B347,PT_DIFFERENTIATION_NTAR_ID,0))</f>
        <v>Подвоз воды потребителям поселка Приэтокского</v>
      </c>
      <c r="H347" s="1809"/>
      <c r="I347" s="1658">
        <v>45292</v>
      </c>
      <c r="J347" s="1693">
        <v>45657</v>
      </c>
      <c r="K347" s="1698">
        <f>821.7/1000</f>
        <v>0.8217000000000001</v>
      </c>
      <c r="L347" s="1809" t="s">
        <v>769</v>
      </c>
      <c r="M347" s="1794"/>
      <c r="N347" s="537"/>
      <c r="O347" s="1544"/>
      <c r="P347" s="1544"/>
    </row>
    <row r="348" spans="1:16" s="1555" customFormat="1" ht="18.75" customHeight="1">
      <c r="A348" s="1742"/>
      <c r="B348" s="1742"/>
      <c r="C348" s="1607" t="s">
        <v>1519</v>
      </c>
      <c r="D348" s="9029"/>
      <c r="E348" s="9030"/>
      <c r="F348" s="9030"/>
      <c r="G348" s="9000"/>
      <c r="H348" s="7549"/>
      <c r="I348" s="7550" t="s">
        <v>1518</v>
      </c>
      <c r="J348" s="7551"/>
      <c r="K348" s="7552"/>
      <c r="L348" s="7553"/>
      <c r="M348" s="1794"/>
      <c r="N348" s="537"/>
      <c r="O348" s="1544"/>
      <c r="P348" s="1544"/>
    </row>
    <row r="349" spans="1:16" s="1555" customFormat="1" ht="18.75" customHeight="1">
      <c r="A349" s="1742" t="s">
        <v>310</v>
      </c>
      <c r="B349" s="1742" t="s">
        <v>571</v>
      </c>
      <c r="C349" s="1607"/>
      <c r="D349" s="9029"/>
      <c r="E349" s="9030"/>
      <c r="F349" s="9030"/>
      <c r="G349" s="9000" t="str">
        <f>INDEX(PT_DIFFERENTIATION_NTAR,MATCH(B349,PT_DIFFERENTIATION_NTAR_ID,0))</f>
        <v>Подвоз воды потребителям поселка Ореховая Роща</v>
      </c>
      <c r="H349" s="1809"/>
      <c r="I349" s="1658">
        <v>45292</v>
      </c>
      <c r="J349" s="1693">
        <v>45657</v>
      </c>
      <c r="K349" s="1698">
        <f>636.64/1000</f>
        <v>0.63663999999999998</v>
      </c>
      <c r="L349" s="1809" t="s">
        <v>769</v>
      </c>
      <c r="M349" s="1794"/>
      <c r="N349" s="537"/>
      <c r="O349" s="1544"/>
      <c r="P349" s="1544"/>
    </row>
    <row r="350" spans="1:16" s="1555" customFormat="1" ht="18.75" customHeight="1">
      <c r="A350" s="1742"/>
      <c r="B350" s="1742"/>
      <c r="C350" s="1607" t="s">
        <v>1519</v>
      </c>
      <c r="D350" s="9029"/>
      <c r="E350" s="9030"/>
      <c r="F350" s="9030"/>
      <c r="G350" s="9000"/>
      <c r="H350" s="7554"/>
      <c r="I350" s="7555" t="s">
        <v>1518</v>
      </c>
      <c r="J350" s="7556"/>
      <c r="K350" s="7557"/>
      <c r="L350" s="7558"/>
      <c r="M350" s="1794"/>
      <c r="N350" s="537"/>
      <c r="O350" s="1544"/>
      <c r="P350" s="1544"/>
    </row>
    <row r="351" spans="1:16" s="1555" customFormat="1" ht="18.75" customHeight="1">
      <c r="A351" s="1742" t="s">
        <v>310</v>
      </c>
      <c r="B351" s="1742" t="s">
        <v>577</v>
      </c>
      <c r="C351" s="1607"/>
      <c r="D351" s="9029"/>
      <c r="E351" s="9030"/>
      <c r="F351" s="9030"/>
      <c r="G351" s="9000" t="str">
        <f>INDEX(PT_DIFFERENTIATION_NTAR,MATCH(B351,PT_DIFFERENTIATION_NTAR_ID,0))</f>
        <v>Подвоз воды потребителям хутора Беляева</v>
      </c>
      <c r="H351" s="1809"/>
      <c r="I351" s="1658">
        <v>45292</v>
      </c>
      <c r="J351" s="1693">
        <v>45657</v>
      </c>
      <c r="K351" s="1698">
        <f>324.12/1000</f>
        <v>0.32412000000000002</v>
      </c>
      <c r="L351" s="1809" t="s">
        <v>769</v>
      </c>
      <c r="M351" s="1794"/>
      <c r="N351" s="537"/>
      <c r="O351" s="1544"/>
      <c r="P351" s="1544"/>
    </row>
    <row r="352" spans="1:16" s="1555" customFormat="1" ht="18.75" customHeight="1">
      <c r="A352" s="1742"/>
      <c r="B352" s="1742"/>
      <c r="C352" s="1607" t="s">
        <v>1519</v>
      </c>
      <c r="D352" s="9029"/>
      <c r="E352" s="9030"/>
      <c r="F352" s="9030"/>
      <c r="G352" s="9000"/>
      <c r="H352" s="7559"/>
      <c r="I352" s="7560" t="s">
        <v>1518</v>
      </c>
      <c r="J352" s="7561"/>
      <c r="K352" s="7562"/>
      <c r="L352" s="7563"/>
      <c r="M352" s="1794"/>
      <c r="N352" s="537"/>
      <c r="O352" s="1544"/>
      <c r="P352" s="1544"/>
    </row>
    <row r="353" spans="1:16" s="1555" customFormat="1" ht="18.75" customHeight="1">
      <c r="A353" s="1742" t="s">
        <v>310</v>
      </c>
      <c r="B353" s="1742" t="s">
        <v>583</v>
      </c>
      <c r="C353" s="1607"/>
      <c r="D353" s="9029"/>
      <c r="E353" s="9030"/>
      <c r="F353" s="9030"/>
      <c r="G353" s="9000" t="str">
        <f>INDEX(PT_DIFFERENTIATION_NTAR,MATCH(B353,PT_DIFFERENTIATION_NTAR_ID,0))</f>
        <v>Подвоз воды потребителям села Найдёновка</v>
      </c>
      <c r="H353" s="1809"/>
      <c r="I353" s="1658">
        <v>45292</v>
      </c>
      <c r="J353" s="1693">
        <v>45657</v>
      </c>
      <c r="K353" s="1698">
        <f>288.3/1000</f>
        <v>0.2883</v>
      </c>
      <c r="L353" s="1809" t="s">
        <v>769</v>
      </c>
      <c r="M353" s="1794"/>
      <c r="N353" s="537"/>
      <c r="O353" s="1544"/>
      <c r="P353" s="1544"/>
    </row>
    <row r="354" spans="1:16" s="1555" customFormat="1" ht="18.75" customHeight="1">
      <c r="A354" s="1742"/>
      <c r="B354" s="1742"/>
      <c r="C354" s="1607" t="s">
        <v>1519</v>
      </c>
      <c r="D354" s="9029"/>
      <c r="E354" s="9030"/>
      <c r="F354" s="9030"/>
      <c r="G354" s="9000"/>
      <c r="H354" s="7564"/>
      <c r="I354" s="7565" t="s">
        <v>1518</v>
      </c>
      <c r="J354" s="7566"/>
      <c r="K354" s="7567"/>
      <c r="L354" s="7568"/>
      <c r="M354" s="1794"/>
      <c r="N354" s="537"/>
      <c r="O354" s="1544"/>
      <c r="P354" s="1544"/>
    </row>
    <row r="355" spans="1:16" s="1555" customFormat="1" ht="18.75" customHeight="1">
      <c r="A355" s="1742" t="s">
        <v>310</v>
      </c>
      <c r="B355" s="1742" t="s">
        <v>589</v>
      </c>
      <c r="C355" s="1607"/>
      <c r="D355" s="9029"/>
      <c r="E355" s="9030"/>
      <c r="F355" s="9030"/>
      <c r="G355" s="9000" t="str">
        <f>INDEX(PT_DIFFERENTIATION_NTAR,MATCH(B355,PT_DIFFERENTIATION_NTAR_ID,0))</f>
        <v>Подвоз воды потребителям села Подлужного</v>
      </c>
      <c r="H355" s="1809"/>
      <c r="I355" s="1658">
        <v>45292</v>
      </c>
      <c r="J355" s="1693">
        <v>45657</v>
      </c>
      <c r="K355" s="1698">
        <f>401.95/1000</f>
        <v>0.40194999999999997</v>
      </c>
      <c r="L355" s="1809" t="s">
        <v>769</v>
      </c>
      <c r="M355" s="1794"/>
      <c r="N355" s="537"/>
      <c r="O355" s="1544"/>
      <c r="P355" s="1544"/>
    </row>
    <row r="356" spans="1:16" s="1555" customFormat="1" ht="18.75" customHeight="1">
      <c r="A356" s="1742"/>
      <c r="B356" s="1742"/>
      <c r="C356" s="1607" t="s">
        <v>1519</v>
      </c>
      <c r="D356" s="9029"/>
      <c r="E356" s="9030"/>
      <c r="F356" s="9030"/>
      <c r="G356" s="9000"/>
      <c r="H356" s="7569"/>
      <c r="I356" s="7570" t="s">
        <v>1518</v>
      </c>
      <c r="J356" s="7571"/>
      <c r="K356" s="7572"/>
      <c r="L356" s="7573"/>
      <c r="M356" s="1794"/>
      <c r="N356" s="537"/>
      <c r="O356" s="1544"/>
      <c r="P356" s="1544"/>
    </row>
    <row r="357" spans="1:16" s="1555" customFormat="1" ht="18.75" customHeight="1">
      <c r="A357" s="1742" t="s">
        <v>310</v>
      </c>
      <c r="B357" s="1742" t="s">
        <v>595</v>
      </c>
      <c r="C357" s="1607"/>
      <c r="D357" s="9029"/>
      <c r="E357" s="9030"/>
      <c r="F357" s="9030"/>
      <c r="G357" s="9000" t="str">
        <f>INDEX(PT_DIFFERENTIATION_NTAR,MATCH(B357,PT_DIFFERENTIATION_NTAR_ID,0))</f>
        <v>Подвоз воды потребителям хутора Красная Балка</v>
      </c>
      <c r="H357" s="1809"/>
      <c r="I357" s="1658">
        <v>45292</v>
      </c>
      <c r="J357" s="1693">
        <v>45657</v>
      </c>
      <c r="K357" s="1698">
        <f>435.63/1000</f>
        <v>0.43563000000000002</v>
      </c>
      <c r="L357" s="1809" t="s">
        <v>769</v>
      </c>
      <c r="M357" s="1794"/>
      <c r="N357" s="537"/>
      <c r="O357" s="1544"/>
      <c r="P357" s="1544"/>
    </row>
    <row r="358" spans="1:16" s="1555" customFormat="1" ht="18.75" customHeight="1">
      <c r="A358" s="1742"/>
      <c r="B358" s="1742"/>
      <c r="C358" s="1607" t="s">
        <v>1519</v>
      </c>
      <c r="D358" s="9029"/>
      <c r="E358" s="9030"/>
      <c r="F358" s="9030"/>
      <c r="G358" s="9000"/>
      <c r="H358" s="7574"/>
      <c r="I358" s="7575" t="s">
        <v>1518</v>
      </c>
      <c r="J358" s="7576"/>
      <c r="K358" s="7577"/>
      <c r="L358" s="7578"/>
      <c r="M358" s="1794"/>
      <c r="N358" s="537"/>
      <c r="O358" s="1544"/>
      <c r="P358" s="1544"/>
    </row>
    <row r="359" spans="1:16" s="1555" customFormat="1" ht="18.75" customHeight="1">
      <c r="A359" s="1742" t="s">
        <v>310</v>
      </c>
      <c r="B359" s="1742" t="s">
        <v>601</v>
      </c>
      <c r="C359" s="1607"/>
      <c r="D359" s="9029"/>
      <c r="E359" s="9030"/>
      <c r="F359" s="9030"/>
      <c r="G359" s="9000" t="str">
        <f>INDEX(PT_DIFFERENTIATION_NTAR,MATCH(B359,PT_DIFFERENTIATION_NTAR_ID,0))</f>
        <v>Подвоз воды потребителям хутора Козлова</v>
      </c>
      <c r="H359" s="1809"/>
      <c r="I359" s="1658">
        <v>45292</v>
      </c>
      <c r="J359" s="1693">
        <v>45657</v>
      </c>
      <c r="K359" s="1698">
        <f>305.99/1000</f>
        <v>0.30598999999999998</v>
      </c>
      <c r="L359" s="1809" t="s">
        <v>769</v>
      </c>
      <c r="M359" s="1794"/>
      <c r="N359" s="537"/>
      <c r="O359" s="1544"/>
      <c r="P359" s="1544"/>
    </row>
    <row r="360" spans="1:16" s="1555" customFormat="1" ht="18.75" customHeight="1">
      <c r="A360" s="1742"/>
      <c r="B360" s="1742"/>
      <c r="C360" s="1607" t="s">
        <v>1519</v>
      </c>
      <c r="D360" s="9029"/>
      <c r="E360" s="9030"/>
      <c r="F360" s="9030"/>
      <c r="G360" s="9000"/>
      <c r="H360" s="7579"/>
      <c r="I360" s="7580" t="s">
        <v>1518</v>
      </c>
      <c r="J360" s="7581"/>
      <c r="K360" s="7582"/>
      <c r="L360" s="7583"/>
      <c r="M360" s="1794"/>
      <c r="N360" s="537"/>
      <c r="O360" s="1544"/>
      <c r="P360" s="1544"/>
    </row>
    <row r="361" spans="1:16" s="1555" customFormat="1" ht="18.75" customHeight="1">
      <c r="A361" s="1742" t="s">
        <v>310</v>
      </c>
      <c r="B361" s="1742" t="s">
        <v>607</v>
      </c>
      <c r="C361" s="1607"/>
      <c r="D361" s="9029"/>
      <c r="E361" s="9030"/>
      <c r="F361" s="9030"/>
      <c r="G361" s="9000" t="str">
        <f>INDEX(PT_DIFFERENTIATION_NTAR,MATCH(B361,PT_DIFFERENTIATION_NTAR_ID,0))</f>
        <v>Подвоз воды потребителям села Тищенского</v>
      </c>
      <c r="H361" s="1809"/>
      <c r="I361" s="1658">
        <v>45292</v>
      </c>
      <c r="J361" s="1693">
        <v>45657</v>
      </c>
      <c r="K361" s="1698">
        <f>286.91/1000</f>
        <v>0.28691</v>
      </c>
      <c r="L361" s="1809" t="s">
        <v>769</v>
      </c>
      <c r="M361" s="1794"/>
      <c r="N361" s="537"/>
      <c r="O361" s="1544"/>
      <c r="P361" s="1544"/>
    </row>
    <row r="362" spans="1:16" s="1555" customFormat="1" ht="18.75" customHeight="1">
      <c r="A362" s="1742"/>
      <c r="B362" s="1742"/>
      <c r="C362" s="1607" t="s">
        <v>1519</v>
      </c>
      <c r="D362" s="9029"/>
      <c r="E362" s="9030"/>
      <c r="F362" s="9030"/>
      <c r="G362" s="9000"/>
      <c r="H362" s="7584"/>
      <c r="I362" s="7585" t="s">
        <v>1518</v>
      </c>
      <c r="J362" s="7586"/>
      <c r="K362" s="7587"/>
      <c r="L362" s="7588"/>
      <c r="M362" s="1794"/>
      <c r="N362" s="537"/>
      <c r="O362" s="1544"/>
      <c r="P362" s="1544"/>
    </row>
    <row r="363" spans="1:16" s="1555" customFormat="1" ht="18.75" customHeight="1">
      <c r="A363" s="1742" t="s">
        <v>310</v>
      </c>
      <c r="B363" s="1742" t="s">
        <v>613</v>
      </c>
      <c r="C363" s="1607"/>
      <c r="D363" s="9029"/>
      <c r="E363" s="9030"/>
      <c r="F363" s="9030"/>
      <c r="G363" s="9000" t="str">
        <f>INDEX(PT_DIFFERENTIATION_NTAR,MATCH(B363,PT_DIFFERENTIATION_NTAR_ID,0))</f>
        <v>Подвоз воды потребителям хутора Вавилон</v>
      </c>
      <c r="H363" s="1809"/>
      <c r="I363" s="1658">
        <v>45292</v>
      </c>
      <c r="J363" s="1693">
        <v>45657</v>
      </c>
      <c r="K363" s="1698">
        <f>417.4/1000</f>
        <v>0.41739999999999999</v>
      </c>
      <c r="L363" s="1809" t="s">
        <v>769</v>
      </c>
      <c r="M363" s="1794"/>
      <c r="N363" s="537"/>
      <c r="O363" s="1544"/>
      <c r="P363" s="1544"/>
    </row>
    <row r="364" spans="1:16" s="1555" customFormat="1" ht="18.75" customHeight="1">
      <c r="A364" s="1742"/>
      <c r="B364" s="1742"/>
      <c r="C364" s="1607" t="s">
        <v>1519</v>
      </c>
      <c r="D364" s="9029"/>
      <c r="E364" s="9030"/>
      <c r="F364" s="9030"/>
      <c r="G364" s="9000"/>
      <c r="H364" s="7589"/>
      <c r="I364" s="7590" t="s">
        <v>1518</v>
      </c>
      <c r="J364" s="7591"/>
      <c r="K364" s="7592"/>
      <c r="L364" s="7593"/>
      <c r="M364" s="1794"/>
      <c r="N364" s="537"/>
      <c r="O364" s="1544"/>
      <c r="P364" s="1544"/>
    </row>
    <row r="365" spans="1:16" s="1555" customFormat="1" ht="18.75" customHeight="1">
      <c r="A365" s="1742" t="s">
        <v>310</v>
      </c>
      <c r="B365" s="1742" t="s">
        <v>619</v>
      </c>
      <c r="C365" s="1607"/>
      <c r="D365" s="9029"/>
      <c r="E365" s="9030"/>
      <c r="F365" s="9030"/>
      <c r="G365" s="9000" t="str">
        <f>INDEX(PT_DIFFERENTIATION_NTAR,MATCH(B365,PT_DIFFERENTIATION_NTAR_ID,0))</f>
        <v>Подвоз воды потребителям хутора Липчанского</v>
      </c>
      <c r="H365" s="1809"/>
      <c r="I365" s="1658">
        <v>45292</v>
      </c>
      <c r="J365" s="1693">
        <v>45657</v>
      </c>
      <c r="K365" s="1698">
        <f>618.93/1000</f>
        <v>0.61892999999999998</v>
      </c>
      <c r="L365" s="1809" t="s">
        <v>769</v>
      </c>
      <c r="M365" s="1794"/>
      <c r="N365" s="537"/>
      <c r="O365" s="1544"/>
      <c r="P365" s="1544"/>
    </row>
    <row r="366" spans="1:16" s="1555" customFormat="1" ht="18.75" customHeight="1">
      <c r="A366" s="1742"/>
      <c r="B366" s="1742"/>
      <c r="C366" s="1607" t="s">
        <v>1519</v>
      </c>
      <c r="D366" s="9029"/>
      <c r="E366" s="9030"/>
      <c r="F366" s="9030"/>
      <c r="G366" s="9000"/>
      <c r="H366" s="7594"/>
      <c r="I366" s="7595" t="s">
        <v>1518</v>
      </c>
      <c r="J366" s="7596"/>
      <c r="K366" s="7597"/>
      <c r="L366" s="7598"/>
      <c r="M366" s="1794"/>
      <c r="N366" s="537"/>
      <c r="O366" s="1544"/>
      <c r="P366" s="1544"/>
    </row>
    <row r="367" spans="1:16" s="1555" customFormat="1" ht="18.75" customHeight="1">
      <c r="A367" s="1742" t="s">
        <v>310</v>
      </c>
      <c r="B367" s="1742" t="s">
        <v>625</v>
      </c>
      <c r="C367" s="1607"/>
      <c r="D367" s="9029"/>
      <c r="E367" s="9030"/>
      <c r="F367" s="9030"/>
      <c r="G367" s="9000" t="str">
        <f>INDEX(PT_DIFFERENTIATION_NTAR,MATCH(B367,PT_DIFFERENTIATION_NTAR_ID,0))</f>
        <v>Подвоз воды потребителям поселка Высокогорного</v>
      </c>
      <c r="H367" s="1809"/>
      <c r="I367" s="1658">
        <v>45292</v>
      </c>
      <c r="J367" s="1693">
        <v>45657</v>
      </c>
      <c r="K367" s="1698">
        <f>310.69/1000</f>
        <v>0.31069000000000002</v>
      </c>
      <c r="L367" s="1809" t="s">
        <v>769</v>
      </c>
      <c r="M367" s="1794"/>
      <c r="N367" s="537"/>
      <c r="O367" s="1544"/>
      <c r="P367" s="1544"/>
    </row>
    <row r="368" spans="1:16" s="1555" customFormat="1" ht="18.75" customHeight="1">
      <c r="A368" s="1742"/>
      <c r="B368" s="1742"/>
      <c r="C368" s="1607" t="s">
        <v>1519</v>
      </c>
      <c r="D368" s="9029"/>
      <c r="E368" s="9030"/>
      <c r="F368" s="9030"/>
      <c r="G368" s="9000"/>
      <c r="H368" s="7599"/>
      <c r="I368" s="7600" t="s">
        <v>1518</v>
      </c>
      <c r="J368" s="7601"/>
      <c r="K368" s="7602"/>
      <c r="L368" s="7603"/>
      <c r="M368" s="1794"/>
      <c r="N368" s="537"/>
      <c r="O368" s="1544"/>
      <c r="P368" s="1544"/>
    </row>
    <row r="369" spans="1:16" s="1555" customFormat="1" ht="18.75" customHeight="1">
      <c r="A369" s="1742" t="s">
        <v>310</v>
      </c>
      <c r="B369" s="1742" t="s">
        <v>631</v>
      </c>
      <c r="C369" s="1607"/>
      <c r="D369" s="9029"/>
      <c r="E369" s="9030"/>
      <c r="F369" s="9030"/>
      <c r="G369" s="9000" t="str">
        <f>INDEX(PT_DIFFERENTIATION_NTAR,MATCH(B369,PT_DIFFERENTIATION_NTAR_ID,0))</f>
        <v>Подвоз воды потребителям поселка Левоберезовского</v>
      </c>
      <c r="H369" s="1809"/>
      <c r="I369" s="1658">
        <v>45292</v>
      </c>
      <c r="J369" s="1693">
        <v>45657</v>
      </c>
      <c r="K369" s="1698">
        <f>305.77/1000</f>
        <v>0.30576999999999999</v>
      </c>
      <c r="L369" s="1809" t="s">
        <v>769</v>
      </c>
      <c r="M369" s="1794"/>
      <c r="N369" s="537"/>
      <c r="O369" s="1544"/>
      <c r="P369" s="1544"/>
    </row>
    <row r="370" spans="1:16" s="1555" customFormat="1" ht="18.75" customHeight="1">
      <c r="A370" s="1742"/>
      <c r="B370" s="1742"/>
      <c r="C370" s="1607" t="s">
        <v>1519</v>
      </c>
      <c r="D370" s="9029"/>
      <c r="E370" s="9030"/>
      <c r="F370" s="9030"/>
      <c r="G370" s="9000"/>
      <c r="H370" s="7604"/>
      <c r="I370" s="7605" t="s">
        <v>1518</v>
      </c>
      <c r="J370" s="7606"/>
      <c r="K370" s="7607"/>
      <c r="L370" s="7608"/>
      <c r="M370" s="1794"/>
      <c r="N370" s="537"/>
      <c r="O370" s="1544"/>
      <c r="P370" s="1544"/>
    </row>
    <row r="371" spans="1:16" s="1555" customFormat="1" ht="18.75" customHeight="1">
      <c r="A371" s="1742" t="s">
        <v>310</v>
      </c>
      <c r="B371" s="1742" t="s">
        <v>637</v>
      </c>
      <c r="C371" s="1607"/>
      <c r="D371" s="9029"/>
      <c r="E371" s="9030"/>
      <c r="F371" s="9030"/>
      <c r="G371" s="9000" t="str">
        <f>INDEX(PT_DIFFERENTIATION_NTAR,MATCH(B371,PT_DIFFERENTIATION_NTAR_ID,0))</f>
        <v>Подвоз воды потребителям поселка Правоберезовского</v>
      </c>
      <c r="H371" s="1809"/>
      <c r="I371" s="1658">
        <v>45292</v>
      </c>
      <c r="J371" s="1693">
        <v>45657</v>
      </c>
      <c r="K371" s="1698">
        <f>320.52/1000</f>
        <v>0.32051999999999997</v>
      </c>
      <c r="L371" s="1809" t="s">
        <v>769</v>
      </c>
      <c r="M371" s="1794"/>
      <c r="N371" s="537"/>
      <c r="O371" s="1544"/>
      <c r="P371" s="1544"/>
    </row>
    <row r="372" spans="1:16" s="1555" customFormat="1" ht="18.75" customHeight="1">
      <c r="A372" s="1742"/>
      <c r="B372" s="1742"/>
      <c r="C372" s="1607" t="s">
        <v>1519</v>
      </c>
      <c r="D372" s="9029"/>
      <c r="E372" s="9030"/>
      <c r="F372" s="9030"/>
      <c r="G372" s="9000"/>
      <c r="H372" s="7609"/>
      <c r="I372" s="7610" t="s">
        <v>1518</v>
      </c>
      <c r="J372" s="7611"/>
      <c r="K372" s="7612"/>
      <c r="L372" s="7613"/>
      <c r="M372" s="1794"/>
      <c r="N372" s="537"/>
      <c r="O372" s="1544"/>
      <c r="P372" s="1544"/>
    </row>
    <row r="373" spans="1:16" s="1555" customFormat="1" ht="18.75" customHeight="1">
      <c r="A373" s="1742" t="s">
        <v>310</v>
      </c>
      <c r="B373" s="1742" t="s">
        <v>643</v>
      </c>
      <c r="C373" s="1607"/>
      <c r="D373" s="9029"/>
      <c r="E373" s="9030"/>
      <c r="F373" s="9030"/>
      <c r="G373" s="9000" t="str">
        <f>INDEX(PT_DIFFERENTIATION_NTAR,MATCH(B373,PT_DIFFERENTIATION_NTAR_ID,0))</f>
        <v>Подвоз воды потребителям аула Бакрес</v>
      </c>
      <c r="H373" s="1809"/>
      <c r="I373" s="1658">
        <v>45292</v>
      </c>
      <c r="J373" s="1693">
        <v>45657</v>
      </c>
      <c r="K373" s="1698">
        <f>524.77/1000</f>
        <v>0.52476999999999996</v>
      </c>
      <c r="L373" s="1809" t="s">
        <v>769</v>
      </c>
      <c r="M373" s="1794"/>
      <c r="N373" s="537"/>
      <c r="O373" s="1544"/>
      <c r="P373" s="1544"/>
    </row>
    <row r="374" spans="1:16" s="1555" customFormat="1" ht="18.75" customHeight="1">
      <c r="A374" s="1742"/>
      <c r="B374" s="1742"/>
      <c r="C374" s="1607" t="s">
        <v>1519</v>
      </c>
      <c r="D374" s="9029"/>
      <c r="E374" s="9030"/>
      <c r="F374" s="9030"/>
      <c r="G374" s="9000"/>
      <c r="H374" s="7614"/>
      <c r="I374" s="7615" t="s">
        <v>1518</v>
      </c>
      <c r="J374" s="7616"/>
      <c r="K374" s="7617"/>
      <c r="L374" s="7618"/>
      <c r="M374" s="1794"/>
      <c r="N374" s="537"/>
      <c r="O374" s="1544"/>
      <c r="P374" s="1544"/>
    </row>
    <row r="375" spans="1:16" s="1555" customFormat="1" ht="18.75" customHeight="1">
      <c r="A375" s="1742" t="s">
        <v>310</v>
      </c>
      <c r="B375" s="1742" t="s">
        <v>649</v>
      </c>
      <c r="C375" s="1607"/>
      <c r="D375" s="9029"/>
      <c r="E375" s="9030"/>
      <c r="F375" s="9030"/>
      <c r="G375" s="9000" t="str">
        <f>INDEX(PT_DIFFERENTIATION_NTAR,MATCH(B375,PT_DIFFERENTIATION_NTAR_ID,0))</f>
        <v>Подвоз воды потребителям аула Уллуби-Юрт</v>
      </c>
      <c r="H375" s="1809"/>
      <c r="I375" s="1658">
        <v>45292</v>
      </c>
      <c r="J375" s="1693">
        <v>45657</v>
      </c>
      <c r="K375" s="1698">
        <f>469.49/1000</f>
        <v>0.46949000000000002</v>
      </c>
      <c r="L375" s="1809" t="s">
        <v>769</v>
      </c>
      <c r="M375" s="1794"/>
      <c r="N375" s="537"/>
      <c r="O375" s="1544"/>
      <c r="P375" s="1544"/>
    </row>
    <row r="376" spans="1:16" s="1555" customFormat="1" ht="18.75" customHeight="1">
      <c r="A376" s="1742"/>
      <c r="B376" s="1742"/>
      <c r="C376" s="1607" t="s">
        <v>1519</v>
      </c>
      <c r="D376" s="9029"/>
      <c r="E376" s="9030"/>
      <c r="F376" s="9030"/>
      <c r="G376" s="9000"/>
      <c r="H376" s="7619"/>
      <c r="I376" s="7620" t="s">
        <v>1518</v>
      </c>
      <c r="J376" s="7621"/>
      <c r="K376" s="7622"/>
      <c r="L376" s="7623"/>
      <c r="M376" s="1794"/>
      <c r="N376" s="537"/>
      <c r="O376" s="1544"/>
      <c r="P376" s="1544"/>
    </row>
    <row r="377" spans="1:16" s="1555" customFormat="1" ht="18.75" customHeight="1">
      <c r="A377" s="1742" t="s">
        <v>310</v>
      </c>
      <c r="B377" s="1742" t="s">
        <v>655</v>
      </c>
      <c r="C377" s="1607"/>
      <c r="D377" s="9029"/>
      <c r="E377" s="9030"/>
      <c r="F377" s="9030"/>
      <c r="G377" s="9000" t="str">
        <f>INDEX(PT_DIFFERENTIATION_NTAR,MATCH(B377,PT_DIFFERENTIATION_NTAR_ID,0))</f>
        <v>Подвоз воды потребителям аула Махач-Аул</v>
      </c>
      <c r="H377" s="1809"/>
      <c r="I377" s="1658">
        <v>45292</v>
      </c>
      <c r="J377" s="1693">
        <v>45657</v>
      </c>
      <c r="K377" s="1698">
        <f>520.61/1000</f>
        <v>0.52061000000000002</v>
      </c>
      <c r="L377" s="1809" t="s">
        <v>769</v>
      </c>
      <c r="M377" s="1794"/>
      <c r="N377" s="537"/>
      <c r="O377" s="1544"/>
      <c r="P377" s="1544"/>
    </row>
    <row r="378" spans="1:16" s="1555" customFormat="1" ht="18.75" customHeight="1">
      <c r="A378" s="1742"/>
      <c r="B378" s="1742"/>
      <c r="C378" s="1607" t="s">
        <v>1519</v>
      </c>
      <c r="D378" s="9029"/>
      <c r="E378" s="9030"/>
      <c r="F378" s="9030"/>
      <c r="G378" s="9000"/>
      <c r="H378" s="7624"/>
      <c r="I378" s="7625" t="s">
        <v>1518</v>
      </c>
      <c r="J378" s="7626"/>
      <c r="K378" s="7627"/>
      <c r="L378" s="7628"/>
      <c r="M378" s="1794"/>
      <c r="N378" s="537"/>
      <c r="O378" s="1544"/>
      <c r="P378" s="1544"/>
    </row>
    <row r="379" spans="1:16" s="1555" customFormat="1" ht="18.75" customHeight="1">
      <c r="A379" s="1742" t="s">
        <v>310</v>
      </c>
      <c r="B379" s="1742" t="s">
        <v>661</v>
      </c>
      <c r="C379" s="1607"/>
      <c r="D379" s="9029"/>
      <c r="E379" s="9030"/>
      <c r="F379" s="9030"/>
      <c r="G379" s="9000" t="str">
        <f>INDEX(PT_DIFFERENTIATION_NTAR,MATCH(B379,PT_DIFFERENTIATION_NTAR_ID,0))</f>
        <v>Подвоз воды потребителям аула Уч-Тюбе</v>
      </c>
      <c r="H379" s="1809"/>
      <c r="I379" s="1658">
        <v>45292</v>
      </c>
      <c r="J379" s="1693">
        <v>45657</v>
      </c>
      <c r="K379" s="1698">
        <f>588.24/1000</f>
        <v>0.58823999999999999</v>
      </c>
      <c r="L379" s="1809" t="s">
        <v>769</v>
      </c>
      <c r="M379" s="1794"/>
      <c r="N379" s="537"/>
      <c r="O379" s="1544"/>
      <c r="P379" s="1544"/>
    </row>
    <row r="380" spans="1:16" s="1555" customFormat="1" ht="18.75" customHeight="1">
      <c r="A380" s="1742"/>
      <c r="B380" s="1742"/>
      <c r="C380" s="1607" t="s">
        <v>1519</v>
      </c>
      <c r="D380" s="9029"/>
      <c r="E380" s="9030"/>
      <c r="F380" s="9030"/>
      <c r="G380" s="9000"/>
      <c r="H380" s="7629"/>
      <c r="I380" s="7630" t="s">
        <v>1518</v>
      </c>
      <c r="J380" s="7631"/>
      <c r="K380" s="7632"/>
      <c r="L380" s="7633"/>
      <c r="M380" s="1794"/>
      <c r="N380" s="537"/>
      <c r="O380" s="1544"/>
      <c r="P380" s="1544"/>
    </row>
    <row r="381" spans="1:16" s="1555" customFormat="1" ht="18.75" customHeight="1">
      <c r="A381" s="1742" t="s">
        <v>310</v>
      </c>
      <c r="B381" s="1742" t="s">
        <v>666</v>
      </c>
      <c r="C381" s="1607"/>
      <c r="D381" s="9029"/>
      <c r="E381" s="9030"/>
      <c r="F381" s="9030"/>
      <c r="G381" s="9000" t="str">
        <f>INDEX(PT_DIFFERENTIATION_NTAR,MATCH(B381,PT_DIFFERENTIATION_NTAR_ID,0))</f>
        <v>Подвоз воды потребителям аула Кунай</v>
      </c>
      <c r="H381" s="1809"/>
      <c r="I381" s="1658">
        <v>45292</v>
      </c>
      <c r="J381" s="1693">
        <v>45657</v>
      </c>
      <c r="K381" s="1698">
        <f>598.13/1000</f>
        <v>0.59813000000000005</v>
      </c>
      <c r="L381" s="1809" t="s">
        <v>769</v>
      </c>
      <c r="M381" s="1794"/>
      <c r="N381" s="537"/>
      <c r="O381" s="1544"/>
      <c r="P381" s="1544"/>
    </row>
    <row r="382" spans="1:16" s="1555" customFormat="1" ht="18.75" customHeight="1">
      <c r="A382" s="1742"/>
      <c r="B382" s="1742"/>
      <c r="C382" s="1607" t="s">
        <v>1519</v>
      </c>
      <c r="D382" s="9029"/>
      <c r="E382" s="9030"/>
      <c r="F382" s="9030"/>
      <c r="G382" s="9000"/>
      <c r="H382" s="7634"/>
      <c r="I382" s="7635" t="s">
        <v>1518</v>
      </c>
      <c r="J382" s="7636"/>
      <c r="K382" s="7637"/>
      <c r="L382" s="7638"/>
      <c r="M382" s="1794"/>
      <c r="N382" s="537"/>
      <c r="O382" s="1544"/>
      <c r="P382" s="1544"/>
    </row>
    <row r="383" spans="1:16" s="1555" customFormat="1" ht="18.75" customHeight="1">
      <c r="A383" s="1742" t="s">
        <v>310</v>
      </c>
      <c r="B383" s="1742" t="s">
        <v>672</v>
      </c>
      <c r="C383" s="1607"/>
      <c r="D383" s="9029"/>
      <c r="E383" s="9030"/>
      <c r="F383" s="9030"/>
      <c r="G383" s="9000" t="str">
        <f>INDEX(PT_DIFFERENTIATION_NTAR,MATCH(B383,PT_DIFFERENTIATION_NTAR_ID,0))</f>
        <v>Подвоз воды потребителям аула Артезиан-Мангит</v>
      </c>
      <c r="H383" s="1809"/>
      <c r="I383" s="1658">
        <v>45292</v>
      </c>
      <c r="J383" s="1693">
        <v>45657</v>
      </c>
      <c r="K383" s="1698">
        <f>416.53/1000</f>
        <v>0.41652999999999996</v>
      </c>
      <c r="L383" s="1809" t="s">
        <v>769</v>
      </c>
      <c r="M383" s="1794"/>
      <c r="N383" s="537"/>
      <c r="O383" s="1544"/>
      <c r="P383" s="1544"/>
    </row>
    <row r="384" spans="1:16" s="1555" customFormat="1" ht="18.75" customHeight="1">
      <c r="A384" s="1742"/>
      <c r="B384" s="1742"/>
      <c r="C384" s="1607" t="s">
        <v>1519</v>
      </c>
      <c r="D384" s="9029"/>
      <c r="E384" s="9030"/>
      <c r="F384" s="9030"/>
      <c r="G384" s="9000"/>
      <c r="H384" s="7639"/>
      <c r="I384" s="7640" t="s">
        <v>1518</v>
      </c>
      <c r="J384" s="7641"/>
      <c r="K384" s="7642"/>
      <c r="L384" s="7643"/>
      <c r="M384" s="1794"/>
      <c r="N384" s="537"/>
      <c r="O384" s="1544"/>
      <c r="P384" s="1544"/>
    </row>
    <row r="385" spans="1:16" s="1555" customFormat="1" ht="18.75" customHeight="1">
      <c r="A385" s="1742" t="s">
        <v>310</v>
      </c>
      <c r="B385" s="1742" t="s">
        <v>678</v>
      </c>
      <c r="C385" s="1607"/>
      <c r="D385" s="9029"/>
      <c r="E385" s="9030"/>
      <c r="F385" s="9030"/>
      <c r="G385" s="9000" t="str">
        <f>INDEX(PT_DIFFERENTIATION_NTAR,MATCH(B385,PT_DIFFERENTIATION_NTAR_ID,0))</f>
        <v>Подвоз воды потребителям аула Кок-Бас</v>
      </c>
      <c r="H385" s="1809"/>
      <c r="I385" s="1658">
        <v>45292</v>
      </c>
      <c r="J385" s="1693">
        <v>45657</v>
      </c>
      <c r="K385" s="1698">
        <f>477.96/1000</f>
        <v>0.47796</v>
      </c>
      <c r="L385" s="1809" t="s">
        <v>769</v>
      </c>
      <c r="M385" s="1794"/>
      <c r="N385" s="537"/>
      <c r="O385" s="1544"/>
      <c r="P385" s="1544"/>
    </row>
    <row r="386" spans="1:16" s="1555" customFormat="1" ht="18.75" customHeight="1">
      <c r="A386" s="1742"/>
      <c r="B386" s="1742"/>
      <c r="C386" s="1607" t="s">
        <v>1519</v>
      </c>
      <c r="D386" s="9029"/>
      <c r="E386" s="9030"/>
      <c r="F386" s="9030"/>
      <c r="G386" s="9000"/>
      <c r="H386" s="7644"/>
      <c r="I386" s="7645" t="s">
        <v>1518</v>
      </c>
      <c r="J386" s="7646"/>
      <c r="K386" s="7647"/>
      <c r="L386" s="7648"/>
      <c r="M386" s="1794"/>
      <c r="N386" s="537"/>
      <c r="O386" s="1544"/>
      <c r="P386" s="1544"/>
    </row>
    <row r="387" spans="1:16" s="1555" customFormat="1" ht="18.75" customHeight="1">
      <c r="A387" s="1742" t="s">
        <v>310</v>
      </c>
      <c r="B387" s="1742" t="s">
        <v>684</v>
      </c>
      <c r="C387" s="1607"/>
      <c r="D387" s="9029"/>
      <c r="E387" s="9030"/>
      <c r="F387" s="9030"/>
      <c r="G387" s="9000" t="str">
        <f>INDEX(PT_DIFFERENTIATION_NTAR,MATCH(B387,PT_DIFFERENTIATION_NTAR_ID,0))</f>
        <v>Подвоз воды потребителям села Ачикулак</v>
      </c>
      <c r="H387" s="1809"/>
      <c r="I387" s="1658">
        <v>45292</v>
      </c>
      <c r="J387" s="1693">
        <v>45657</v>
      </c>
      <c r="K387" s="1698">
        <f>362.27/1000</f>
        <v>0.36226999999999998</v>
      </c>
      <c r="L387" s="1809" t="s">
        <v>769</v>
      </c>
      <c r="M387" s="1794"/>
      <c r="N387" s="537"/>
      <c r="O387" s="1544"/>
      <c r="P387" s="1544"/>
    </row>
    <row r="388" spans="1:16" s="1555" customFormat="1" ht="18.75" customHeight="1">
      <c r="A388" s="1742"/>
      <c r="B388" s="1742"/>
      <c r="C388" s="1607" t="s">
        <v>1519</v>
      </c>
      <c r="D388" s="9029"/>
      <c r="E388" s="9030"/>
      <c r="F388" s="9030"/>
      <c r="G388" s="9000"/>
      <c r="H388" s="7649"/>
      <c r="I388" s="7650" t="s">
        <v>1518</v>
      </c>
      <c r="J388" s="7651"/>
      <c r="K388" s="7652"/>
      <c r="L388" s="7653"/>
      <c r="M388" s="1794"/>
      <c r="N388" s="537"/>
      <c r="O388" s="1544"/>
      <c r="P388" s="1544"/>
    </row>
    <row r="389" spans="1:16" s="1555" customFormat="1" ht="18.75" customHeight="1">
      <c r="A389" s="1742" t="s">
        <v>310</v>
      </c>
      <c r="B389" s="1742" t="s">
        <v>690</v>
      </c>
      <c r="C389" s="1607"/>
      <c r="D389" s="9029"/>
      <c r="E389" s="9030"/>
      <c r="F389" s="9030"/>
      <c r="G389" s="9000" t="str">
        <f>INDEX(PT_DIFFERENTIATION_NTAR,MATCH(B389,PT_DIFFERENTIATION_NTAR_ID,0))</f>
        <v>Подвоз воды потребителям хутора Ганькин</v>
      </c>
      <c r="H389" s="1809"/>
      <c r="I389" s="1658">
        <v>45292</v>
      </c>
      <c r="J389" s="1693">
        <v>45657</v>
      </c>
      <c r="K389" s="1698">
        <f>657.45/1000</f>
        <v>0.65745000000000009</v>
      </c>
      <c r="L389" s="1809" t="s">
        <v>769</v>
      </c>
      <c r="M389" s="1794"/>
      <c r="N389" s="537"/>
      <c r="O389" s="1544"/>
      <c r="P389" s="1544"/>
    </row>
    <row r="390" spans="1:16" s="1555" customFormat="1" ht="18.75" customHeight="1">
      <c r="A390" s="1742"/>
      <c r="B390" s="1742"/>
      <c r="C390" s="1607" t="s">
        <v>1519</v>
      </c>
      <c r="D390" s="9029"/>
      <c r="E390" s="9030"/>
      <c r="F390" s="9030"/>
      <c r="G390" s="9000"/>
      <c r="H390" s="7654"/>
      <c r="I390" s="7655" t="s">
        <v>1518</v>
      </c>
      <c r="J390" s="7656"/>
      <c r="K390" s="7657"/>
      <c r="L390" s="7658"/>
      <c r="M390" s="1794"/>
      <c r="N390" s="537"/>
      <c r="O390" s="1544"/>
      <c r="P390" s="1544"/>
    </row>
    <row r="391" spans="1:16" s="1555" customFormat="1" ht="18.75" customHeight="1">
      <c r="A391" s="1742" t="s">
        <v>310</v>
      </c>
      <c r="B391" s="1742" t="s">
        <v>696</v>
      </c>
      <c r="C391" s="1607"/>
      <c r="D391" s="9029"/>
      <c r="E391" s="9030"/>
      <c r="F391" s="9030"/>
      <c r="G391" s="9000" t="str">
        <f>INDEX(PT_DIFFERENTIATION_NTAR,MATCH(B391,PT_DIFFERENTIATION_NTAR_ID,0))</f>
        <v>Подвоз воды потребителям хутора Сычёвского</v>
      </c>
      <c r="H391" s="1809"/>
      <c r="I391" s="1658">
        <v>45292</v>
      </c>
      <c r="J391" s="1693">
        <v>45657</v>
      </c>
      <c r="K391" s="1698">
        <f>329.43/1000</f>
        <v>0.32943</v>
      </c>
      <c r="L391" s="1809" t="s">
        <v>769</v>
      </c>
      <c r="M391" s="1794"/>
      <c r="N391" s="537"/>
      <c r="O391" s="1544"/>
      <c r="P391" s="1544"/>
    </row>
    <row r="392" spans="1:16" s="1555" customFormat="1" ht="18.75" customHeight="1">
      <c r="A392" s="1742"/>
      <c r="B392" s="1742"/>
      <c r="C392" s="1607" t="s">
        <v>1519</v>
      </c>
      <c r="D392" s="9029"/>
      <c r="E392" s="9030"/>
      <c r="F392" s="9030"/>
      <c r="G392" s="9000"/>
      <c r="H392" s="7659"/>
      <c r="I392" s="7660" t="s">
        <v>1518</v>
      </c>
      <c r="J392" s="7661"/>
      <c r="K392" s="7662"/>
      <c r="L392" s="7663"/>
      <c r="M392" s="1794"/>
      <c r="N392" s="537"/>
      <c r="O392" s="1544"/>
      <c r="P392" s="1544"/>
    </row>
    <row r="393" spans="1:16" s="1555" customFormat="1" ht="18.75" customHeight="1">
      <c r="A393" s="1742" t="s">
        <v>310</v>
      </c>
      <c r="B393" s="1742" t="s">
        <v>702</v>
      </c>
      <c r="C393" s="1607"/>
      <c r="D393" s="9029"/>
      <c r="E393" s="9030"/>
      <c r="F393" s="9030"/>
      <c r="G393" s="9000" t="str">
        <f>INDEX(PT_DIFFERENTIATION_NTAR,MATCH(B393,PT_DIFFERENTIATION_NTAR_ID,0))</f>
        <v>Подвоз воды потребителям села Величаевского</v>
      </c>
      <c r="H393" s="1809"/>
      <c r="I393" s="1658">
        <v>45292</v>
      </c>
      <c r="J393" s="1693">
        <v>45657</v>
      </c>
      <c r="K393" s="1698">
        <f>476.2/1000</f>
        <v>0.47620000000000001</v>
      </c>
      <c r="L393" s="1809" t="s">
        <v>769</v>
      </c>
      <c r="M393" s="1794"/>
      <c r="N393" s="537"/>
      <c r="O393" s="1544"/>
      <c r="P393" s="1544"/>
    </row>
    <row r="394" spans="1:16" s="1555" customFormat="1" ht="18.75" customHeight="1">
      <c r="A394" s="1742"/>
      <c r="B394" s="1742"/>
      <c r="C394" s="1607" t="s">
        <v>1519</v>
      </c>
      <c r="D394" s="9029"/>
      <c r="E394" s="9030"/>
      <c r="F394" s="9030"/>
      <c r="G394" s="9000"/>
      <c r="H394" s="7664"/>
      <c r="I394" s="7665" t="s">
        <v>1518</v>
      </c>
      <c r="J394" s="7666"/>
      <c r="K394" s="7667"/>
      <c r="L394" s="7668"/>
      <c r="M394" s="1794"/>
      <c r="N394" s="537"/>
      <c r="O394" s="1544"/>
      <c r="P394" s="1544"/>
    </row>
    <row r="395" spans="1:16" s="1555" customFormat="1" ht="0.75" customHeight="1">
      <c r="A395" s="1700"/>
      <c r="B395" s="1700"/>
      <c r="C395" s="293" t="s">
        <v>1527</v>
      </c>
      <c r="D395" s="9028"/>
      <c r="E395" s="8837"/>
      <c r="F395" s="8972"/>
      <c r="G395" s="329"/>
      <c r="H395" s="1415"/>
      <c r="I395" s="569"/>
      <c r="J395" s="494"/>
      <c r="K395" s="1415"/>
      <c r="L395" s="131"/>
      <c r="M395" s="263"/>
      <c r="N395" s="256"/>
      <c r="O395" s="1544"/>
      <c r="P395" s="1544"/>
    </row>
    <row r="396" spans="1:16" s="1555" customFormat="1" ht="18.75" hidden="1" customHeight="1">
      <c r="A396" s="1700" t="s">
        <v>708</v>
      </c>
      <c r="B396" s="1700" t="s">
        <v>709</v>
      </c>
      <c r="C396" s="293"/>
      <c r="D396" s="9028"/>
      <c r="E396" s="8837"/>
      <c r="F396" s="8972" t="str">
        <f>INDEX(PT_DIFFERENTIATION_VTAR,MATCH(A396,PT_DIFFERENTIATION_VTAR_ID,0))</f>
        <v>Тариф на подключение (технологическое присоединение) к централизованной системе холодного водоснабжения</v>
      </c>
      <c r="G396" s="9000" t="str">
        <f>INDEX(PT_DIFFERENTIATION_NTAR,MATCH(B396,PT_DIFFERENTIATION_NTAR_ID,0))</f>
        <v/>
      </c>
      <c r="H396" s="1781"/>
      <c r="I396" s="1658"/>
      <c r="J396" s="1693"/>
      <c r="K396" s="1698"/>
      <c r="L396" s="1781" t="s">
        <v>769</v>
      </c>
      <c r="M396" s="263"/>
      <c r="N396" s="256"/>
      <c r="O396" s="1544"/>
      <c r="P396" s="1544"/>
    </row>
    <row r="397" spans="1:16" s="1555" customFormat="1" ht="18.75" hidden="1" customHeight="1">
      <c r="A397" s="1700"/>
      <c r="B397" s="1700"/>
      <c r="C397" s="293" t="s">
        <v>1519</v>
      </c>
      <c r="D397" s="9028"/>
      <c r="E397" s="8837"/>
      <c r="F397" s="8972"/>
      <c r="G397" s="9000"/>
      <c r="H397" s="1415"/>
      <c r="I397" s="569" t="s">
        <v>1518</v>
      </c>
      <c r="J397" s="494"/>
      <c r="K397" s="1415"/>
      <c r="L397" s="131"/>
      <c r="M397" s="263"/>
      <c r="N397" s="256"/>
      <c r="O397" s="1544"/>
      <c r="P397" s="1544"/>
    </row>
    <row r="398" spans="1:16" s="1555" customFormat="1" ht="0.75" hidden="1" customHeight="1">
      <c r="A398" s="1700"/>
      <c r="B398" s="1700"/>
      <c r="C398" s="293" t="s">
        <v>1527</v>
      </c>
      <c r="D398" s="9028"/>
      <c r="E398" s="8837"/>
      <c r="F398" s="8972"/>
      <c r="G398" s="329"/>
      <c r="H398" s="1415"/>
      <c r="I398" s="569"/>
      <c r="J398" s="494"/>
      <c r="K398" s="1415"/>
      <c r="L398" s="131"/>
      <c r="M398" s="263"/>
      <c r="N398" s="256"/>
      <c r="O398" s="1544"/>
      <c r="P398" s="1544"/>
    </row>
    <row r="399" spans="1:16" s="1555" customFormat="1" ht="18.75" hidden="1" customHeight="1">
      <c r="A399" s="1700" t="s">
        <v>713</v>
      </c>
      <c r="B399" s="1700" t="s">
        <v>714</v>
      </c>
      <c r="C399" s="293"/>
      <c r="D399" s="9028"/>
      <c r="E399" s="8837"/>
      <c r="F399" s="8972" t="str">
        <f>INDEX(PT_DIFFERENTIATION_VTAR,MATCH(A399,PT_DIFFERENTIATION_VTAR_ID,0))</f>
        <v>Тариф на горячую воду (горячее водоснабжение)</v>
      </c>
      <c r="G399" s="9000" t="str">
        <f>INDEX(PT_DIFFERENTIATION_NTAR,MATCH(B399,PT_DIFFERENTIATION_NTAR_ID,0))</f>
        <v/>
      </c>
      <c r="H399" s="1781"/>
      <c r="I399" s="1658"/>
      <c r="J399" s="1693"/>
      <c r="K399" s="1698"/>
      <c r="L399" s="1781" t="s">
        <v>769</v>
      </c>
      <c r="M399" s="263"/>
      <c r="N399" s="256"/>
      <c r="O399" s="1544"/>
      <c r="P399" s="1544"/>
    </row>
    <row r="400" spans="1:16" s="1555" customFormat="1" ht="18.75" hidden="1" customHeight="1">
      <c r="A400" s="1700"/>
      <c r="B400" s="1700"/>
      <c r="C400" s="293" t="s">
        <v>1519</v>
      </c>
      <c r="D400" s="9028"/>
      <c r="E400" s="8837"/>
      <c r="F400" s="8972"/>
      <c r="G400" s="9000"/>
      <c r="H400" s="1415"/>
      <c r="I400" s="569" t="s">
        <v>1518</v>
      </c>
      <c r="J400" s="494"/>
      <c r="K400" s="1415"/>
      <c r="L400" s="131"/>
      <c r="M400" s="263"/>
      <c r="N400" s="256"/>
      <c r="O400" s="1544"/>
      <c r="P400" s="1544"/>
    </row>
    <row r="401" spans="1:16" s="1555" customFormat="1" ht="0.75" hidden="1" customHeight="1">
      <c r="A401" s="1700"/>
      <c r="B401" s="1700"/>
      <c r="C401" s="293" t="s">
        <v>1527</v>
      </c>
      <c r="D401" s="9028"/>
      <c r="E401" s="8837"/>
      <c r="F401" s="8972"/>
      <c r="G401" s="329"/>
      <c r="H401" s="1415"/>
      <c r="I401" s="569"/>
      <c r="J401" s="494"/>
      <c r="K401" s="1415"/>
      <c r="L401" s="131"/>
      <c r="M401" s="263"/>
      <c r="N401" s="256"/>
      <c r="O401" s="1544"/>
      <c r="P401" s="1544"/>
    </row>
    <row r="402" spans="1:16" s="1555" customFormat="1" ht="18.75" hidden="1" customHeight="1">
      <c r="A402" s="1700" t="s">
        <v>718</v>
      </c>
      <c r="B402" s="1700" t="s">
        <v>719</v>
      </c>
      <c r="C402" s="293"/>
      <c r="D402" s="9028"/>
      <c r="E402" s="8837"/>
      <c r="F402" s="8972" t="str">
        <f>INDEX(PT_DIFFERENTIATION_VTAR,MATCH(A402,PT_DIFFERENTIATION_VTAR_ID,0))</f>
        <v>Тариф на транспортировку горячей воды</v>
      </c>
      <c r="G402" s="9000" t="str">
        <f>INDEX(PT_DIFFERENTIATION_NTAR,MATCH(B402,PT_DIFFERENTIATION_NTAR_ID,0))</f>
        <v/>
      </c>
      <c r="H402" s="1781"/>
      <c r="I402" s="1658"/>
      <c r="J402" s="1693"/>
      <c r="K402" s="1698"/>
      <c r="L402" s="1781" t="s">
        <v>769</v>
      </c>
      <c r="M402" s="263"/>
      <c r="N402" s="256"/>
      <c r="O402" s="1544"/>
      <c r="P402" s="1544"/>
    </row>
    <row r="403" spans="1:16" s="1555" customFormat="1" ht="18.75" hidden="1" customHeight="1">
      <c r="A403" s="1700"/>
      <c r="B403" s="1700"/>
      <c r="C403" s="293" t="s">
        <v>1519</v>
      </c>
      <c r="D403" s="9028"/>
      <c r="E403" s="8837"/>
      <c r="F403" s="8972"/>
      <c r="G403" s="9000"/>
      <c r="H403" s="1415"/>
      <c r="I403" s="569" t="s">
        <v>1518</v>
      </c>
      <c r="J403" s="494"/>
      <c r="K403" s="1415"/>
      <c r="L403" s="131"/>
      <c r="M403" s="263"/>
      <c r="N403" s="256"/>
      <c r="O403" s="1544"/>
      <c r="P403" s="1544"/>
    </row>
    <row r="404" spans="1:16" s="1555" customFormat="1" ht="0.75" hidden="1" customHeight="1">
      <c r="A404" s="1700"/>
      <c r="B404" s="1700"/>
      <c r="C404" s="293" t="s">
        <v>1527</v>
      </c>
      <c r="D404" s="9028"/>
      <c r="E404" s="8837"/>
      <c r="F404" s="8972"/>
      <c r="G404" s="329"/>
      <c r="H404" s="1415"/>
      <c r="I404" s="569"/>
      <c r="J404" s="494"/>
      <c r="K404" s="1415"/>
      <c r="L404" s="131"/>
      <c r="M404" s="263"/>
      <c r="N404" s="256"/>
      <c r="O404" s="1544"/>
      <c r="P404" s="1544"/>
    </row>
    <row r="405" spans="1:16" s="1555" customFormat="1" ht="18.75" hidden="1" customHeight="1">
      <c r="A405" s="1700" t="s">
        <v>723</v>
      </c>
      <c r="B405" s="1700" t="s">
        <v>724</v>
      </c>
      <c r="C405" s="293"/>
      <c r="D405" s="9028"/>
      <c r="E405" s="8837"/>
      <c r="F405" s="8972" t="str">
        <f>INDEX(PT_DIFFERENTIATION_VTAR,MATCH(A405,PT_DIFFERENTIATION_VTAR_ID,0))</f>
        <v>Тариф на подключение (технологическое присоединение) к централизованной системе горячего водоснабжения</v>
      </c>
      <c r="G405" s="9000" t="str">
        <f>INDEX(PT_DIFFERENTIATION_NTAR,MATCH(B405,PT_DIFFERENTIATION_NTAR_ID,0))</f>
        <v/>
      </c>
      <c r="H405" s="1781"/>
      <c r="I405" s="1658"/>
      <c r="J405" s="1693"/>
      <c r="K405" s="1698"/>
      <c r="L405" s="1781" t="s">
        <v>769</v>
      </c>
      <c r="M405" s="263"/>
      <c r="N405" s="256"/>
      <c r="O405" s="1544"/>
      <c r="P405" s="1544"/>
    </row>
    <row r="406" spans="1:16" s="1555" customFormat="1" ht="18.75" hidden="1" customHeight="1">
      <c r="A406" s="1700"/>
      <c r="B406" s="1700"/>
      <c r="C406" s="293" t="s">
        <v>1519</v>
      </c>
      <c r="D406" s="9028"/>
      <c r="E406" s="8837"/>
      <c r="F406" s="8972"/>
      <c r="G406" s="9000"/>
      <c r="H406" s="1415"/>
      <c r="I406" s="569" t="s">
        <v>1518</v>
      </c>
      <c r="J406" s="494"/>
      <c r="K406" s="1415"/>
      <c r="L406" s="131"/>
      <c r="M406" s="263"/>
      <c r="N406" s="256"/>
      <c r="O406" s="1544"/>
      <c r="P406" s="1544"/>
    </row>
    <row r="407" spans="1:16" s="1555" customFormat="1" ht="0.75" hidden="1" customHeight="1">
      <c r="A407" s="1700"/>
      <c r="B407" s="1700"/>
      <c r="C407" s="293" t="s">
        <v>1527</v>
      </c>
      <c r="D407" s="9028"/>
      <c r="E407" s="8837"/>
      <c r="F407" s="8972"/>
      <c r="G407" s="329"/>
      <c r="H407" s="1415"/>
      <c r="I407" s="569"/>
      <c r="J407" s="494"/>
      <c r="K407" s="1415"/>
      <c r="L407" s="131"/>
      <c r="M407" s="263"/>
      <c r="N407" s="256"/>
      <c r="O407" s="1544"/>
      <c r="P407" s="1544"/>
    </row>
    <row r="408" spans="1:16" s="1555" customFormat="1" ht="18.75" hidden="1" customHeight="1">
      <c r="A408" s="1700" t="s">
        <v>728</v>
      </c>
      <c r="B408" s="1700" t="s">
        <v>729</v>
      </c>
      <c r="C408" s="293"/>
      <c r="D408" s="9028"/>
      <c r="E408" s="8837"/>
      <c r="F408" s="8972" t="str">
        <f>INDEX(PT_DIFFERENTIATION_VTAR,MATCH(A408,PT_DIFFERENTIATION_VTAR_ID,0))</f>
        <v>Тариф на водоотведение</v>
      </c>
      <c r="G408" s="9000" t="str">
        <f>INDEX(PT_DIFFERENTIATION_NTAR,MATCH(B408,PT_DIFFERENTIATION_NTAR_ID,0))</f>
        <v/>
      </c>
      <c r="H408" s="1781"/>
      <c r="I408" s="1658"/>
      <c r="J408" s="1693"/>
      <c r="K408" s="1698"/>
      <c r="L408" s="1781" t="s">
        <v>769</v>
      </c>
      <c r="M408" s="263"/>
      <c r="N408" s="256"/>
      <c r="O408" s="1544"/>
      <c r="P408" s="1544"/>
    </row>
    <row r="409" spans="1:16" s="1555" customFormat="1" ht="18.75" hidden="1" customHeight="1">
      <c r="A409" s="1700"/>
      <c r="B409" s="1700"/>
      <c r="C409" s="293" t="s">
        <v>1519</v>
      </c>
      <c r="D409" s="9028"/>
      <c r="E409" s="8837"/>
      <c r="F409" s="8972"/>
      <c r="G409" s="9000"/>
      <c r="H409" s="1415"/>
      <c r="I409" s="569" t="s">
        <v>1518</v>
      </c>
      <c r="J409" s="494"/>
      <c r="K409" s="1415"/>
      <c r="L409" s="131"/>
      <c r="M409" s="263"/>
      <c r="N409" s="256"/>
      <c r="O409" s="1544"/>
      <c r="P409" s="1544"/>
    </row>
    <row r="410" spans="1:16" s="1555" customFormat="1" ht="0.75" hidden="1" customHeight="1">
      <c r="A410" s="1700"/>
      <c r="B410" s="1700"/>
      <c r="C410" s="293" t="s">
        <v>1527</v>
      </c>
      <c r="D410" s="9028"/>
      <c r="E410" s="8837"/>
      <c r="F410" s="8972"/>
      <c r="G410" s="329"/>
      <c r="H410" s="1415"/>
      <c r="I410" s="569"/>
      <c r="J410" s="494"/>
      <c r="K410" s="1415"/>
      <c r="L410" s="131"/>
      <c r="M410" s="263"/>
      <c r="N410" s="256"/>
      <c r="O410" s="1544"/>
      <c r="P410" s="1544"/>
    </row>
    <row r="411" spans="1:16" s="1555" customFormat="1" ht="18.75" hidden="1" customHeight="1">
      <c r="A411" s="1700" t="s">
        <v>733</v>
      </c>
      <c r="B411" s="1700" t="s">
        <v>734</v>
      </c>
      <c r="C411" s="293"/>
      <c r="D411" s="9028"/>
      <c r="E411" s="8837"/>
      <c r="F411" s="8972" t="str">
        <f>INDEX(PT_DIFFERENTIATION_VTAR,MATCH(A411,PT_DIFFERENTIATION_VTAR_ID,0))</f>
        <v>Тариф на транспортировку сточных вод</v>
      </c>
      <c r="G411" s="9000" t="str">
        <f>INDEX(PT_DIFFERENTIATION_NTAR,MATCH(B411,PT_DIFFERENTIATION_NTAR_ID,0))</f>
        <v/>
      </c>
      <c r="H411" s="1781"/>
      <c r="I411" s="1658"/>
      <c r="J411" s="1693"/>
      <c r="K411" s="1698"/>
      <c r="L411" s="1781" t="s">
        <v>769</v>
      </c>
      <c r="M411" s="263"/>
      <c r="N411" s="256"/>
      <c r="O411" s="1544"/>
      <c r="P411" s="1544"/>
    </row>
    <row r="412" spans="1:16" s="1555" customFormat="1" ht="18.75" hidden="1" customHeight="1">
      <c r="A412" s="1700"/>
      <c r="B412" s="1700"/>
      <c r="C412" s="293" t="s">
        <v>1519</v>
      </c>
      <c r="D412" s="9028"/>
      <c r="E412" s="8837"/>
      <c r="F412" s="8972"/>
      <c r="G412" s="9000"/>
      <c r="H412" s="1415"/>
      <c r="I412" s="569" t="s">
        <v>1518</v>
      </c>
      <c r="J412" s="494"/>
      <c r="K412" s="1415"/>
      <c r="L412" s="131"/>
      <c r="M412" s="263"/>
      <c r="N412" s="256"/>
      <c r="O412" s="1544"/>
      <c r="P412" s="1544"/>
    </row>
    <row r="413" spans="1:16" s="1555" customFormat="1" ht="0.75" hidden="1" customHeight="1">
      <c r="A413" s="1700"/>
      <c r="B413" s="1700"/>
      <c r="C413" s="293" t="s">
        <v>1527</v>
      </c>
      <c r="D413" s="9028"/>
      <c r="E413" s="8837"/>
      <c r="F413" s="8972"/>
      <c r="G413" s="329"/>
      <c r="H413" s="1415"/>
      <c r="I413" s="569"/>
      <c r="J413" s="494"/>
      <c r="K413" s="1415"/>
      <c r="L413" s="131"/>
      <c r="M413" s="263"/>
      <c r="N413" s="256"/>
      <c r="O413" s="1544"/>
      <c r="P413" s="1544"/>
    </row>
    <row r="414" spans="1:16" s="1555" customFormat="1" ht="18.75" hidden="1" customHeight="1">
      <c r="A414" s="1700" t="s">
        <v>738</v>
      </c>
      <c r="B414" s="1700" t="s">
        <v>739</v>
      </c>
      <c r="C414" s="293"/>
      <c r="D414" s="9028"/>
      <c r="E414" s="8837"/>
      <c r="F414" s="8972" t="str">
        <f>INDEX(PT_DIFFERENTIATION_VTAR,MATCH(A414,PT_DIFFERENTIATION_VTAR_ID,0))</f>
        <v>Тариф на подключение (технологическое присоединение) к централизованной системе водоотведения</v>
      </c>
      <c r="G414" s="9000" t="str">
        <f>INDEX(PT_DIFFERENTIATION_NTAR,MATCH(B414,PT_DIFFERENTIATION_NTAR_ID,0))</f>
        <v/>
      </c>
      <c r="H414" s="1781"/>
      <c r="I414" s="1658"/>
      <c r="J414" s="1693"/>
      <c r="K414" s="1698"/>
      <c r="L414" s="1781" t="s">
        <v>769</v>
      </c>
      <c r="M414" s="263"/>
      <c r="N414" s="256"/>
      <c r="O414" s="1544"/>
      <c r="P414" s="1544"/>
    </row>
    <row r="415" spans="1:16" s="1555" customFormat="1" ht="18.75" hidden="1" customHeight="1">
      <c r="A415" s="1700"/>
      <c r="B415" s="1700"/>
      <c r="C415" s="293" t="s">
        <v>1519</v>
      </c>
      <c r="D415" s="9028"/>
      <c r="E415" s="8837"/>
      <c r="F415" s="8972"/>
      <c r="G415" s="9000"/>
      <c r="H415" s="1415"/>
      <c r="I415" s="569" t="s">
        <v>1518</v>
      </c>
      <c r="J415" s="494"/>
      <c r="K415" s="1415"/>
      <c r="L415" s="131"/>
      <c r="M415" s="263"/>
      <c r="N415" s="256"/>
      <c r="O415" s="1544"/>
      <c r="P415" s="1544"/>
    </row>
    <row r="416" spans="1:16" s="1555" customFormat="1" ht="0.75" customHeight="1">
      <c r="A416" s="1700"/>
      <c r="B416" s="1700"/>
      <c r="C416" s="293" t="s">
        <v>1527</v>
      </c>
      <c r="D416" s="9028"/>
      <c r="E416" s="8837"/>
      <c r="F416" s="8972"/>
      <c r="G416" s="329"/>
      <c r="H416" s="1415"/>
      <c r="I416" s="569"/>
      <c r="J416" s="494"/>
      <c r="K416" s="1415"/>
      <c r="L416" s="131"/>
      <c r="M416" s="263"/>
      <c r="N416" s="256"/>
      <c r="O416" s="1544"/>
      <c r="P416" s="1544"/>
    </row>
    <row r="417" spans="1:16" ht="18.75" customHeight="1">
      <c r="A417" s="1700"/>
      <c r="B417" s="1700"/>
      <c r="D417" s="300"/>
      <c r="E417" s="67" t="s">
        <v>87</v>
      </c>
      <c r="F417" s="902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417" s="9027"/>
      <c r="H417" s="9027"/>
      <c r="I417" s="9027"/>
      <c r="J417" s="9027"/>
      <c r="K417" s="9027"/>
      <c r="L417" s="9027"/>
      <c r="M417" s="211"/>
      <c r="N417" s="256"/>
    </row>
    <row r="418" spans="1:16" s="1555" customFormat="1" ht="60.75" hidden="1" customHeight="1">
      <c r="A418" s="1700" t="s">
        <v>237</v>
      </c>
      <c r="B418" s="1700" t="s">
        <v>238</v>
      </c>
      <c r="C418" s="293"/>
      <c r="D418" s="9028"/>
      <c r="E418" s="8837"/>
      <c r="F418" s="8972" t="str">
        <f>INDEX(PT_DIFFERENTIATION_VTAR,MATCH(A418,PT_DIFFERENTIATION_VTAR_ID,0))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418" s="9000" t="str">
        <f>INDEX(PT_DIFFERENTIATION_NTAR,MATCH(B418,PT_DIFFERENTIATION_NTAR_ID,0))</f>
        <v/>
      </c>
      <c r="H418" s="1781"/>
      <c r="I418" s="1658"/>
      <c r="J418" s="1693"/>
      <c r="K418" s="1698"/>
      <c r="L418" s="1781" t="s">
        <v>769</v>
      </c>
      <c r="M418" s="87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418" s="256"/>
      <c r="O418" s="1544"/>
      <c r="P418" s="1544"/>
    </row>
    <row r="419" spans="1:16" s="1555" customFormat="1" ht="18.75" hidden="1" customHeight="1">
      <c r="A419" s="1700"/>
      <c r="B419" s="1700"/>
      <c r="C419" s="293" t="s">
        <v>1519</v>
      </c>
      <c r="D419" s="9028"/>
      <c r="E419" s="8837"/>
      <c r="F419" s="8972"/>
      <c r="G419" s="9000"/>
      <c r="H419" s="1415"/>
      <c r="I419" s="569" t="s">
        <v>1518</v>
      </c>
      <c r="J419" s="494"/>
      <c r="K419" s="1415"/>
      <c r="L419" s="131"/>
      <c r="M419" s="8799"/>
      <c r="N419" s="256"/>
      <c r="O419" s="1544"/>
      <c r="P419" s="1544"/>
    </row>
    <row r="420" spans="1:16" s="1555" customFormat="1" ht="0.75" hidden="1" customHeight="1">
      <c r="A420" s="1700"/>
      <c r="B420" s="1700"/>
      <c r="C420" s="293" t="s">
        <v>1527</v>
      </c>
      <c r="D420" s="9028"/>
      <c r="E420" s="8837"/>
      <c r="F420" s="8972"/>
      <c r="G420" s="329"/>
      <c r="H420" s="1415"/>
      <c r="I420" s="569"/>
      <c r="J420" s="494"/>
      <c r="K420" s="1415"/>
      <c r="L420" s="131"/>
      <c r="M420" s="8799"/>
      <c r="N420" s="256"/>
      <c r="O420" s="1544"/>
      <c r="P420" s="1544"/>
    </row>
    <row r="421" spans="1:16" s="1555" customFormat="1" ht="45" hidden="1" customHeight="1">
      <c r="A421" s="1700" t="s">
        <v>243</v>
      </c>
      <c r="B421" s="1700" t="s">
        <v>244</v>
      </c>
      <c r="C421" s="293"/>
      <c r="D421" s="9028"/>
      <c r="E421" s="8837"/>
      <c r="F421" s="8972" t="str">
        <f>INDEX(PT_DIFFERENTIATION_VTAR,MATCH(A421,PT_DIFFERENTIATION_VTAR_ID,0))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21" s="9000" t="str">
        <f>INDEX(PT_DIFFERENTIATION_NTAR,MATCH(B421,PT_DIFFERENTIATION_NTAR_ID,0))</f>
        <v/>
      </c>
      <c r="H421" s="1781"/>
      <c r="I421" s="1658"/>
      <c r="J421" s="1693"/>
      <c r="K421" s="1698"/>
      <c r="L421" s="1781" t="s">
        <v>769</v>
      </c>
      <c r="M421" s="8800"/>
      <c r="N421" s="256"/>
      <c r="O421" s="1544"/>
      <c r="P421" s="1544"/>
    </row>
    <row r="422" spans="1:16" s="1555" customFormat="1" ht="18.75" hidden="1" customHeight="1">
      <c r="A422" s="1700"/>
      <c r="B422" s="1700"/>
      <c r="C422" s="293" t="s">
        <v>1519</v>
      </c>
      <c r="D422" s="9028"/>
      <c r="E422" s="8837"/>
      <c r="F422" s="8972"/>
      <c r="G422" s="9000"/>
      <c r="H422" s="1415"/>
      <c r="I422" s="569" t="s">
        <v>1518</v>
      </c>
      <c r="J422" s="494"/>
      <c r="K422" s="1415"/>
      <c r="L422" s="131"/>
      <c r="M422" s="1780"/>
      <c r="N422" s="256"/>
      <c r="O422" s="1544"/>
      <c r="P422" s="1544"/>
    </row>
    <row r="423" spans="1:16" s="1555" customFormat="1" ht="0.75" hidden="1" customHeight="1">
      <c r="A423" s="1700"/>
      <c r="B423" s="1700"/>
      <c r="C423" s="293" t="s">
        <v>1527</v>
      </c>
      <c r="D423" s="9028"/>
      <c r="E423" s="8837"/>
      <c r="F423" s="8972"/>
      <c r="G423" s="329"/>
      <c r="H423" s="1415"/>
      <c r="I423" s="569"/>
      <c r="J423" s="494"/>
      <c r="K423" s="1415"/>
      <c r="L423" s="131"/>
      <c r="M423" s="263"/>
      <c r="N423" s="256"/>
      <c r="O423" s="1544"/>
      <c r="P423" s="1544"/>
    </row>
    <row r="424" spans="1:16" s="1555" customFormat="1" ht="45" hidden="1" customHeight="1">
      <c r="A424" s="1700" t="s">
        <v>249</v>
      </c>
      <c r="B424" s="1700" t="s">
        <v>250</v>
      </c>
      <c r="C424" s="293"/>
      <c r="D424" s="9028"/>
      <c r="E424" s="8837"/>
      <c r="F424" s="8972" t="str">
        <f>INDEX(PT_DIFFERENTIATION_VTAR,MATCH(A424,PT_DIFFERENTIATION_VTAR_ID,0))</f>
        <v>Тарифы на теплоноситель, поставляемый теплоснабжающими организациями потребителям, другим теплоснабжающим организациям</v>
      </c>
      <c r="G424" s="9000" t="str">
        <f>INDEX(PT_DIFFERENTIATION_NTAR,MATCH(B424,PT_DIFFERENTIATION_NTAR_ID,0))</f>
        <v/>
      </c>
      <c r="H424" s="1781"/>
      <c r="I424" s="1658"/>
      <c r="J424" s="1693"/>
      <c r="K424" s="1698"/>
      <c r="L424" s="1781" t="s">
        <v>769</v>
      </c>
      <c r="M424" s="263"/>
      <c r="N424" s="256"/>
      <c r="O424" s="1544"/>
      <c r="P424" s="1544"/>
    </row>
    <row r="425" spans="1:16" s="1555" customFormat="1" ht="18.75" hidden="1" customHeight="1">
      <c r="A425" s="1700"/>
      <c r="B425" s="1700"/>
      <c r="C425" s="293" t="s">
        <v>1519</v>
      </c>
      <c r="D425" s="9028"/>
      <c r="E425" s="8837"/>
      <c r="F425" s="8972"/>
      <c r="G425" s="9000"/>
      <c r="H425" s="1415"/>
      <c r="I425" s="569" t="s">
        <v>1518</v>
      </c>
      <c r="J425" s="494"/>
      <c r="K425" s="1415"/>
      <c r="L425" s="131"/>
      <c r="M425" s="263"/>
      <c r="N425" s="256"/>
      <c r="O425" s="1544"/>
      <c r="P425" s="1544"/>
    </row>
    <row r="426" spans="1:16" s="1555" customFormat="1" ht="0.75" hidden="1" customHeight="1">
      <c r="A426" s="1700"/>
      <c r="B426" s="1700"/>
      <c r="C426" s="293" t="s">
        <v>1527</v>
      </c>
      <c r="D426" s="9028"/>
      <c r="E426" s="8837"/>
      <c r="F426" s="8972"/>
      <c r="G426" s="329"/>
      <c r="H426" s="1415"/>
      <c r="I426" s="569"/>
      <c r="J426" s="494"/>
      <c r="K426" s="1415"/>
      <c r="L426" s="131"/>
      <c r="M426" s="263"/>
      <c r="N426" s="256"/>
      <c r="O426" s="1544"/>
      <c r="P426" s="1544"/>
    </row>
    <row r="427" spans="1:16" s="1555" customFormat="1" ht="45" hidden="1" customHeight="1">
      <c r="A427" s="1700" t="s">
        <v>255</v>
      </c>
      <c r="B427" s="1700" t="s">
        <v>256</v>
      </c>
      <c r="C427" s="293"/>
      <c r="D427" s="9028"/>
      <c r="E427" s="8837"/>
      <c r="F427" s="8972" t="str">
        <f>INDEX(PT_DIFFERENTIATION_VTAR,MATCH(A427,PT_DIFFERENTIATION_VTAR_ID,0))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27" s="9000" t="str">
        <f>INDEX(PT_DIFFERENTIATION_NTAR,MATCH(B427,PT_DIFFERENTIATION_NTAR_ID,0))</f>
        <v/>
      </c>
      <c r="H427" s="1781"/>
      <c r="I427" s="1658"/>
      <c r="J427" s="1693"/>
      <c r="K427" s="1698"/>
      <c r="L427" s="1781" t="s">
        <v>769</v>
      </c>
      <c r="M427" s="263"/>
      <c r="N427" s="256"/>
      <c r="O427" s="1544"/>
      <c r="P427" s="1544"/>
    </row>
    <row r="428" spans="1:16" s="1555" customFormat="1" ht="18.75" hidden="1" customHeight="1">
      <c r="A428" s="1700"/>
      <c r="B428" s="1700"/>
      <c r="C428" s="293" t="s">
        <v>1519</v>
      </c>
      <c r="D428" s="9028"/>
      <c r="E428" s="8837"/>
      <c r="F428" s="8972"/>
      <c r="G428" s="9000"/>
      <c r="H428" s="1415"/>
      <c r="I428" s="569" t="s">
        <v>1518</v>
      </c>
      <c r="J428" s="494"/>
      <c r="K428" s="1415"/>
      <c r="L428" s="131"/>
      <c r="M428" s="263"/>
      <c r="N428" s="256"/>
      <c r="O428" s="1544"/>
      <c r="P428" s="1544"/>
    </row>
    <row r="429" spans="1:16" s="1555" customFormat="1" ht="0.75" hidden="1" customHeight="1">
      <c r="A429" s="1700"/>
      <c r="B429" s="1700"/>
      <c r="C429" s="293" t="s">
        <v>1527</v>
      </c>
      <c r="D429" s="9028"/>
      <c r="E429" s="8837"/>
      <c r="F429" s="8972"/>
      <c r="G429" s="329"/>
      <c r="H429" s="1415"/>
      <c r="I429" s="569"/>
      <c r="J429" s="494"/>
      <c r="K429" s="1415"/>
      <c r="L429" s="131"/>
      <c r="M429" s="263"/>
      <c r="N429" s="256"/>
      <c r="O429" s="1544"/>
      <c r="P429" s="1544"/>
    </row>
    <row r="430" spans="1:16" s="1555" customFormat="1" ht="18.75" hidden="1" customHeight="1">
      <c r="A430" s="1700" t="s">
        <v>261</v>
      </c>
      <c r="B430" s="1700" t="s">
        <v>262</v>
      </c>
      <c r="C430" s="293"/>
      <c r="D430" s="9028"/>
      <c r="E430" s="8837"/>
      <c r="F430" s="8972" t="str">
        <f>INDEX(PT_DIFFERENTIATION_VTAR,MATCH(A430,PT_DIFFERENTIATION_VTAR_ID,0))</f>
        <v>Тарифы на услуги по передаче тепловой энергии</v>
      </c>
      <c r="G430" s="9000" t="str">
        <f>INDEX(PT_DIFFERENTIATION_NTAR,MATCH(B430,PT_DIFFERENTIATION_NTAR_ID,0))</f>
        <v/>
      </c>
      <c r="H430" s="1781"/>
      <c r="I430" s="1658"/>
      <c r="J430" s="1693"/>
      <c r="K430" s="1698"/>
      <c r="L430" s="1781" t="s">
        <v>769</v>
      </c>
      <c r="M430" s="263"/>
      <c r="N430" s="256"/>
      <c r="O430" s="1544"/>
      <c r="P430" s="1544"/>
    </row>
    <row r="431" spans="1:16" s="1555" customFormat="1" ht="18.75" hidden="1" customHeight="1">
      <c r="A431" s="1700"/>
      <c r="B431" s="1700"/>
      <c r="C431" s="293" t="s">
        <v>1519</v>
      </c>
      <c r="D431" s="9028"/>
      <c r="E431" s="8837"/>
      <c r="F431" s="8972"/>
      <c r="G431" s="9000"/>
      <c r="H431" s="1415"/>
      <c r="I431" s="569" t="s">
        <v>1518</v>
      </c>
      <c r="J431" s="494"/>
      <c r="K431" s="1415"/>
      <c r="L431" s="131"/>
      <c r="M431" s="263"/>
      <c r="N431" s="256"/>
      <c r="O431" s="1544"/>
      <c r="P431" s="1544"/>
    </row>
    <row r="432" spans="1:16" s="1555" customFormat="1" ht="0.75" hidden="1" customHeight="1">
      <c r="A432" s="1700"/>
      <c r="B432" s="1700"/>
      <c r="C432" s="293" t="s">
        <v>1527</v>
      </c>
      <c r="D432" s="9028"/>
      <c r="E432" s="8837"/>
      <c r="F432" s="8972"/>
      <c r="G432" s="329"/>
      <c r="H432" s="1415"/>
      <c r="I432" s="569"/>
      <c r="J432" s="494"/>
      <c r="K432" s="1415"/>
      <c r="L432" s="131"/>
      <c r="M432" s="263"/>
      <c r="N432" s="256"/>
      <c r="O432" s="1544"/>
      <c r="P432" s="1544"/>
    </row>
    <row r="433" spans="1:16" s="1555" customFormat="1" ht="18.75" hidden="1" customHeight="1">
      <c r="A433" s="1700" t="s">
        <v>267</v>
      </c>
      <c r="B433" s="1700" t="s">
        <v>268</v>
      </c>
      <c r="C433" s="293"/>
      <c r="D433" s="9028"/>
      <c r="E433" s="8837"/>
      <c r="F433" s="8972" t="str">
        <f>INDEX(PT_DIFFERENTIATION_VTAR,MATCH(A433,PT_DIFFERENTIATION_VTAR_ID,0))</f>
        <v>Тарифы на услуги по передаче теплоносителя</v>
      </c>
      <c r="G433" s="9000" t="str">
        <f>INDEX(PT_DIFFERENTIATION_NTAR,MATCH(B433,PT_DIFFERENTIATION_NTAR_ID,0))</f>
        <v/>
      </c>
      <c r="H433" s="1781"/>
      <c r="I433" s="1658"/>
      <c r="J433" s="1693"/>
      <c r="K433" s="1698"/>
      <c r="L433" s="1781" t="s">
        <v>769</v>
      </c>
      <c r="M433" s="263"/>
      <c r="N433" s="256"/>
      <c r="O433" s="1544"/>
      <c r="P433" s="1544"/>
    </row>
    <row r="434" spans="1:16" s="1555" customFormat="1" ht="18.75" hidden="1" customHeight="1">
      <c r="A434" s="1700"/>
      <c r="B434" s="1700"/>
      <c r="C434" s="293" t="s">
        <v>1519</v>
      </c>
      <c r="D434" s="9028"/>
      <c r="E434" s="8837"/>
      <c r="F434" s="8972"/>
      <c r="G434" s="9000"/>
      <c r="H434" s="1415"/>
      <c r="I434" s="569" t="s">
        <v>1518</v>
      </c>
      <c r="J434" s="494"/>
      <c r="K434" s="1415"/>
      <c r="L434" s="131"/>
      <c r="M434" s="263"/>
      <c r="N434" s="256"/>
      <c r="O434" s="1544"/>
      <c r="P434" s="1544"/>
    </row>
    <row r="435" spans="1:16" s="1555" customFormat="1" ht="0.75" hidden="1" customHeight="1">
      <c r="A435" s="1700"/>
      <c r="B435" s="1700"/>
      <c r="C435" s="293" t="s">
        <v>1527</v>
      </c>
      <c r="D435" s="9028"/>
      <c r="E435" s="8837"/>
      <c r="F435" s="8972"/>
      <c r="G435" s="329"/>
      <c r="H435" s="1415"/>
      <c r="I435" s="569"/>
      <c r="J435" s="494"/>
      <c r="K435" s="1415"/>
      <c r="L435" s="131"/>
      <c r="M435" s="263"/>
      <c r="N435" s="256"/>
      <c r="O435" s="1544"/>
      <c r="P435" s="1544"/>
    </row>
    <row r="436" spans="1:16" s="1555" customFormat="1" ht="18.75" hidden="1" customHeight="1">
      <c r="A436" s="1700" t="s">
        <v>273</v>
      </c>
      <c r="B436" s="1700" t="s">
        <v>274</v>
      </c>
      <c r="C436" s="293"/>
      <c r="D436" s="9028"/>
      <c r="E436" s="8837"/>
      <c r="F436" s="8972" t="str">
        <f>INDEX(PT_DIFFERENTIATION_VTAR,MATCH(A436,PT_DIFFERENTIATION_VTAR_ID,0))</f>
        <v>Плата за услуги по поддержанию резервной тепловой мощности при отсутствии потребления тепловой энергии</v>
      </c>
      <c r="G436" s="9000" t="str">
        <f>INDEX(PT_DIFFERENTIATION_NTAR,MATCH(B436,PT_DIFFERENTIATION_NTAR_ID,0))</f>
        <v/>
      </c>
      <c r="H436" s="1781"/>
      <c r="I436" s="1658"/>
      <c r="J436" s="1693"/>
      <c r="K436" s="1698"/>
      <c r="L436" s="1781" t="s">
        <v>769</v>
      </c>
      <c r="M436" s="263"/>
      <c r="N436" s="256"/>
      <c r="O436" s="1544"/>
      <c r="P436" s="1544"/>
    </row>
    <row r="437" spans="1:16" s="1555" customFormat="1" ht="18.75" hidden="1" customHeight="1">
      <c r="A437" s="1700"/>
      <c r="B437" s="1700"/>
      <c r="C437" s="293" t="s">
        <v>1519</v>
      </c>
      <c r="D437" s="9028"/>
      <c r="E437" s="8837"/>
      <c r="F437" s="8972"/>
      <c r="G437" s="9000"/>
      <c r="H437" s="1415"/>
      <c r="I437" s="569" t="s">
        <v>1518</v>
      </c>
      <c r="J437" s="494"/>
      <c r="K437" s="1415"/>
      <c r="L437" s="131"/>
      <c r="M437" s="263"/>
      <c r="N437" s="256"/>
      <c r="O437" s="1544"/>
      <c r="P437" s="1544"/>
    </row>
    <row r="438" spans="1:16" s="1555" customFormat="1" ht="0.75" hidden="1" customHeight="1">
      <c r="A438" s="1700"/>
      <c r="B438" s="1700"/>
      <c r="C438" s="293" t="s">
        <v>1527</v>
      </c>
      <c r="D438" s="9028"/>
      <c r="E438" s="8837"/>
      <c r="F438" s="8972"/>
      <c r="G438" s="329"/>
      <c r="H438" s="1415"/>
      <c r="I438" s="569"/>
      <c r="J438" s="494"/>
      <c r="K438" s="1415"/>
      <c r="L438" s="131"/>
      <c r="M438" s="263"/>
      <c r="N438" s="256"/>
      <c r="O438" s="1544"/>
      <c r="P438" s="1544"/>
    </row>
    <row r="439" spans="1:16" s="1555" customFormat="1" ht="18.75" hidden="1" customHeight="1">
      <c r="A439" s="1700" t="s">
        <v>279</v>
      </c>
      <c r="B439" s="1700" t="s">
        <v>280</v>
      </c>
      <c r="C439" s="293"/>
      <c r="D439" s="9028"/>
      <c r="E439" s="8837"/>
      <c r="F439" s="8972" t="str">
        <f>INDEX(PT_DIFFERENTIATION_VTAR,MATCH(A439,PT_DIFFERENTIATION_VTAR_ID,0))</f>
        <v>Плата за подключение (технологическое присоединение) к системе теплоснабжения</v>
      </c>
      <c r="G439" s="9000" t="str">
        <f>INDEX(PT_DIFFERENTIATION_NTAR,MATCH(B439,PT_DIFFERENTIATION_NTAR_ID,0))</f>
        <v/>
      </c>
      <c r="H439" s="1781"/>
      <c r="I439" s="1658"/>
      <c r="J439" s="1693"/>
      <c r="K439" s="1698"/>
      <c r="L439" s="1781" t="s">
        <v>769</v>
      </c>
      <c r="M439" s="263"/>
      <c r="N439" s="256"/>
      <c r="O439" s="1544"/>
      <c r="P439" s="1544"/>
    </row>
    <row r="440" spans="1:16" s="1555" customFormat="1" ht="18.75" hidden="1" customHeight="1">
      <c r="A440" s="1700"/>
      <c r="B440" s="1700"/>
      <c r="C440" s="293" t="s">
        <v>1519</v>
      </c>
      <c r="D440" s="9028"/>
      <c r="E440" s="8837"/>
      <c r="F440" s="8972"/>
      <c r="G440" s="9000"/>
      <c r="H440" s="1415"/>
      <c r="I440" s="569" t="s">
        <v>1518</v>
      </c>
      <c r="J440" s="494"/>
      <c r="K440" s="1415"/>
      <c r="L440" s="131"/>
      <c r="M440" s="263"/>
      <c r="N440" s="256"/>
      <c r="O440" s="1544"/>
      <c r="P440" s="1544"/>
    </row>
    <row r="441" spans="1:16" s="1555" customFormat="1" ht="0.75" hidden="1" customHeight="1">
      <c r="A441" s="1700"/>
      <c r="B441" s="1700"/>
      <c r="C441" s="293" t="s">
        <v>1527</v>
      </c>
      <c r="D441" s="9028"/>
      <c r="E441" s="8837"/>
      <c r="F441" s="8972"/>
      <c r="G441" s="329"/>
      <c r="H441" s="1415"/>
      <c r="I441" s="569"/>
      <c r="J441" s="494"/>
      <c r="K441" s="1415"/>
      <c r="L441" s="131"/>
      <c r="M441" s="263"/>
      <c r="N441" s="256"/>
      <c r="O441" s="1544"/>
      <c r="P441" s="1544"/>
    </row>
    <row r="442" spans="1:16" s="1555" customFormat="1" ht="18.75" hidden="1" customHeight="1">
      <c r="A442" s="1700" t="s">
        <v>293</v>
      </c>
      <c r="B442" s="1700" t="s">
        <v>294</v>
      </c>
      <c r="C442" s="293"/>
      <c r="D442" s="9028"/>
      <c r="E442" s="8837"/>
      <c r="F442" s="8972" t="str">
        <f>INDEX(PT_DIFFERENTIATION_VTAR,MATCH(A442,PT_DIFFERENTIATION_VTAR_ID,0))</f>
        <v>Тариф на питьевую воду (питьевое водоснабжение)</v>
      </c>
      <c r="G442" s="9000" t="str">
        <f>INDEX(PT_DIFFERENTIATION_NTAR,MATCH(B442,PT_DIFFERENTIATION_NTAR_ID,0))</f>
        <v/>
      </c>
      <c r="H442" s="1781"/>
      <c r="I442" s="1658"/>
      <c r="J442" s="1693"/>
      <c r="K442" s="1698"/>
      <c r="L442" s="1781" t="s">
        <v>769</v>
      </c>
      <c r="M442" s="263"/>
      <c r="N442" s="256"/>
      <c r="O442" s="1544"/>
      <c r="P442" s="1544"/>
    </row>
    <row r="443" spans="1:16" s="1555" customFormat="1" ht="18.75" hidden="1" customHeight="1">
      <c r="A443" s="1700"/>
      <c r="B443" s="1700"/>
      <c r="C443" s="293" t="s">
        <v>1519</v>
      </c>
      <c r="D443" s="9028"/>
      <c r="E443" s="8837"/>
      <c r="F443" s="8972"/>
      <c r="G443" s="9000"/>
      <c r="H443" s="1415"/>
      <c r="I443" s="569" t="s">
        <v>1518</v>
      </c>
      <c r="J443" s="494"/>
      <c r="K443" s="1415"/>
      <c r="L443" s="131"/>
      <c r="M443" s="263"/>
      <c r="N443" s="256"/>
      <c r="O443" s="1544"/>
      <c r="P443" s="1544"/>
    </row>
    <row r="444" spans="1:16" s="1555" customFormat="1" ht="0.75" hidden="1" customHeight="1">
      <c r="A444" s="1700"/>
      <c r="B444" s="1700"/>
      <c r="C444" s="293" t="s">
        <v>1527</v>
      </c>
      <c r="D444" s="9028"/>
      <c r="E444" s="8837"/>
      <c r="F444" s="8972"/>
      <c r="G444" s="329"/>
      <c r="H444" s="1415"/>
      <c r="I444" s="569"/>
      <c r="J444" s="494"/>
      <c r="K444" s="1415"/>
      <c r="L444" s="131"/>
      <c r="M444" s="263"/>
      <c r="N444" s="256"/>
      <c r="O444" s="1544"/>
      <c r="P444" s="1544"/>
    </row>
    <row r="445" spans="1:16" s="1555" customFormat="1" ht="18.75" hidden="1" customHeight="1">
      <c r="A445" s="1700" t="s">
        <v>298</v>
      </c>
      <c r="B445" s="1700" t="s">
        <v>299</v>
      </c>
      <c r="C445" s="293"/>
      <c r="D445" s="9028"/>
      <c r="E445" s="8837"/>
      <c r="F445" s="8972" t="str">
        <f>INDEX(PT_DIFFERENTIATION_VTAR,MATCH(A445,PT_DIFFERENTIATION_VTAR_ID,0))</f>
        <v>Тариф на техническую воду</v>
      </c>
      <c r="G445" s="9000" t="str">
        <f>INDEX(PT_DIFFERENTIATION_NTAR,MATCH(B445,PT_DIFFERENTIATION_NTAR_ID,0))</f>
        <v/>
      </c>
      <c r="H445" s="1781"/>
      <c r="I445" s="1658"/>
      <c r="J445" s="1693"/>
      <c r="K445" s="1698"/>
      <c r="L445" s="1781" t="s">
        <v>769</v>
      </c>
      <c r="M445" s="263"/>
      <c r="N445" s="256"/>
      <c r="O445" s="1544"/>
      <c r="P445" s="1544"/>
    </row>
    <row r="446" spans="1:16" s="1555" customFormat="1" ht="18.75" hidden="1" customHeight="1">
      <c r="A446" s="1700"/>
      <c r="B446" s="1700"/>
      <c r="C446" s="293" t="s">
        <v>1519</v>
      </c>
      <c r="D446" s="9028"/>
      <c r="E446" s="8837"/>
      <c r="F446" s="8972"/>
      <c r="G446" s="9000"/>
      <c r="H446" s="1415"/>
      <c r="I446" s="569" t="s">
        <v>1518</v>
      </c>
      <c r="J446" s="494"/>
      <c r="K446" s="1415"/>
      <c r="L446" s="131"/>
      <c r="M446" s="263"/>
      <c r="N446" s="256"/>
      <c r="O446" s="1544"/>
      <c r="P446" s="1544"/>
    </row>
    <row r="447" spans="1:16" s="1555" customFormat="1" ht="0.75" hidden="1" customHeight="1">
      <c r="A447" s="1700"/>
      <c r="B447" s="1700"/>
      <c r="C447" s="293" t="s">
        <v>1527</v>
      </c>
      <c r="D447" s="9028"/>
      <c r="E447" s="8837"/>
      <c r="F447" s="8972"/>
      <c r="G447" s="329"/>
      <c r="H447" s="1415"/>
      <c r="I447" s="569"/>
      <c r="J447" s="494"/>
      <c r="K447" s="1415"/>
      <c r="L447" s="131"/>
      <c r="M447" s="263"/>
      <c r="N447" s="256"/>
      <c r="O447" s="1544"/>
      <c r="P447" s="1544"/>
    </row>
    <row r="448" spans="1:16" s="1555" customFormat="1" ht="18.75" hidden="1" customHeight="1">
      <c r="A448" s="1700" t="s">
        <v>303</v>
      </c>
      <c r="B448" s="1700" t="s">
        <v>304</v>
      </c>
      <c r="C448" s="293"/>
      <c r="D448" s="9028"/>
      <c r="E448" s="8837"/>
      <c r="F448" s="8972" t="str">
        <f>INDEX(PT_DIFFERENTIATION_VTAR,MATCH(A448,PT_DIFFERENTIATION_VTAR_ID,0))</f>
        <v>Тариф на транспортировку воды</v>
      </c>
      <c r="G448" s="9000" t="str">
        <f>INDEX(PT_DIFFERENTIATION_NTAR,MATCH(B448,PT_DIFFERENTIATION_NTAR_ID,0))</f>
        <v/>
      </c>
      <c r="H448" s="1781"/>
      <c r="I448" s="1658"/>
      <c r="J448" s="1693"/>
      <c r="K448" s="1698"/>
      <c r="L448" s="1781" t="s">
        <v>769</v>
      </c>
      <c r="M448" s="263"/>
      <c r="N448" s="256"/>
      <c r="O448" s="1544"/>
      <c r="P448" s="1544"/>
    </row>
    <row r="449" spans="1:16" s="1555" customFormat="1" ht="18.75" hidden="1" customHeight="1">
      <c r="A449" s="1700"/>
      <c r="B449" s="1700"/>
      <c r="C449" s="293" t="s">
        <v>1519</v>
      </c>
      <c r="D449" s="9028"/>
      <c r="E449" s="8837"/>
      <c r="F449" s="8972"/>
      <c r="G449" s="9000"/>
      <c r="H449" s="1415"/>
      <c r="I449" s="569" t="s">
        <v>1518</v>
      </c>
      <c r="J449" s="494"/>
      <c r="K449" s="1415"/>
      <c r="L449" s="131"/>
      <c r="M449" s="263"/>
      <c r="N449" s="256"/>
      <c r="O449" s="1544"/>
      <c r="P449" s="1544"/>
    </row>
    <row r="450" spans="1:16" s="1555" customFormat="1" ht="0.75" hidden="1" customHeight="1">
      <c r="A450" s="1700"/>
      <c r="B450" s="1700"/>
      <c r="C450" s="293" t="s">
        <v>1527</v>
      </c>
      <c r="D450" s="9028"/>
      <c r="E450" s="8837"/>
      <c r="F450" s="8972"/>
      <c r="G450" s="329"/>
      <c r="H450" s="1415"/>
      <c r="I450" s="569"/>
      <c r="J450" s="494"/>
      <c r="K450" s="1415"/>
      <c r="L450" s="131"/>
      <c r="M450" s="263"/>
      <c r="N450" s="256"/>
      <c r="O450" s="1544"/>
      <c r="P450" s="1544"/>
    </row>
    <row r="451" spans="1:16" s="1555" customFormat="1" ht="18.75" customHeight="1">
      <c r="A451" s="1700" t="s">
        <v>310</v>
      </c>
      <c r="B451" s="1700" t="s">
        <v>311</v>
      </c>
      <c r="C451" s="293"/>
      <c r="D451" s="9028"/>
      <c r="E451" s="8837"/>
      <c r="F451" s="8972" t="str">
        <f>INDEX(PT_DIFFERENTIATION_VTAR,MATCH(A451,PT_DIFFERENTIATION_VTAR_ID,0))</f>
        <v>Тариф на подвоз воды</v>
      </c>
      <c r="G451" s="9000" t="str">
        <f>INDEX(PT_DIFFERENTIATION_NTAR,MATCH(B451,PT_DIFFERENTIATION_NTAR_ID,0))</f>
        <v>Подвоз воды потребителям поселка Малостепновского</v>
      </c>
      <c r="H451" s="1781"/>
      <c r="I451" s="1658">
        <v>45292</v>
      </c>
      <c r="J451" s="1693">
        <v>45657</v>
      </c>
      <c r="K451" s="1698">
        <v>1E-3</v>
      </c>
      <c r="L451" s="1781" t="s">
        <v>769</v>
      </c>
      <c r="M451" s="263"/>
      <c r="N451" s="256"/>
      <c r="O451" s="1544"/>
      <c r="P451" s="1544"/>
    </row>
    <row r="452" spans="1:16" s="1555" customFormat="1" ht="18.75" customHeight="1">
      <c r="A452" s="1700"/>
      <c r="B452" s="1700"/>
      <c r="C452" s="293" t="s">
        <v>1519</v>
      </c>
      <c r="D452" s="9028"/>
      <c r="E452" s="8837"/>
      <c r="F452" s="8972"/>
      <c r="G452" s="9000"/>
      <c r="H452" s="1415"/>
      <c r="I452" s="569" t="s">
        <v>1518</v>
      </c>
      <c r="J452" s="494"/>
      <c r="K452" s="1415"/>
      <c r="L452" s="131"/>
      <c r="M452" s="263"/>
      <c r="N452" s="256"/>
      <c r="O452" s="1544"/>
      <c r="P452" s="1544"/>
    </row>
    <row r="453" spans="1:16" s="1555" customFormat="1" ht="18.75" customHeight="1">
      <c r="A453" s="1742" t="s">
        <v>310</v>
      </c>
      <c r="B453" s="1742" t="s">
        <v>317</v>
      </c>
      <c r="C453" s="1607"/>
      <c r="D453" s="9029"/>
      <c r="E453" s="9030"/>
      <c r="F453" s="9030"/>
      <c r="G453" s="9000" t="str">
        <f>INDEX(PT_DIFFERENTIATION_NTAR,MATCH(B453,PT_DIFFERENTIATION_NTAR_ID,0))</f>
        <v>Подвоз воды потребителям хутора Репьевая</v>
      </c>
      <c r="H453" s="1809"/>
      <c r="I453" s="1658">
        <v>45292</v>
      </c>
      <c r="J453" s="1693">
        <v>45657</v>
      </c>
      <c r="K453" s="1698">
        <v>1E-3</v>
      </c>
      <c r="L453" s="1809" t="s">
        <v>769</v>
      </c>
      <c r="M453" s="1794"/>
      <c r="N453" s="537"/>
      <c r="O453" s="1544"/>
      <c r="P453" s="1544"/>
    </row>
    <row r="454" spans="1:16" s="1555" customFormat="1" ht="18.75" customHeight="1">
      <c r="A454" s="1742"/>
      <c r="B454" s="1742"/>
      <c r="C454" s="1607" t="s">
        <v>1519</v>
      </c>
      <c r="D454" s="9029"/>
      <c r="E454" s="9030"/>
      <c r="F454" s="9030"/>
      <c r="G454" s="9000"/>
      <c r="H454" s="7669"/>
      <c r="I454" s="7670" t="s">
        <v>1518</v>
      </c>
      <c r="J454" s="7671"/>
      <c r="K454" s="7672"/>
      <c r="L454" s="7673"/>
      <c r="M454" s="1794"/>
      <c r="N454" s="537"/>
      <c r="O454" s="1544"/>
      <c r="P454" s="1544"/>
    </row>
    <row r="455" spans="1:16" s="1555" customFormat="1" ht="18.75" customHeight="1">
      <c r="A455" s="1742" t="s">
        <v>310</v>
      </c>
      <c r="B455" s="1742" t="s">
        <v>322</v>
      </c>
      <c r="C455" s="1607"/>
      <c r="D455" s="9029"/>
      <c r="E455" s="9030"/>
      <c r="F455" s="9030"/>
      <c r="G455" s="9000" t="str">
        <f>INDEX(PT_DIFFERENTIATION_NTAR,MATCH(B455,PT_DIFFERENTIATION_NTAR_ID,0))</f>
        <v>Подвоз воды потребителям хутора Красный Чонгарец</v>
      </c>
      <c r="H455" s="1809"/>
      <c r="I455" s="1658">
        <v>45292</v>
      </c>
      <c r="J455" s="1693">
        <v>45657</v>
      </c>
      <c r="K455" s="1698">
        <v>1E-3</v>
      </c>
      <c r="L455" s="1809" t="s">
        <v>769</v>
      </c>
      <c r="M455" s="1794"/>
      <c r="N455" s="537"/>
      <c r="O455" s="1544"/>
      <c r="P455" s="1544"/>
    </row>
    <row r="456" spans="1:16" s="1555" customFormat="1" ht="18.75" customHeight="1">
      <c r="A456" s="1742"/>
      <c r="B456" s="1742"/>
      <c r="C456" s="1607" t="s">
        <v>1519</v>
      </c>
      <c r="D456" s="9029"/>
      <c r="E456" s="9030"/>
      <c r="F456" s="9030"/>
      <c r="G456" s="9000"/>
      <c r="H456" s="7674"/>
      <c r="I456" s="7675" t="s">
        <v>1518</v>
      </c>
      <c r="J456" s="7676"/>
      <c r="K456" s="7677"/>
      <c r="L456" s="7678"/>
      <c r="M456" s="1794"/>
      <c r="N456" s="537"/>
      <c r="O456" s="1544"/>
      <c r="P456" s="1544"/>
    </row>
    <row r="457" spans="1:16" s="1555" customFormat="1" ht="18.75" customHeight="1">
      <c r="A457" s="1742" t="s">
        <v>310</v>
      </c>
      <c r="B457" s="1742" t="s">
        <v>327</v>
      </c>
      <c r="C457" s="1607"/>
      <c r="D457" s="9029"/>
      <c r="E457" s="9030"/>
      <c r="F457" s="9030"/>
      <c r="G457" s="9000" t="str">
        <f>INDEX(PT_DIFFERENTIATION_NTAR,MATCH(B457,PT_DIFFERENTIATION_NTAR_ID,0))</f>
        <v>Подвоз воды потребителям села Киан-Подгорного</v>
      </c>
      <c r="H457" s="1809"/>
      <c r="I457" s="1658">
        <v>45292</v>
      </c>
      <c r="J457" s="1693">
        <v>45657</v>
      </c>
      <c r="K457" s="1698">
        <v>1E-3</v>
      </c>
      <c r="L457" s="1809" t="s">
        <v>769</v>
      </c>
      <c r="M457" s="1794"/>
      <c r="N457" s="537"/>
      <c r="O457" s="1544"/>
      <c r="P457" s="1544"/>
    </row>
    <row r="458" spans="1:16" s="1555" customFormat="1" ht="18.75" customHeight="1">
      <c r="A458" s="1742"/>
      <c r="B458" s="1742"/>
      <c r="C458" s="1607" t="s">
        <v>1519</v>
      </c>
      <c r="D458" s="9029"/>
      <c r="E458" s="9030"/>
      <c r="F458" s="9030"/>
      <c r="G458" s="9000"/>
      <c r="H458" s="7679"/>
      <c r="I458" s="7680" t="s">
        <v>1518</v>
      </c>
      <c r="J458" s="7681"/>
      <c r="K458" s="7682"/>
      <c r="L458" s="7683"/>
      <c r="M458" s="1794"/>
      <c r="N458" s="537"/>
      <c r="O458" s="1544"/>
      <c r="P458" s="1544"/>
    </row>
    <row r="459" spans="1:16" s="1555" customFormat="1" ht="18.75" customHeight="1">
      <c r="A459" s="1742" t="s">
        <v>310</v>
      </c>
      <c r="B459" s="1742" t="s">
        <v>332</v>
      </c>
      <c r="C459" s="1607"/>
      <c r="D459" s="9029"/>
      <c r="E459" s="9030"/>
      <c r="F459" s="9030"/>
      <c r="G459" s="9000" t="str">
        <f>INDEX(PT_DIFFERENTIATION_NTAR,MATCH(B459,PT_DIFFERENTIATION_NTAR_ID,0))</f>
        <v>Подвоз воды потребителям села Водораздел</v>
      </c>
      <c r="H459" s="1809"/>
      <c r="I459" s="1658">
        <v>45292</v>
      </c>
      <c r="J459" s="1693">
        <v>45657</v>
      </c>
      <c r="K459" s="1698">
        <v>1E-3</v>
      </c>
      <c r="L459" s="1809" t="s">
        <v>769</v>
      </c>
      <c r="M459" s="1794"/>
      <c r="N459" s="537"/>
      <c r="O459" s="1544"/>
      <c r="P459" s="1544"/>
    </row>
    <row r="460" spans="1:16" s="1555" customFormat="1" ht="18.75" customHeight="1">
      <c r="A460" s="1742"/>
      <c r="B460" s="1742"/>
      <c r="C460" s="1607" t="s">
        <v>1519</v>
      </c>
      <c r="D460" s="9029"/>
      <c r="E460" s="9030"/>
      <c r="F460" s="9030"/>
      <c r="G460" s="9000"/>
      <c r="H460" s="7684"/>
      <c r="I460" s="7685" t="s">
        <v>1518</v>
      </c>
      <c r="J460" s="7686"/>
      <c r="K460" s="7687"/>
      <c r="L460" s="7688"/>
      <c r="M460" s="1794"/>
      <c r="N460" s="537"/>
      <c r="O460" s="1544"/>
      <c r="P460" s="1544"/>
    </row>
    <row r="461" spans="1:16" s="1555" customFormat="1" ht="18.75" customHeight="1">
      <c r="A461" s="1742" t="s">
        <v>310</v>
      </c>
      <c r="B461" s="1742" t="s">
        <v>337</v>
      </c>
      <c r="C461" s="1607"/>
      <c r="D461" s="9029"/>
      <c r="E461" s="9030"/>
      <c r="F461" s="9030"/>
      <c r="G461" s="9000" t="str">
        <f>INDEX(PT_DIFFERENTIATION_NTAR,MATCH(B461,PT_DIFFERENTIATION_NTAR_ID,0))</f>
        <v>Подвоз воды потребителям хутора Павловка</v>
      </c>
      <c r="H461" s="1809"/>
      <c r="I461" s="1658">
        <v>45292</v>
      </c>
      <c r="J461" s="1693">
        <v>45657</v>
      </c>
      <c r="K461" s="1698">
        <v>1E-3</v>
      </c>
      <c r="L461" s="1809" t="s">
        <v>769</v>
      </c>
      <c r="M461" s="1794"/>
      <c r="N461" s="537"/>
      <c r="O461" s="1544"/>
      <c r="P461" s="1544"/>
    </row>
    <row r="462" spans="1:16" s="1555" customFormat="1" ht="18.75" customHeight="1">
      <c r="A462" s="1742"/>
      <c r="B462" s="1742"/>
      <c r="C462" s="1607" t="s">
        <v>1519</v>
      </c>
      <c r="D462" s="9029"/>
      <c r="E462" s="9030"/>
      <c r="F462" s="9030"/>
      <c r="G462" s="9000"/>
      <c r="H462" s="7689"/>
      <c r="I462" s="7690" t="s">
        <v>1518</v>
      </c>
      <c r="J462" s="7691"/>
      <c r="K462" s="7692"/>
      <c r="L462" s="7693"/>
      <c r="M462" s="1794"/>
      <c r="N462" s="537"/>
      <c r="O462" s="1544"/>
      <c r="P462" s="1544"/>
    </row>
    <row r="463" spans="1:16" s="1555" customFormat="1" ht="18.75" customHeight="1">
      <c r="A463" s="1742" t="s">
        <v>310</v>
      </c>
      <c r="B463" s="1742" t="s">
        <v>342</v>
      </c>
      <c r="C463" s="1607"/>
      <c r="D463" s="9029"/>
      <c r="E463" s="9030"/>
      <c r="F463" s="9030"/>
      <c r="G463" s="9000" t="str">
        <f>INDEX(PT_DIFFERENTIATION_NTAR,MATCH(B463,PT_DIFFERENTIATION_NTAR_ID,0))</f>
        <v>Подвоз воды потребителям хутора Весёлого</v>
      </c>
      <c r="H463" s="1809"/>
      <c r="I463" s="1658">
        <v>45292</v>
      </c>
      <c r="J463" s="1693">
        <v>45657</v>
      </c>
      <c r="K463" s="1698">
        <v>1E-3</v>
      </c>
      <c r="L463" s="1809" t="s">
        <v>769</v>
      </c>
      <c r="M463" s="1794"/>
      <c r="N463" s="537"/>
      <c r="O463" s="1544"/>
      <c r="P463" s="1544"/>
    </row>
    <row r="464" spans="1:16" s="1555" customFormat="1" ht="18.75" customHeight="1">
      <c r="A464" s="1742"/>
      <c r="B464" s="1742"/>
      <c r="C464" s="1607" t="s">
        <v>1519</v>
      </c>
      <c r="D464" s="9029"/>
      <c r="E464" s="9030"/>
      <c r="F464" s="9030"/>
      <c r="G464" s="9000"/>
      <c r="H464" s="7694"/>
      <c r="I464" s="7695" t="s">
        <v>1518</v>
      </c>
      <c r="J464" s="7696"/>
      <c r="K464" s="7697"/>
      <c r="L464" s="7698"/>
      <c r="M464" s="1794"/>
      <c r="N464" s="537"/>
      <c r="O464" s="1544"/>
      <c r="P464" s="1544"/>
    </row>
    <row r="465" spans="1:16" s="1555" customFormat="1" ht="18.75" customHeight="1">
      <c r="A465" s="1742" t="s">
        <v>310</v>
      </c>
      <c r="B465" s="1742" t="s">
        <v>347</v>
      </c>
      <c r="C465" s="1607"/>
      <c r="D465" s="9029"/>
      <c r="E465" s="9030"/>
      <c r="F465" s="9030"/>
      <c r="G465" s="9000" t="str">
        <f>INDEX(PT_DIFFERENTIATION_NTAR,MATCH(B465,PT_DIFFERENTIATION_NTAR_ID,0))</f>
        <v>Подвоз воды потребителям поселка Вишнёвого</v>
      </c>
      <c r="H465" s="1809"/>
      <c r="I465" s="1658">
        <v>45292</v>
      </c>
      <c r="J465" s="1693">
        <v>45657</v>
      </c>
      <c r="K465" s="1698">
        <v>1E-3</v>
      </c>
      <c r="L465" s="1809" t="s">
        <v>769</v>
      </c>
      <c r="M465" s="1794"/>
      <c r="N465" s="537"/>
      <c r="O465" s="1544"/>
      <c r="P465" s="1544"/>
    </row>
    <row r="466" spans="1:16" s="1555" customFormat="1" ht="18.75" customHeight="1">
      <c r="A466" s="1742"/>
      <c r="B466" s="1742"/>
      <c r="C466" s="1607" t="s">
        <v>1519</v>
      </c>
      <c r="D466" s="9029"/>
      <c r="E466" s="9030"/>
      <c r="F466" s="9030"/>
      <c r="G466" s="9000"/>
      <c r="H466" s="7699"/>
      <c r="I466" s="7700" t="s">
        <v>1518</v>
      </c>
      <c r="J466" s="7701"/>
      <c r="K466" s="7702"/>
      <c r="L466" s="7703"/>
      <c r="M466" s="1794"/>
      <c r="N466" s="537"/>
      <c r="O466" s="1544"/>
      <c r="P466" s="1544"/>
    </row>
    <row r="467" spans="1:16" s="1555" customFormat="1" ht="18.75" customHeight="1">
      <c r="A467" s="1742" t="s">
        <v>310</v>
      </c>
      <c r="B467" s="1742" t="s">
        <v>352</v>
      </c>
      <c r="C467" s="1607"/>
      <c r="D467" s="9029"/>
      <c r="E467" s="9030"/>
      <c r="F467" s="9030"/>
      <c r="G467" s="9000" t="str">
        <f>INDEX(PT_DIFFERENTIATION_NTAR,MATCH(B467,PT_DIFFERENTIATION_NTAR_ID,0))</f>
        <v>Подвоз воды потребителям поселка Степного</v>
      </c>
      <c r="H467" s="1809"/>
      <c r="I467" s="1658">
        <v>45292</v>
      </c>
      <c r="J467" s="1693">
        <v>45657</v>
      </c>
      <c r="K467" s="1698">
        <v>1E-3</v>
      </c>
      <c r="L467" s="1809" t="s">
        <v>769</v>
      </c>
      <c r="M467" s="1794"/>
      <c r="N467" s="537"/>
      <c r="O467" s="1544"/>
      <c r="P467" s="1544"/>
    </row>
    <row r="468" spans="1:16" s="1555" customFormat="1" ht="18.75" customHeight="1">
      <c r="A468" s="1742"/>
      <c r="B468" s="1742"/>
      <c r="C468" s="1607" t="s">
        <v>1519</v>
      </c>
      <c r="D468" s="9029"/>
      <c r="E468" s="9030"/>
      <c r="F468" s="9030"/>
      <c r="G468" s="9000"/>
      <c r="H468" s="7704"/>
      <c r="I468" s="7705" t="s">
        <v>1518</v>
      </c>
      <c r="J468" s="7706"/>
      <c r="K468" s="7707"/>
      <c r="L468" s="7708"/>
      <c r="M468" s="1794"/>
      <c r="N468" s="537"/>
      <c r="O468" s="1544"/>
      <c r="P468" s="1544"/>
    </row>
    <row r="469" spans="1:16" s="1555" customFormat="1" ht="18.75" customHeight="1">
      <c r="A469" s="1742" t="s">
        <v>310</v>
      </c>
      <c r="B469" s="1742" t="s">
        <v>357</v>
      </c>
      <c r="C469" s="1607"/>
      <c r="D469" s="9029"/>
      <c r="E469" s="9030"/>
      <c r="F469" s="9030"/>
      <c r="G469" s="9000" t="str">
        <f>INDEX(PT_DIFFERENTIATION_NTAR,MATCH(B469,PT_DIFFERENTIATION_NTAR_ID,0))</f>
        <v>Подвоз воды потребителям поселка Лугового</v>
      </c>
      <c r="H469" s="1809"/>
      <c r="I469" s="1658">
        <v>45292</v>
      </c>
      <c r="J469" s="1693">
        <v>45657</v>
      </c>
      <c r="K469" s="1698">
        <v>1E-3</v>
      </c>
      <c r="L469" s="1809" t="s">
        <v>769</v>
      </c>
      <c r="M469" s="1794"/>
      <c r="N469" s="537"/>
      <c r="O469" s="1544"/>
      <c r="P469" s="1544"/>
    </row>
    <row r="470" spans="1:16" s="1555" customFormat="1" ht="18.75" customHeight="1">
      <c r="A470" s="1742"/>
      <c r="B470" s="1742"/>
      <c r="C470" s="1607" t="s">
        <v>1519</v>
      </c>
      <c r="D470" s="9029"/>
      <c r="E470" s="9030"/>
      <c r="F470" s="9030"/>
      <c r="G470" s="9000"/>
      <c r="H470" s="7709"/>
      <c r="I470" s="7710" t="s">
        <v>1518</v>
      </c>
      <c r="J470" s="7711"/>
      <c r="K470" s="7712"/>
      <c r="L470" s="7713"/>
      <c r="M470" s="1794"/>
      <c r="N470" s="537"/>
      <c r="O470" s="1544"/>
      <c r="P470" s="1544"/>
    </row>
    <row r="471" spans="1:16" s="1555" customFormat="1" ht="18.75" customHeight="1">
      <c r="A471" s="1742" t="s">
        <v>310</v>
      </c>
      <c r="B471" s="1742" t="s">
        <v>362</v>
      </c>
      <c r="C471" s="1607"/>
      <c r="D471" s="9029"/>
      <c r="E471" s="9030"/>
      <c r="F471" s="9030"/>
      <c r="G471" s="9000" t="str">
        <f>INDEX(PT_DIFFERENTIATION_NTAR,MATCH(B471,PT_DIFFERENTIATION_NTAR_ID,0))</f>
        <v>Подвоз воды потребителям поселка Правобережного</v>
      </c>
      <c r="H471" s="1809"/>
      <c r="I471" s="1658">
        <v>45292</v>
      </c>
      <c r="J471" s="1693">
        <v>45657</v>
      </c>
      <c r="K471" s="1698">
        <v>1E-3</v>
      </c>
      <c r="L471" s="1809" t="s">
        <v>769</v>
      </c>
      <c r="M471" s="1794"/>
      <c r="N471" s="537"/>
      <c r="O471" s="1544"/>
      <c r="P471" s="1544"/>
    </row>
    <row r="472" spans="1:16" s="1555" customFormat="1" ht="18.75" customHeight="1">
      <c r="A472" s="1742"/>
      <c r="B472" s="1742"/>
      <c r="C472" s="1607" t="s">
        <v>1519</v>
      </c>
      <c r="D472" s="9029"/>
      <c r="E472" s="9030"/>
      <c r="F472" s="9030"/>
      <c r="G472" s="9000"/>
      <c r="H472" s="7714"/>
      <c r="I472" s="7715" t="s">
        <v>1518</v>
      </c>
      <c r="J472" s="7716"/>
      <c r="K472" s="7717"/>
      <c r="L472" s="7718"/>
      <c r="M472" s="1794"/>
      <c r="N472" s="537"/>
      <c r="O472" s="1544"/>
      <c r="P472" s="1544"/>
    </row>
    <row r="473" spans="1:16" s="1555" customFormat="1" ht="18.75" customHeight="1">
      <c r="A473" s="1742" t="s">
        <v>310</v>
      </c>
      <c r="B473" s="1742" t="s">
        <v>367</v>
      </c>
      <c r="C473" s="1607"/>
      <c r="D473" s="9029"/>
      <c r="E473" s="9030"/>
      <c r="F473" s="9030"/>
      <c r="G473" s="9000" t="str">
        <f>INDEX(PT_DIFFERENTIATION_NTAR,MATCH(B473,PT_DIFFERENTIATION_NTAR_ID,0))</f>
        <v>Подвоз воды потребителям хутора Добровольного</v>
      </c>
      <c r="H473" s="1809"/>
      <c r="I473" s="1658">
        <v>45292</v>
      </c>
      <c r="J473" s="1693">
        <v>45657</v>
      </c>
      <c r="K473" s="1698">
        <v>1E-3</v>
      </c>
      <c r="L473" s="1809" t="s">
        <v>769</v>
      </c>
      <c r="M473" s="1794"/>
      <c r="N473" s="537"/>
      <c r="O473" s="1544"/>
      <c r="P473" s="1544"/>
    </row>
    <row r="474" spans="1:16" s="1555" customFormat="1" ht="18.75" customHeight="1">
      <c r="A474" s="1742"/>
      <c r="B474" s="1742"/>
      <c r="C474" s="1607" t="s">
        <v>1519</v>
      </c>
      <c r="D474" s="9029"/>
      <c r="E474" s="9030"/>
      <c r="F474" s="9030"/>
      <c r="G474" s="9000"/>
      <c r="H474" s="7719"/>
      <c r="I474" s="7720" t="s">
        <v>1518</v>
      </c>
      <c r="J474" s="7721"/>
      <c r="K474" s="7722"/>
      <c r="L474" s="7723"/>
      <c r="M474" s="1794"/>
      <c r="N474" s="537"/>
      <c r="O474" s="1544"/>
      <c r="P474" s="1544"/>
    </row>
    <row r="475" spans="1:16" s="1555" customFormat="1" ht="18.75" customHeight="1">
      <c r="A475" s="1742" t="s">
        <v>310</v>
      </c>
      <c r="B475" s="1742" t="s">
        <v>372</v>
      </c>
      <c r="C475" s="1607"/>
      <c r="D475" s="9029"/>
      <c r="E475" s="9030"/>
      <c r="F475" s="9030"/>
      <c r="G475" s="9000" t="str">
        <f>INDEX(PT_DIFFERENTIATION_NTAR,MATCH(B475,PT_DIFFERENTIATION_NTAR_ID,0))</f>
        <v>Подвоз воды потребителям хутора Среднего</v>
      </c>
      <c r="H475" s="1809"/>
      <c r="I475" s="1658">
        <v>45292</v>
      </c>
      <c r="J475" s="1693">
        <v>45657</v>
      </c>
      <c r="K475" s="1698">
        <v>1E-3</v>
      </c>
      <c r="L475" s="1809" t="s">
        <v>769</v>
      </c>
      <c r="M475" s="1794"/>
      <c r="N475" s="537"/>
      <c r="O475" s="1544"/>
      <c r="P475" s="1544"/>
    </row>
    <row r="476" spans="1:16" s="1555" customFormat="1" ht="18.75" customHeight="1">
      <c r="A476" s="1742"/>
      <c r="B476" s="1742"/>
      <c r="C476" s="1607" t="s">
        <v>1519</v>
      </c>
      <c r="D476" s="9029"/>
      <c r="E476" s="9030"/>
      <c r="F476" s="9030"/>
      <c r="G476" s="9000"/>
      <c r="H476" s="7724"/>
      <c r="I476" s="7725" t="s">
        <v>1518</v>
      </c>
      <c r="J476" s="7726"/>
      <c r="K476" s="7727"/>
      <c r="L476" s="7728"/>
      <c r="M476" s="1794"/>
      <c r="N476" s="537"/>
      <c r="O476" s="1544"/>
      <c r="P476" s="1544"/>
    </row>
    <row r="477" spans="1:16" s="1555" customFormat="1" ht="18.75" customHeight="1">
      <c r="A477" s="1742" t="s">
        <v>310</v>
      </c>
      <c r="B477" s="1742" t="s">
        <v>377</v>
      </c>
      <c r="C477" s="1607"/>
      <c r="D477" s="9029"/>
      <c r="E477" s="9030"/>
      <c r="F477" s="9030"/>
      <c r="G477" s="9000" t="str">
        <f>INDEX(PT_DIFFERENTIATION_NTAR,MATCH(B477,PT_DIFFERENTIATION_NTAR_ID,0))</f>
        <v xml:space="preserve">Подвоз воды потребителям поселка Новобалтийского </v>
      </c>
      <c r="H477" s="1809"/>
      <c r="I477" s="1658">
        <v>45292</v>
      </c>
      <c r="J477" s="1693">
        <v>45657</v>
      </c>
      <c r="K477" s="1698">
        <v>1E-3</v>
      </c>
      <c r="L477" s="1809" t="s">
        <v>769</v>
      </c>
      <c r="M477" s="1794"/>
      <c r="N477" s="537"/>
      <c r="O477" s="1544"/>
      <c r="P477" s="1544"/>
    </row>
    <row r="478" spans="1:16" s="1555" customFormat="1" ht="18.75" customHeight="1">
      <c r="A478" s="1742"/>
      <c r="B478" s="1742"/>
      <c r="C478" s="1607" t="s">
        <v>1519</v>
      </c>
      <c r="D478" s="9029"/>
      <c r="E478" s="9030"/>
      <c r="F478" s="9030"/>
      <c r="G478" s="9000"/>
      <c r="H478" s="7729"/>
      <c r="I478" s="7730" t="s">
        <v>1518</v>
      </c>
      <c r="J478" s="7731"/>
      <c r="K478" s="7732"/>
      <c r="L478" s="7733"/>
      <c r="M478" s="1794"/>
      <c r="N478" s="537"/>
      <c r="O478" s="1544"/>
      <c r="P478" s="1544"/>
    </row>
    <row r="479" spans="1:16" s="1555" customFormat="1" ht="18.75" customHeight="1">
      <c r="A479" s="1742" t="s">
        <v>310</v>
      </c>
      <c r="B479" s="1742" t="s">
        <v>382</v>
      </c>
      <c r="C479" s="1607"/>
      <c r="D479" s="9029"/>
      <c r="E479" s="9030"/>
      <c r="F479" s="9030"/>
      <c r="G479" s="9000" t="str">
        <f>INDEX(PT_DIFFERENTIATION_NTAR,MATCH(B479,PT_DIFFERENTIATION_NTAR_ID,0))</f>
        <v>Подвоз воды потребителям хутора Берёзкина</v>
      </c>
      <c r="H479" s="1809"/>
      <c r="I479" s="1658">
        <v>45292</v>
      </c>
      <c r="J479" s="1693">
        <v>45657</v>
      </c>
      <c r="K479" s="1698">
        <v>1E-3</v>
      </c>
      <c r="L479" s="1809" t="s">
        <v>769</v>
      </c>
      <c r="M479" s="1794"/>
      <c r="N479" s="537"/>
      <c r="O479" s="1544"/>
      <c r="P479" s="1544"/>
    </row>
    <row r="480" spans="1:16" s="1555" customFormat="1" ht="18.75" customHeight="1">
      <c r="A480" s="1742"/>
      <c r="B480" s="1742"/>
      <c r="C480" s="1607" t="s">
        <v>1519</v>
      </c>
      <c r="D480" s="9029"/>
      <c r="E480" s="9030"/>
      <c r="F480" s="9030"/>
      <c r="G480" s="9000"/>
      <c r="H480" s="7734"/>
      <c r="I480" s="7735" t="s">
        <v>1518</v>
      </c>
      <c r="J480" s="7736"/>
      <c r="K480" s="7737"/>
      <c r="L480" s="7738"/>
      <c r="M480" s="1794"/>
      <c r="N480" s="537"/>
      <c r="O480" s="1544"/>
      <c r="P480" s="1544"/>
    </row>
    <row r="481" spans="1:16" s="1555" customFormat="1" ht="18.75" customHeight="1">
      <c r="A481" s="1742" t="s">
        <v>310</v>
      </c>
      <c r="B481" s="1742" t="s">
        <v>387</v>
      </c>
      <c r="C481" s="1607"/>
      <c r="D481" s="9029"/>
      <c r="E481" s="9030"/>
      <c r="F481" s="9030"/>
      <c r="G481" s="9000" t="str">
        <f>INDEX(PT_DIFFERENTIATION_NTAR,MATCH(B481,PT_DIFFERENTIATION_NTAR_ID,0))</f>
        <v>Подвоз воды потребителям поселка Бурунного</v>
      </c>
      <c r="H481" s="1809"/>
      <c r="I481" s="1658">
        <v>45292</v>
      </c>
      <c r="J481" s="1693">
        <v>45657</v>
      </c>
      <c r="K481" s="1698">
        <v>1E-3</v>
      </c>
      <c r="L481" s="1809" t="s">
        <v>769</v>
      </c>
      <c r="M481" s="1794"/>
      <c r="N481" s="537"/>
      <c r="O481" s="1544"/>
      <c r="P481" s="1544"/>
    </row>
    <row r="482" spans="1:16" s="1555" customFormat="1" ht="18.75" customHeight="1">
      <c r="A482" s="1742"/>
      <c r="B482" s="1742"/>
      <c r="C482" s="1607" t="s">
        <v>1519</v>
      </c>
      <c r="D482" s="9029"/>
      <c r="E482" s="9030"/>
      <c r="F482" s="9030"/>
      <c r="G482" s="9000"/>
      <c r="H482" s="7739"/>
      <c r="I482" s="7740" t="s">
        <v>1518</v>
      </c>
      <c r="J482" s="7741"/>
      <c r="K482" s="7742"/>
      <c r="L482" s="7743"/>
      <c r="M482" s="1794"/>
      <c r="N482" s="537"/>
      <c r="O482" s="1544"/>
      <c r="P482" s="1544"/>
    </row>
    <row r="483" spans="1:16" s="1555" customFormat="1" ht="18.75" customHeight="1">
      <c r="A483" s="1742" t="s">
        <v>310</v>
      </c>
      <c r="B483" s="1742" t="s">
        <v>392</v>
      </c>
      <c r="C483" s="1607"/>
      <c r="D483" s="9029"/>
      <c r="E483" s="9030"/>
      <c r="F483" s="9030"/>
      <c r="G483" s="9000" t="str">
        <f>INDEX(PT_DIFFERENTIATION_NTAR,MATCH(B483,PT_DIFFERENTIATION_NTAR_ID,0))</f>
        <v>Подвоз воды потребителям поселка Мирного</v>
      </c>
      <c r="H483" s="1809"/>
      <c r="I483" s="1658">
        <v>45292</v>
      </c>
      <c r="J483" s="1693">
        <v>45657</v>
      </c>
      <c r="K483" s="1698">
        <v>1E-3</v>
      </c>
      <c r="L483" s="1809" t="s">
        <v>769</v>
      </c>
      <c r="M483" s="1794"/>
      <c r="N483" s="537"/>
      <c r="O483" s="1544"/>
      <c r="P483" s="1544"/>
    </row>
    <row r="484" spans="1:16" s="1555" customFormat="1" ht="18.75" customHeight="1">
      <c r="A484" s="1742"/>
      <c r="B484" s="1742"/>
      <c r="C484" s="1607" t="s">
        <v>1519</v>
      </c>
      <c r="D484" s="9029"/>
      <c r="E484" s="9030"/>
      <c r="F484" s="9030"/>
      <c r="G484" s="9000"/>
      <c r="H484" s="7744"/>
      <c r="I484" s="7745" t="s">
        <v>1518</v>
      </c>
      <c r="J484" s="7746"/>
      <c r="K484" s="7747"/>
      <c r="L484" s="7748"/>
      <c r="M484" s="1794"/>
      <c r="N484" s="537"/>
      <c r="O484" s="1544"/>
      <c r="P484" s="1544"/>
    </row>
    <row r="485" spans="1:16" s="1555" customFormat="1" ht="18.75" customHeight="1">
      <c r="A485" s="1742" t="s">
        <v>310</v>
      </c>
      <c r="B485" s="1742" t="s">
        <v>397</v>
      </c>
      <c r="C485" s="1607"/>
      <c r="D485" s="9029"/>
      <c r="E485" s="9030"/>
      <c r="F485" s="9030"/>
      <c r="G485" s="9000" t="str">
        <f>INDEX(PT_DIFFERENTIATION_NTAR,MATCH(B485,PT_DIFFERENTIATION_NTAR_ID,0))</f>
        <v>Подвоз воды потребителям поселка Ага-Батыр</v>
      </c>
      <c r="H485" s="1809"/>
      <c r="I485" s="1658">
        <v>45292</v>
      </c>
      <c r="J485" s="1693">
        <v>45657</v>
      </c>
      <c r="K485" s="1698">
        <v>1E-3</v>
      </c>
      <c r="L485" s="1809" t="s">
        <v>769</v>
      </c>
      <c r="M485" s="1794"/>
      <c r="N485" s="537"/>
      <c r="O485" s="1544"/>
      <c r="P485" s="1544"/>
    </row>
    <row r="486" spans="1:16" s="1555" customFormat="1" ht="18.75" customHeight="1">
      <c r="A486" s="1742"/>
      <c r="B486" s="1742"/>
      <c r="C486" s="1607" t="s">
        <v>1519</v>
      </c>
      <c r="D486" s="9029"/>
      <c r="E486" s="9030"/>
      <c r="F486" s="9030"/>
      <c r="G486" s="9000"/>
      <c r="H486" s="7749"/>
      <c r="I486" s="7750" t="s">
        <v>1518</v>
      </c>
      <c r="J486" s="7751"/>
      <c r="K486" s="7752"/>
      <c r="L486" s="7753"/>
      <c r="M486" s="1794"/>
      <c r="N486" s="537"/>
      <c r="O486" s="1544"/>
      <c r="P486" s="1544"/>
    </row>
    <row r="487" spans="1:16" s="1555" customFormat="1" ht="18.75" customHeight="1">
      <c r="A487" s="1742" t="s">
        <v>310</v>
      </c>
      <c r="B487" s="1742" t="s">
        <v>402</v>
      </c>
      <c r="C487" s="1607"/>
      <c r="D487" s="9029"/>
      <c r="E487" s="9030"/>
      <c r="F487" s="9030"/>
      <c r="G487" s="9000" t="str">
        <f>INDEX(PT_DIFFERENTIATION_NTAR,MATCH(B487,PT_DIFFERENTIATION_NTAR_ID,0))</f>
        <v>Подвоз воды потребителям хутора Кировского</v>
      </c>
      <c r="H487" s="1809"/>
      <c r="I487" s="1658">
        <v>45292</v>
      </c>
      <c r="J487" s="1693">
        <v>45657</v>
      </c>
      <c r="K487" s="1698">
        <v>1E-3</v>
      </c>
      <c r="L487" s="1809" t="s">
        <v>769</v>
      </c>
      <c r="M487" s="1794"/>
      <c r="N487" s="537"/>
      <c r="O487" s="1544"/>
      <c r="P487" s="1544"/>
    </row>
    <row r="488" spans="1:16" s="1555" customFormat="1" ht="18.75" customHeight="1">
      <c r="A488" s="1742"/>
      <c r="B488" s="1742"/>
      <c r="C488" s="1607" t="s">
        <v>1519</v>
      </c>
      <c r="D488" s="9029"/>
      <c r="E488" s="9030"/>
      <c r="F488" s="9030"/>
      <c r="G488" s="9000"/>
      <c r="H488" s="7754"/>
      <c r="I488" s="7755" t="s">
        <v>1518</v>
      </c>
      <c r="J488" s="7756"/>
      <c r="K488" s="7757"/>
      <c r="L488" s="7758"/>
      <c r="M488" s="1794"/>
      <c r="N488" s="537"/>
      <c r="O488" s="1544"/>
      <c r="P488" s="1544"/>
    </row>
    <row r="489" spans="1:16" s="1555" customFormat="1" ht="18.75" customHeight="1">
      <c r="A489" s="1742" t="s">
        <v>310</v>
      </c>
      <c r="B489" s="1742" t="s">
        <v>407</v>
      </c>
      <c r="C489" s="1607"/>
      <c r="D489" s="9029"/>
      <c r="E489" s="9030"/>
      <c r="F489" s="9030"/>
      <c r="G489" s="9000" t="str">
        <f>INDEX(PT_DIFFERENTIATION_NTAR,MATCH(B489,PT_DIFFERENTIATION_NTAR_ID,0))</f>
        <v>Подвоз воды потребителям хутора Моздокского</v>
      </c>
      <c r="H489" s="1809"/>
      <c r="I489" s="1658">
        <v>45292</v>
      </c>
      <c r="J489" s="1693">
        <v>45657</v>
      </c>
      <c r="K489" s="1698">
        <v>1E-3</v>
      </c>
      <c r="L489" s="1809" t="s">
        <v>769</v>
      </c>
      <c r="M489" s="1794"/>
      <c r="N489" s="537"/>
      <c r="O489" s="1544"/>
      <c r="P489" s="1544"/>
    </row>
    <row r="490" spans="1:16" s="1555" customFormat="1" ht="18.75" customHeight="1">
      <c r="A490" s="1742"/>
      <c r="B490" s="1742"/>
      <c r="C490" s="1607" t="s">
        <v>1519</v>
      </c>
      <c r="D490" s="9029"/>
      <c r="E490" s="9030"/>
      <c r="F490" s="9030"/>
      <c r="G490" s="9000"/>
      <c r="H490" s="7759"/>
      <c r="I490" s="7760" t="s">
        <v>1518</v>
      </c>
      <c r="J490" s="7761"/>
      <c r="K490" s="7762"/>
      <c r="L490" s="7763"/>
      <c r="M490" s="1794"/>
      <c r="N490" s="537"/>
      <c r="O490" s="1544"/>
      <c r="P490" s="1544"/>
    </row>
    <row r="491" spans="1:16" s="1555" customFormat="1" ht="18.75" customHeight="1">
      <c r="A491" s="1742" t="s">
        <v>310</v>
      </c>
      <c r="B491" s="1742" t="s">
        <v>412</v>
      </c>
      <c r="C491" s="1607"/>
      <c r="D491" s="9029"/>
      <c r="E491" s="9030"/>
      <c r="F491" s="9030"/>
      <c r="G491" s="9000" t="str">
        <f>INDEX(PT_DIFFERENTIATION_NTAR,MATCH(B491,PT_DIFFERENTIATION_NTAR_ID,0))</f>
        <v>Подвоз воды потребителям поселка Южанин</v>
      </c>
      <c r="H491" s="1809"/>
      <c r="I491" s="1658">
        <v>45292</v>
      </c>
      <c r="J491" s="1693">
        <v>45657</v>
      </c>
      <c r="K491" s="1698">
        <v>1E-3</v>
      </c>
      <c r="L491" s="1809" t="s">
        <v>769</v>
      </c>
      <c r="M491" s="1794"/>
      <c r="N491" s="537"/>
      <c r="O491" s="1544"/>
      <c r="P491" s="1544"/>
    </row>
    <row r="492" spans="1:16" s="1555" customFormat="1" ht="18.75" customHeight="1">
      <c r="A492" s="1742"/>
      <c r="B492" s="1742"/>
      <c r="C492" s="1607" t="s">
        <v>1519</v>
      </c>
      <c r="D492" s="9029"/>
      <c r="E492" s="9030"/>
      <c r="F492" s="9030"/>
      <c r="G492" s="9000"/>
      <c r="H492" s="7764"/>
      <c r="I492" s="7765" t="s">
        <v>1518</v>
      </c>
      <c r="J492" s="7766"/>
      <c r="K492" s="7767"/>
      <c r="L492" s="7768"/>
      <c r="M492" s="1794"/>
      <c r="N492" s="537"/>
      <c r="O492" s="1544"/>
      <c r="P492" s="1544"/>
    </row>
    <row r="493" spans="1:16" s="1555" customFormat="1" ht="18.75" customHeight="1">
      <c r="A493" s="1742" t="s">
        <v>310</v>
      </c>
      <c r="B493" s="1742" t="s">
        <v>418</v>
      </c>
      <c r="C493" s="1607"/>
      <c r="D493" s="9029"/>
      <c r="E493" s="9030"/>
      <c r="F493" s="9030"/>
      <c r="G493" s="9000" t="str">
        <f>INDEX(PT_DIFFERENTIATION_NTAR,MATCH(B493,PT_DIFFERENTIATION_NTAR_ID,0))</f>
        <v>Подвоз воды потребителям поселка Совхозного</v>
      </c>
      <c r="H493" s="1809"/>
      <c r="I493" s="1658">
        <v>45292</v>
      </c>
      <c r="J493" s="1693">
        <v>45657</v>
      </c>
      <c r="K493" s="1698">
        <v>1E-3</v>
      </c>
      <c r="L493" s="1809" t="s">
        <v>769</v>
      </c>
      <c r="M493" s="1794"/>
      <c r="N493" s="537"/>
      <c r="O493" s="1544"/>
      <c r="P493" s="1544"/>
    </row>
    <row r="494" spans="1:16" s="1555" customFormat="1" ht="18.75" customHeight="1">
      <c r="A494" s="1742"/>
      <c r="B494" s="1742"/>
      <c r="C494" s="1607" t="s">
        <v>1519</v>
      </c>
      <c r="D494" s="9029"/>
      <c r="E494" s="9030"/>
      <c r="F494" s="9030"/>
      <c r="G494" s="9000"/>
      <c r="H494" s="7769"/>
      <c r="I494" s="7770" t="s">
        <v>1518</v>
      </c>
      <c r="J494" s="7771"/>
      <c r="K494" s="7772"/>
      <c r="L494" s="7773"/>
      <c r="M494" s="1794"/>
      <c r="N494" s="537"/>
      <c r="O494" s="1544"/>
      <c r="P494" s="1544"/>
    </row>
    <row r="495" spans="1:16" s="1555" customFormat="1" ht="18.75" customHeight="1">
      <c r="A495" s="1742" t="s">
        <v>310</v>
      </c>
      <c r="B495" s="1742" t="s">
        <v>424</v>
      </c>
      <c r="C495" s="1607"/>
      <c r="D495" s="9029"/>
      <c r="E495" s="9030"/>
      <c r="F495" s="9030"/>
      <c r="G495" s="9000" t="str">
        <f>INDEX(PT_DIFFERENTIATION_NTAR,MATCH(B495,PT_DIFFERENTIATION_NTAR_ID,0))</f>
        <v>Подвоз воды потребителям поселка Песчаного</v>
      </c>
      <c r="H495" s="1809"/>
      <c r="I495" s="1658">
        <v>45292</v>
      </c>
      <c r="J495" s="1693">
        <v>45657</v>
      </c>
      <c r="K495" s="1698">
        <v>1E-3</v>
      </c>
      <c r="L495" s="1809" t="s">
        <v>769</v>
      </c>
      <c r="M495" s="1794"/>
      <c r="N495" s="537"/>
      <c r="O495" s="1544"/>
      <c r="P495" s="1544"/>
    </row>
    <row r="496" spans="1:16" s="1555" customFormat="1" ht="18.75" customHeight="1">
      <c r="A496" s="1742"/>
      <c r="B496" s="1742"/>
      <c r="C496" s="1607" t="s">
        <v>1519</v>
      </c>
      <c r="D496" s="9029"/>
      <c r="E496" s="9030"/>
      <c r="F496" s="9030"/>
      <c r="G496" s="9000"/>
      <c r="H496" s="7774"/>
      <c r="I496" s="7775" t="s">
        <v>1518</v>
      </c>
      <c r="J496" s="7776"/>
      <c r="K496" s="7777"/>
      <c r="L496" s="7778"/>
      <c r="M496" s="1794"/>
      <c r="N496" s="537"/>
      <c r="O496" s="1544"/>
      <c r="P496" s="1544"/>
    </row>
    <row r="497" spans="1:16" s="1555" customFormat="1" ht="18.75" customHeight="1">
      <c r="A497" s="1742" t="s">
        <v>310</v>
      </c>
      <c r="B497" s="1742" t="s">
        <v>429</v>
      </c>
      <c r="C497" s="1607"/>
      <c r="D497" s="9029"/>
      <c r="E497" s="9030"/>
      <c r="F497" s="9030"/>
      <c r="G497" s="9000" t="str">
        <f>INDEX(PT_DIFFERENTIATION_NTAR,MATCH(B497,PT_DIFFERENTIATION_NTAR_ID,0))</f>
        <v>Подвоз воды потребителям аула Али-Кую</v>
      </c>
      <c r="H497" s="1809"/>
      <c r="I497" s="1658">
        <v>45292</v>
      </c>
      <c r="J497" s="1693">
        <v>45657</v>
      </c>
      <c r="K497" s="1698">
        <v>1E-3</v>
      </c>
      <c r="L497" s="1809" t="s">
        <v>769</v>
      </c>
      <c r="M497" s="1794"/>
      <c r="N497" s="537"/>
      <c r="O497" s="1544"/>
      <c r="P497" s="1544"/>
    </row>
    <row r="498" spans="1:16" s="1555" customFormat="1" ht="18.75" customHeight="1">
      <c r="A498" s="1742"/>
      <c r="B498" s="1742"/>
      <c r="C498" s="1607" t="s">
        <v>1519</v>
      </c>
      <c r="D498" s="9029"/>
      <c r="E498" s="9030"/>
      <c r="F498" s="9030"/>
      <c r="G498" s="9000"/>
      <c r="H498" s="7779"/>
      <c r="I498" s="7780" t="s">
        <v>1518</v>
      </c>
      <c r="J498" s="7781"/>
      <c r="K498" s="7782"/>
      <c r="L498" s="7783"/>
      <c r="M498" s="1794"/>
      <c r="N498" s="537"/>
      <c r="O498" s="1544"/>
      <c r="P498" s="1544"/>
    </row>
    <row r="499" spans="1:16" s="1555" customFormat="1" ht="18.75" customHeight="1">
      <c r="A499" s="1742" t="s">
        <v>310</v>
      </c>
      <c r="B499" s="1742" t="s">
        <v>435</v>
      </c>
      <c r="C499" s="1607"/>
      <c r="D499" s="9029"/>
      <c r="E499" s="9030"/>
      <c r="F499" s="9030"/>
      <c r="G499" s="9000" t="str">
        <f>INDEX(PT_DIFFERENTIATION_NTAR,MATCH(B499,PT_DIFFERENTIATION_NTAR_ID,0))</f>
        <v>Подвоз воды потребителям села Серноводского</v>
      </c>
      <c r="H499" s="1809"/>
      <c r="I499" s="1658">
        <v>45292</v>
      </c>
      <c r="J499" s="1693">
        <v>45657</v>
      </c>
      <c r="K499" s="1698">
        <v>1E-3</v>
      </c>
      <c r="L499" s="1809" t="s">
        <v>769</v>
      </c>
      <c r="M499" s="1794"/>
      <c r="N499" s="537"/>
      <c r="O499" s="1544"/>
      <c r="P499" s="1544"/>
    </row>
    <row r="500" spans="1:16" s="1555" customFormat="1" ht="18.75" customHeight="1">
      <c r="A500" s="1742"/>
      <c r="B500" s="1742"/>
      <c r="C500" s="1607" t="s">
        <v>1519</v>
      </c>
      <c r="D500" s="9029"/>
      <c r="E500" s="9030"/>
      <c r="F500" s="9030"/>
      <c r="G500" s="9000"/>
      <c r="H500" s="7784"/>
      <c r="I500" s="7785" t="s">
        <v>1518</v>
      </c>
      <c r="J500" s="7786"/>
      <c r="K500" s="7787"/>
      <c r="L500" s="7788"/>
      <c r="M500" s="1794"/>
      <c r="N500" s="537"/>
      <c r="O500" s="1544"/>
      <c r="P500" s="1544"/>
    </row>
    <row r="501" spans="1:16" s="1555" customFormat="1" ht="18.75" customHeight="1">
      <c r="A501" s="1742" t="s">
        <v>310</v>
      </c>
      <c r="B501" s="1742" t="s">
        <v>441</v>
      </c>
      <c r="C501" s="1607"/>
      <c r="D501" s="9029"/>
      <c r="E501" s="9030"/>
      <c r="F501" s="9030"/>
      <c r="G501" s="9000" t="str">
        <f>INDEX(PT_DIFFERENTIATION_NTAR,MATCH(B501,PT_DIFFERENTIATION_NTAR_ID,0))</f>
        <v>Подвоз воды потребителям хутора Медведева</v>
      </c>
      <c r="H501" s="1809"/>
      <c r="I501" s="1658">
        <v>45292</v>
      </c>
      <c r="J501" s="1693">
        <v>45657</v>
      </c>
      <c r="K501" s="1698">
        <v>1E-3</v>
      </c>
      <c r="L501" s="1809" t="s">
        <v>769</v>
      </c>
      <c r="M501" s="1794"/>
      <c r="N501" s="537"/>
      <c r="O501" s="1544"/>
      <c r="P501" s="1544"/>
    </row>
    <row r="502" spans="1:16" s="1555" customFormat="1" ht="18.75" customHeight="1">
      <c r="A502" s="1742"/>
      <c r="B502" s="1742"/>
      <c r="C502" s="1607" t="s">
        <v>1519</v>
      </c>
      <c r="D502" s="9029"/>
      <c r="E502" s="9030"/>
      <c r="F502" s="9030"/>
      <c r="G502" s="9000"/>
      <c r="H502" s="7789"/>
      <c r="I502" s="7790" t="s">
        <v>1518</v>
      </c>
      <c r="J502" s="7791"/>
      <c r="K502" s="7792"/>
      <c r="L502" s="7793"/>
      <c r="M502" s="1794"/>
      <c r="N502" s="537"/>
      <c r="O502" s="1544"/>
      <c r="P502" s="1544"/>
    </row>
    <row r="503" spans="1:16" s="1555" customFormat="1" ht="18.75" customHeight="1">
      <c r="A503" s="1742" t="s">
        <v>310</v>
      </c>
      <c r="B503" s="1742" t="s">
        <v>447</v>
      </c>
      <c r="C503" s="1607"/>
      <c r="D503" s="9029"/>
      <c r="E503" s="9030"/>
      <c r="F503" s="9030"/>
      <c r="G503" s="9000" t="str">
        <f>INDEX(PT_DIFFERENTIATION_NTAR,MATCH(B503,PT_DIFFERENTIATION_NTAR_ID,0))</f>
        <v>Подвоз воды потребителям хутора Графского</v>
      </c>
      <c r="H503" s="1809"/>
      <c r="I503" s="1658">
        <v>45292</v>
      </c>
      <c r="J503" s="1693">
        <v>45657</v>
      </c>
      <c r="K503" s="1698">
        <v>1E-3</v>
      </c>
      <c r="L503" s="1809" t="s">
        <v>769</v>
      </c>
      <c r="M503" s="1794"/>
      <c r="N503" s="537"/>
      <c r="O503" s="1544"/>
      <c r="P503" s="1544"/>
    </row>
    <row r="504" spans="1:16" s="1555" customFormat="1" ht="18.75" customHeight="1">
      <c r="A504" s="1742"/>
      <c r="B504" s="1742"/>
      <c r="C504" s="1607" t="s">
        <v>1519</v>
      </c>
      <c r="D504" s="9029"/>
      <c r="E504" s="9030"/>
      <c r="F504" s="9030"/>
      <c r="G504" s="9000"/>
      <c r="H504" s="7794"/>
      <c r="I504" s="7795" t="s">
        <v>1518</v>
      </c>
      <c r="J504" s="7796"/>
      <c r="K504" s="7797"/>
      <c r="L504" s="7798"/>
      <c r="M504" s="1794"/>
      <c r="N504" s="537"/>
      <c r="O504" s="1544"/>
      <c r="P504" s="1544"/>
    </row>
    <row r="505" spans="1:16" s="1555" customFormat="1" ht="18.75" customHeight="1">
      <c r="A505" s="1742" t="s">
        <v>310</v>
      </c>
      <c r="B505" s="1742" t="s">
        <v>453</v>
      </c>
      <c r="C505" s="1607"/>
      <c r="D505" s="9029"/>
      <c r="E505" s="9030"/>
      <c r="F505" s="9030"/>
      <c r="G505" s="9000" t="str">
        <f>INDEX(PT_DIFFERENTIATION_NTAR,MATCH(B505,PT_DIFFERENTIATION_NTAR_ID,0))</f>
        <v>Подвоз воды потребителям хутора Бугулова</v>
      </c>
      <c r="H505" s="1809"/>
      <c r="I505" s="1658">
        <v>45292</v>
      </c>
      <c r="J505" s="1693">
        <v>45657</v>
      </c>
      <c r="K505" s="1698">
        <v>1E-3</v>
      </c>
      <c r="L505" s="1809" t="s">
        <v>769</v>
      </c>
      <c r="M505" s="1794"/>
      <c r="N505" s="537"/>
      <c r="O505" s="1544"/>
      <c r="P505" s="1544"/>
    </row>
    <row r="506" spans="1:16" s="1555" customFormat="1" ht="18.75" customHeight="1">
      <c r="A506" s="1742"/>
      <c r="B506" s="1742"/>
      <c r="C506" s="1607" t="s">
        <v>1519</v>
      </c>
      <c r="D506" s="9029"/>
      <c r="E506" s="9030"/>
      <c r="F506" s="9030"/>
      <c r="G506" s="9000"/>
      <c r="H506" s="7799"/>
      <c r="I506" s="7800" t="s">
        <v>1518</v>
      </c>
      <c r="J506" s="7801"/>
      <c r="K506" s="7802"/>
      <c r="L506" s="7803"/>
      <c r="M506" s="1794"/>
      <c r="N506" s="537"/>
      <c r="O506" s="1544"/>
      <c r="P506" s="1544"/>
    </row>
    <row r="507" spans="1:16" s="1555" customFormat="1" ht="18.75" customHeight="1">
      <c r="A507" s="1742" t="s">
        <v>310</v>
      </c>
      <c r="B507" s="1742" t="s">
        <v>459</v>
      </c>
      <c r="C507" s="1607"/>
      <c r="D507" s="9029"/>
      <c r="E507" s="9030"/>
      <c r="F507" s="9030"/>
      <c r="G507" s="9000" t="str">
        <f>INDEX(PT_DIFFERENTIATION_NTAR,MATCH(B507,PT_DIFFERENTIATION_NTAR_ID,0))</f>
        <v>Подвоз воды потребителям хутора Горного</v>
      </c>
      <c r="H507" s="1809"/>
      <c r="I507" s="1658">
        <v>45292</v>
      </c>
      <c r="J507" s="1693">
        <v>45657</v>
      </c>
      <c r="K507" s="1698">
        <v>1E-3</v>
      </c>
      <c r="L507" s="1809" t="s">
        <v>769</v>
      </c>
      <c r="M507" s="1794"/>
      <c r="N507" s="537"/>
      <c r="O507" s="1544"/>
      <c r="P507" s="1544"/>
    </row>
    <row r="508" spans="1:16" s="1555" customFormat="1" ht="18.75" customHeight="1">
      <c r="A508" s="1742"/>
      <c r="B508" s="1742"/>
      <c r="C508" s="1607" t="s">
        <v>1519</v>
      </c>
      <c r="D508" s="9029"/>
      <c r="E508" s="9030"/>
      <c r="F508" s="9030"/>
      <c r="G508" s="9000"/>
      <c r="H508" s="7804"/>
      <c r="I508" s="7805" t="s">
        <v>1518</v>
      </c>
      <c r="J508" s="7806"/>
      <c r="K508" s="7807"/>
      <c r="L508" s="7808"/>
      <c r="M508" s="1794"/>
      <c r="N508" s="537"/>
      <c r="O508" s="1544"/>
      <c r="P508" s="1544"/>
    </row>
    <row r="509" spans="1:16" s="1555" customFormat="1" ht="18.75" customHeight="1">
      <c r="A509" s="1742" t="s">
        <v>310</v>
      </c>
      <c r="B509" s="1742" t="s">
        <v>465</v>
      </c>
      <c r="C509" s="1607"/>
      <c r="D509" s="9029"/>
      <c r="E509" s="9030"/>
      <c r="F509" s="9030"/>
      <c r="G509" s="9000" t="str">
        <f>INDEX(PT_DIFFERENTIATION_NTAR,MATCH(B509,PT_DIFFERENTIATION_NTAR_ID,0))</f>
        <v>Подвоз воды потребителям села Падинского</v>
      </c>
      <c r="H509" s="1809"/>
      <c r="I509" s="1658">
        <v>45292</v>
      </c>
      <c r="J509" s="1693">
        <v>45657</v>
      </c>
      <c r="K509" s="1698">
        <v>1E-3</v>
      </c>
      <c r="L509" s="1809" t="s">
        <v>769</v>
      </c>
      <c r="M509" s="1794"/>
      <c r="N509" s="537"/>
      <c r="O509" s="1544"/>
      <c r="P509" s="1544"/>
    </row>
    <row r="510" spans="1:16" s="1555" customFormat="1" ht="18.75" customHeight="1">
      <c r="A510" s="1742"/>
      <c r="B510" s="1742"/>
      <c r="C510" s="1607" t="s">
        <v>1519</v>
      </c>
      <c r="D510" s="9029"/>
      <c r="E510" s="9030"/>
      <c r="F510" s="9030"/>
      <c r="G510" s="9000"/>
      <c r="H510" s="7809"/>
      <c r="I510" s="7810" t="s">
        <v>1518</v>
      </c>
      <c r="J510" s="7811"/>
      <c r="K510" s="7812"/>
      <c r="L510" s="7813"/>
      <c r="M510" s="1794"/>
      <c r="N510" s="537"/>
      <c r="O510" s="1544"/>
      <c r="P510" s="1544"/>
    </row>
    <row r="511" spans="1:16" s="1555" customFormat="1" ht="18.75" customHeight="1">
      <c r="A511" s="1742" t="s">
        <v>310</v>
      </c>
      <c r="B511" s="1742" t="s">
        <v>471</v>
      </c>
      <c r="C511" s="1607"/>
      <c r="D511" s="9029"/>
      <c r="E511" s="9030"/>
      <c r="F511" s="9030"/>
      <c r="G511" s="9000" t="str">
        <f>INDEX(PT_DIFFERENTIATION_NTAR,MATCH(B511,PT_DIFFERENTIATION_NTAR_ID,0))</f>
        <v>Подвоз воды потребителям поселка Садовая Долина</v>
      </c>
      <c r="H511" s="1809"/>
      <c r="I511" s="1658">
        <v>45292</v>
      </c>
      <c r="J511" s="1693">
        <v>45657</v>
      </c>
      <c r="K511" s="1698">
        <v>1E-3</v>
      </c>
      <c r="L511" s="1809" t="s">
        <v>769</v>
      </c>
      <c r="M511" s="1794"/>
      <c r="N511" s="537"/>
      <c r="O511" s="1544"/>
      <c r="P511" s="1544"/>
    </row>
    <row r="512" spans="1:16" s="1555" customFormat="1" ht="18.75" customHeight="1">
      <c r="A512" s="1742"/>
      <c r="B512" s="1742"/>
      <c r="C512" s="1607" t="s">
        <v>1519</v>
      </c>
      <c r="D512" s="9029"/>
      <c r="E512" s="9030"/>
      <c r="F512" s="9030"/>
      <c r="G512" s="9000"/>
      <c r="H512" s="7814"/>
      <c r="I512" s="7815" t="s">
        <v>1518</v>
      </c>
      <c r="J512" s="7816"/>
      <c r="K512" s="7817"/>
      <c r="L512" s="7818"/>
      <c r="M512" s="1794"/>
      <c r="N512" s="537"/>
      <c r="O512" s="1544"/>
      <c r="P512" s="1544"/>
    </row>
    <row r="513" spans="1:16" s="1555" customFormat="1" ht="18.75" customHeight="1">
      <c r="A513" s="1742" t="s">
        <v>310</v>
      </c>
      <c r="B513" s="1742" t="s">
        <v>477</v>
      </c>
      <c r="C513" s="1607"/>
      <c r="D513" s="9029"/>
      <c r="E513" s="9030"/>
      <c r="F513" s="9030"/>
      <c r="G513" s="9000" t="str">
        <f>INDEX(PT_DIFFERENTIATION_NTAR,MATCH(B513,PT_DIFFERENTIATION_NTAR_ID,0))</f>
        <v>Подвоз воды потребителям хутора Новоборгустанского</v>
      </c>
      <c r="H513" s="1809"/>
      <c r="I513" s="1658">
        <v>45292</v>
      </c>
      <c r="J513" s="1693">
        <v>45657</v>
      </c>
      <c r="K513" s="1698">
        <v>1E-3</v>
      </c>
      <c r="L513" s="1809" t="s">
        <v>769</v>
      </c>
      <c r="M513" s="1794"/>
      <c r="N513" s="537"/>
      <c r="O513" s="1544"/>
      <c r="P513" s="1544"/>
    </row>
    <row r="514" spans="1:16" s="1555" customFormat="1" ht="18.75" customHeight="1">
      <c r="A514" s="1742"/>
      <c r="B514" s="1742"/>
      <c r="C514" s="1607" t="s">
        <v>1519</v>
      </c>
      <c r="D514" s="9029"/>
      <c r="E514" s="9030"/>
      <c r="F514" s="9030"/>
      <c r="G514" s="9000"/>
      <c r="H514" s="7819"/>
      <c r="I514" s="7820" t="s">
        <v>1518</v>
      </c>
      <c r="J514" s="7821"/>
      <c r="K514" s="7822"/>
      <c r="L514" s="7823"/>
      <c r="M514" s="1794"/>
      <c r="N514" s="537"/>
      <c r="O514" s="1544"/>
      <c r="P514" s="1544"/>
    </row>
    <row r="515" spans="1:16" s="1555" customFormat="1" ht="18.75" customHeight="1">
      <c r="A515" s="1742" t="s">
        <v>310</v>
      </c>
      <c r="B515" s="1742" t="s">
        <v>483</v>
      </c>
      <c r="C515" s="1607"/>
      <c r="D515" s="9029"/>
      <c r="E515" s="9030"/>
      <c r="F515" s="9030"/>
      <c r="G515" s="9000" t="str">
        <f>INDEX(PT_DIFFERENTIATION_NTAR,MATCH(B515,PT_DIFFERENTIATION_NTAR_ID,0))</f>
        <v>Подвоз воды потребителям поселка Боргустанские Горы</v>
      </c>
      <c r="H515" s="1809"/>
      <c r="I515" s="1658">
        <v>45292</v>
      </c>
      <c r="J515" s="1693">
        <v>45657</v>
      </c>
      <c r="K515" s="1698">
        <v>1E-3</v>
      </c>
      <c r="L515" s="1809" t="s">
        <v>769</v>
      </c>
      <c r="M515" s="1794"/>
      <c r="N515" s="537"/>
      <c r="O515" s="1544"/>
      <c r="P515" s="1544"/>
    </row>
    <row r="516" spans="1:16" s="1555" customFormat="1" ht="18.75" customHeight="1">
      <c r="A516" s="1742"/>
      <c r="B516" s="1742"/>
      <c r="C516" s="1607" t="s">
        <v>1519</v>
      </c>
      <c r="D516" s="9029"/>
      <c r="E516" s="9030"/>
      <c r="F516" s="9030"/>
      <c r="G516" s="9000"/>
      <c r="H516" s="7824"/>
      <c r="I516" s="7825" t="s">
        <v>1518</v>
      </c>
      <c r="J516" s="7826"/>
      <c r="K516" s="7827"/>
      <c r="L516" s="7828"/>
      <c r="M516" s="1794"/>
      <c r="N516" s="537"/>
      <c r="O516" s="1544"/>
      <c r="P516" s="1544"/>
    </row>
    <row r="517" spans="1:16" s="1555" customFormat="1" ht="18.75" customHeight="1">
      <c r="A517" s="1742" t="s">
        <v>310</v>
      </c>
      <c r="B517" s="1742" t="s">
        <v>489</v>
      </c>
      <c r="C517" s="1607"/>
      <c r="D517" s="9029"/>
      <c r="E517" s="9030"/>
      <c r="F517" s="9030"/>
      <c r="G517" s="9000" t="str">
        <f>INDEX(PT_DIFFERENTIATION_NTAR,MATCH(B517,PT_DIFFERENTIATION_NTAR_ID,0))</f>
        <v>Подвоз воды потребителям хутора Коммаяка</v>
      </c>
      <c r="H517" s="1809"/>
      <c r="I517" s="1658">
        <v>45292</v>
      </c>
      <c r="J517" s="1693">
        <v>45657</v>
      </c>
      <c r="K517" s="1698">
        <v>1E-3</v>
      </c>
      <c r="L517" s="1809" t="s">
        <v>769</v>
      </c>
      <c r="M517" s="1794"/>
      <c r="N517" s="537"/>
      <c r="O517" s="1544"/>
      <c r="P517" s="1544"/>
    </row>
    <row r="518" spans="1:16" s="1555" customFormat="1" ht="18.75" customHeight="1">
      <c r="A518" s="1742"/>
      <c r="B518" s="1742"/>
      <c r="C518" s="1607" t="s">
        <v>1519</v>
      </c>
      <c r="D518" s="9029"/>
      <c r="E518" s="9030"/>
      <c r="F518" s="9030"/>
      <c r="G518" s="9000"/>
      <c r="H518" s="7829"/>
      <c r="I518" s="7830" t="s">
        <v>1518</v>
      </c>
      <c r="J518" s="7831"/>
      <c r="K518" s="7832"/>
      <c r="L518" s="7833"/>
      <c r="M518" s="1794"/>
      <c r="N518" s="537"/>
      <c r="O518" s="1544"/>
      <c r="P518" s="1544"/>
    </row>
    <row r="519" spans="1:16" s="1555" customFormat="1" ht="18.75" customHeight="1">
      <c r="A519" s="1742" t="s">
        <v>310</v>
      </c>
      <c r="B519" s="1742" t="s">
        <v>495</v>
      </c>
      <c r="C519" s="1607"/>
      <c r="D519" s="9029"/>
      <c r="E519" s="9030"/>
      <c r="F519" s="9030"/>
      <c r="G519" s="9000" t="str">
        <f>INDEX(PT_DIFFERENTIATION_NTAR,MATCH(B519,PT_DIFFERENTIATION_NTAR_ID,0))</f>
        <v>Подвоз воды потребителям хутора Садового</v>
      </c>
      <c r="H519" s="1809"/>
      <c r="I519" s="1658">
        <v>45292</v>
      </c>
      <c r="J519" s="1693">
        <v>45657</v>
      </c>
      <c r="K519" s="1698">
        <v>1E-3</v>
      </c>
      <c r="L519" s="1809" t="s">
        <v>769</v>
      </c>
      <c r="M519" s="1794"/>
      <c r="N519" s="537"/>
      <c r="O519" s="1544"/>
      <c r="P519" s="1544"/>
    </row>
    <row r="520" spans="1:16" s="1555" customFormat="1" ht="18.75" customHeight="1">
      <c r="A520" s="1742"/>
      <c r="B520" s="1742"/>
      <c r="C520" s="1607" t="s">
        <v>1519</v>
      </c>
      <c r="D520" s="9029"/>
      <c r="E520" s="9030"/>
      <c r="F520" s="9030"/>
      <c r="G520" s="9000"/>
      <c r="H520" s="7834"/>
      <c r="I520" s="7835" t="s">
        <v>1518</v>
      </c>
      <c r="J520" s="7836"/>
      <c r="K520" s="7837"/>
      <c r="L520" s="7838"/>
      <c r="M520" s="1794"/>
      <c r="N520" s="537"/>
      <c r="O520" s="1544"/>
      <c r="P520" s="1544"/>
    </row>
    <row r="521" spans="1:16" s="1555" customFormat="1" ht="18.75" customHeight="1">
      <c r="A521" s="1742" t="s">
        <v>310</v>
      </c>
      <c r="B521" s="1742" t="s">
        <v>501</v>
      </c>
      <c r="C521" s="1607"/>
      <c r="D521" s="9029"/>
      <c r="E521" s="9030"/>
      <c r="F521" s="9030"/>
      <c r="G521" s="9000" t="str">
        <f>INDEX(PT_DIFFERENTIATION_NTAR,MATCH(B521,PT_DIFFERENTIATION_NTAR_ID,0))</f>
        <v>Подвоз воды потребителям хутора Кофанова</v>
      </c>
      <c r="H521" s="1809"/>
      <c r="I521" s="1658">
        <v>45292</v>
      </c>
      <c r="J521" s="1693">
        <v>45657</v>
      </c>
      <c r="K521" s="1698">
        <v>1E-3</v>
      </c>
      <c r="L521" s="1809" t="s">
        <v>769</v>
      </c>
      <c r="M521" s="1794"/>
      <c r="N521" s="537"/>
      <c r="O521" s="1544"/>
      <c r="P521" s="1544"/>
    </row>
    <row r="522" spans="1:16" s="1555" customFormat="1" ht="18.75" customHeight="1">
      <c r="A522" s="1742"/>
      <c r="B522" s="1742"/>
      <c r="C522" s="1607" t="s">
        <v>1519</v>
      </c>
      <c r="D522" s="9029"/>
      <c r="E522" s="9030"/>
      <c r="F522" s="9030"/>
      <c r="G522" s="9000"/>
      <c r="H522" s="7839"/>
      <c r="I522" s="7840" t="s">
        <v>1518</v>
      </c>
      <c r="J522" s="7841"/>
      <c r="K522" s="7842"/>
      <c r="L522" s="7843"/>
      <c r="M522" s="1794"/>
      <c r="N522" s="537"/>
      <c r="O522" s="1544"/>
      <c r="P522" s="1544"/>
    </row>
    <row r="523" spans="1:16" s="1555" customFormat="1" ht="18.75" customHeight="1">
      <c r="A523" s="1742" t="s">
        <v>310</v>
      </c>
      <c r="B523" s="1742" t="s">
        <v>506</v>
      </c>
      <c r="C523" s="1607"/>
      <c r="D523" s="9029"/>
      <c r="E523" s="9030"/>
      <c r="F523" s="9030"/>
      <c r="G523" s="9000" t="str">
        <f>INDEX(PT_DIFFERENTIATION_NTAR,MATCH(B523,PT_DIFFERENTIATION_NTAR_ID,0))</f>
        <v>Подвоз воды потребителям хутора Холодногорского</v>
      </c>
      <c r="H523" s="1809"/>
      <c r="I523" s="1658">
        <v>45292</v>
      </c>
      <c r="J523" s="1693">
        <v>45657</v>
      </c>
      <c r="K523" s="1698">
        <v>1E-3</v>
      </c>
      <c r="L523" s="1809" t="s">
        <v>769</v>
      </c>
      <c r="M523" s="1794"/>
      <c r="N523" s="537"/>
      <c r="O523" s="1544"/>
      <c r="P523" s="1544"/>
    </row>
    <row r="524" spans="1:16" s="1555" customFormat="1" ht="18.75" customHeight="1">
      <c r="A524" s="1742"/>
      <c r="B524" s="1742"/>
      <c r="C524" s="1607" t="s">
        <v>1519</v>
      </c>
      <c r="D524" s="9029"/>
      <c r="E524" s="9030"/>
      <c r="F524" s="9030"/>
      <c r="G524" s="9000"/>
      <c r="H524" s="7844"/>
      <c r="I524" s="7845" t="s">
        <v>1518</v>
      </c>
      <c r="J524" s="7846"/>
      <c r="K524" s="7847"/>
      <c r="L524" s="7848"/>
      <c r="M524" s="1794"/>
      <c r="N524" s="537"/>
      <c r="O524" s="1544"/>
      <c r="P524" s="1544"/>
    </row>
    <row r="525" spans="1:16" s="1555" customFormat="1" ht="18.75" customHeight="1">
      <c r="A525" s="1742" t="s">
        <v>310</v>
      </c>
      <c r="B525" s="1742" t="s">
        <v>512</v>
      </c>
      <c r="C525" s="1607"/>
      <c r="D525" s="9029"/>
      <c r="E525" s="9030"/>
      <c r="F525" s="9030"/>
      <c r="G525" s="9000" t="str">
        <f>INDEX(PT_DIFFERENTIATION_NTAR,MATCH(B525,PT_DIFFERENTIATION_NTAR_ID,0))</f>
        <v>Подвоз воды потребителям хутора Гремучего</v>
      </c>
      <c r="H525" s="1809"/>
      <c r="I525" s="1658">
        <v>45292</v>
      </c>
      <c r="J525" s="1693">
        <v>45657</v>
      </c>
      <c r="K525" s="1698">
        <v>1E-3</v>
      </c>
      <c r="L525" s="1809" t="s">
        <v>769</v>
      </c>
      <c r="M525" s="1794"/>
      <c r="N525" s="537"/>
      <c r="O525" s="1544"/>
      <c r="P525" s="1544"/>
    </row>
    <row r="526" spans="1:16" s="1555" customFormat="1" ht="18.75" customHeight="1">
      <c r="A526" s="1742"/>
      <c r="B526" s="1742"/>
      <c r="C526" s="1607" t="s">
        <v>1519</v>
      </c>
      <c r="D526" s="9029"/>
      <c r="E526" s="9030"/>
      <c r="F526" s="9030"/>
      <c r="G526" s="9000"/>
      <c r="H526" s="7849"/>
      <c r="I526" s="7850" t="s">
        <v>1518</v>
      </c>
      <c r="J526" s="7851"/>
      <c r="K526" s="7852"/>
      <c r="L526" s="7853"/>
      <c r="M526" s="1794"/>
      <c r="N526" s="537"/>
      <c r="O526" s="1544"/>
      <c r="P526" s="1544"/>
    </row>
    <row r="527" spans="1:16" s="1555" customFormat="1" ht="18.75" customHeight="1">
      <c r="A527" s="1742" t="s">
        <v>310</v>
      </c>
      <c r="B527" s="1742" t="s">
        <v>518</v>
      </c>
      <c r="C527" s="1607"/>
      <c r="D527" s="9029"/>
      <c r="E527" s="9030"/>
      <c r="F527" s="9030"/>
      <c r="G527" s="9000" t="str">
        <f>INDEX(PT_DIFFERENTIATION_NTAR,MATCH(B527,PT_DIFFERENTIATION_NTAR_ID,0))</f>
        <v>Подвоз воды потребителям поселка Верхнедубовского</v>
      </c>
      <c r="H527" s="1809"/>
      <c r="I527" s="1658">
        <v>45292</v>
      </c>
      <c r="J527" s="1693">
        <v>45657</v>
      </c>
      <c r="K527" s="1698">
        <v>1E-3</v>
      </c>
      <c r="L527" s="1809" t="s">
        <v>769</v>
      </c>
      <c r="M527" s="1794"/>
      <c r="N527" s="537"/>
      <c r="O527" s="1544"/>
      <c r="P527" s="1544"/>
    </row>
    <row r="528" spans="1:16" s="1555" customFormat="1" ht="18.75" customHeight="1">
      <c r="A528" s="1742"/>
      <c r="B528" s="1742"/>
      <c r="C528" s="1607" t="s">
        <v>1519</v>
      </c>
      <c r="D528" s="9029"/>
      <c r="E528" s="9030"/>
      <c r="F528" s="9030"/>
      <c r="G528" s="9000"/>
      <c r="H528" s="7854"/>
      <c r="I528" s="7855" t="s">
        <v>1518</v>
      </c>
      <c r="J528" s="7856"/>
      <c r="K528" s="7857"/>
      <c r="L528" s="7858"/>
      <c r="M528" s="1794"/>
      <c r="N528" s="537"/>
      <c r="O528" s="1544"/>
      <c r="P528" s="1544"/>
    </row>
    <row r="529" spans="1:16" s="1555" customFormat="1" ht="18.75" customHeight="1">
      <c r="A529" s="1742" t="s">
        <v>310</v>
      </c>
      <c r="B529" s="1742" t="s">
        <v>524</v>
      </c>
      <c r="C529" s="1607"/>
      <c r="D529" s="9029"/>
      <c r="E529" s="9030"/>
      <c r="F529" s="9030"/>
      <c r="G529" s="9000" t="str">
        <f>INDEX(PT_DIFFERENTIATION_NTAR,MATCH(B529,PT_DIFFERENTIATION_NTAR_ID,0))</f>
        <v>Подвоз воды потребителям хутора Богатого</v>
      </c>
      <c r="H529" s="1809"/>
      <c r="I529" s="1658">
        <v>45292</v>
      </c>
      <c r="J529" s="1693">
        <v>45657</v>
      </c>
      <c r="K529" s="1698">
        <v>1E-3</v>
      </c>
      <c r="L529" s="1809" t="s">
        <v>769</v>
      </c>
      <c r="M529" s="1794"/>
      <c r="N529" s="537"/>
      <c r="O529" s="1544"/>
      <c r="P529" s="1544"/>
    </row>
    <row r="530" spans="1:16" s="1555" customFormat="1" ht="18.75" customHeight="1">
      <c r="A530" s="1742"/>
      <c r="B530" s="1742"/>
      <c r="C530" s="1607" t="s">
        <v>1519</v>
      </c>
      <c r="D530" s="9029"/>
      <c r="E530" s="9030"/>
      <c r="F530" s="9030"/>
      <c r="G530" s="9000"/>
      <c r="H530" s="7859"/>
      <c r="I530" s="7860" t="s">
        <v>1518</v>
      </c>
      <c r="J530" s="7861"/>
      <c r="K530" s="7862"/>
      <c r="L530" s="7863"/>
      <c r="M530" s="1794"/>
      <c r="N530" s="537"/>
      <c r="O530" s="1544"/>
      <c r="P530" s="1544"/>
    </row>
    <row r="531" spans="1:16" s="1555" customFormat="1" ht="18.75" customHeight="1">
      <c r="A531" s="1742" t="s">
        <v>310</v>
      </c>
      <c r="B531" s="1742" t="s">
        <v>530</v>
      </c>
      <c r="C531" s="1607"/>
      <c r="D531" s="9029"/>
      <c r="E531" s="9030"/>
      <c r="F531" s="9030"/>
      <c r="G531" s="9000" t="str">
        <f>INDEX(PT_DIFFERENTIATION_NTAR,MATCH(B531,PT_DIFFERENTIATION_NTAR_ID,0))</f>
        <v>Подвоз воды потребителям хутора Верхнеегорлыкского</v>
      </c>
      <c r="H531" s="1809"/>
      <c r="I531" s="1658">
        <v>45292</v>
      </c>
      <c r="J531" s="1693">
        <v>45657</v>
      </c>
      <c r="K531" s="1698">
        <v>1E-3</v>
      </c>
      <c r="L531" s="1809" t="s">
        <v>769</v>
      </c>
      <c r="M531" s="1794"/>
      <c r="N531" s="537"/>
      <c r="O531" s="1544"/>
      <c r="P531" s="1544"/>
    </row>
    <row r="532" spans="1:16" s="1555" customFormat="1" ht="18.75" customHeight="1">
      <c r="A532" s="1742"/>
      <c r="B532" s="1742"/>
      <c r="C532" s="1607" t="s">
        <v>1519</v>
      </c>
      <c r="D532" s="9029"/>
      <c r="E532" s="9030"/>
      <c r="F532" s="9030"/>
      <c r="G532" s="9000"/>
      <c r="H532" s="7864"/>
      <c r="I532" s="7865" t="s">
        <v>1518</v>
      </c>
      <c r="J532" s="7866"/>
      <c r="K532" s="7867"/>
      <c r="L532" s="7868"/>
      <c r="M532" s="1794"/>
      <c r="N532" s="537"/>
      <c r="O532" s="1544"/>
      <c r="P532" s="1544"/>
    </row>
    <row r="533" spans="1:16" s="1555" customFormat="1" ht="18.75" customHeight="1">
      <c r="A533" s="1742" t="s">
        <v>310</v>
      </c>
      <c r="B533" s="1742" t="s">
        <v>535</v>
      </c>
      <c r="C533" s="1607"/>
      <c r="D533" s="9029"/>
      <c r="E533" s="9030"/>
      <c r="F533" s="9030"/>
      <c r="G533" s="9000" t="str">
        <f>INDEX(PT_DIFFERENTIATION_NTAR,MATCH(B533,PT_DIFFERENTIATION_NTAR_ID,0))</f>
        <v>Подвоз воды потребителям хутора Садового</v>
      </c>
      <c r="H533" s="1809"/>
      <c r="I533" s="1658">
        <v>45292</v>
      </c>
      <c r="J533" s="1693">
        <v>45657</v>
      </c>
      <c r="K533" s="1698">
        <v>1E-3</v>
      </c>
      <c r="L533" s="1809" t="s">
        <v>769</v>
      </c>
      <c r="M533" s="1794"/>
      <c r="N533" s="537"/>
      <c r="O533" s="1544"/>
      <c r="P533" s="1544"/>
    </row>
    <row r="534" spans="1:16" s="1555" customFormat="1" ht="18.75" customHeight="1">
      <c r="A534" s="1742"/>
      <c r="B534" s="1742"/>
      <c r="C534" s="1607" t="s">
        <v>1519</v>
      </c>
      <c r="D534" s="9029"/>
      <c r="E534" s="9030"/>
      <c r="F534" s="9030"/>
      <c r="G534" s="9000"/>
      <c r="H534" s="7869"/>
      <c r="I534" s="7870" t="s">
        <v>1518</v>
      </c>
      <c r="J534" s="7871"/>
      <c r="K534" s="7872"/>
      <c r="L534" s="7873"/>
      <c r="M534" s="1794"/>
      <c r="N534" s="537"/>
      <c r="O534" s="1544"/>
      <c r="P534" s="1544"/>
    </row>
    <row r="535" spans="1:16" s="1555" customFormat="1" ht="18.75" customHeight="1">
      <c r="A535" s="1742" t="s">
        <v>310</v>
      </c>
      <c r="B535" s="1742" t="s">
        <v>541</v>
      </c>
      <c r="C535" s="1607"/>
      <c r="D535" s="9029"/>
      <c r="E535" s="9030"/>
      <c r="F535" s="9030"/>
      <c r="G535" s="9000" t="str">
        <f>INDEX(PT_DIFFERENTIATION_NTAR,MATCH(B535,PT_DIFFERENTIATION_NTAR_ID,0))</f>
        <v>Подвоз воды потребителям хутора Темнореченского</v>
      </c>
      <c r="H535" s="1809"/>
      <c r="I535" s="1658">
        <v>45292</v>
      </c>
      <c r="J535" s="1693">
        <v>45657</v>
      </c>
      <c r="K535" s="1698">
        <v>1E-3</v>
      </c>
      <c r="L535" s="1809" t="s">
        <v>769</v>
      </c>
      <c r="M535" s="1794"/>
      <c r="N535" s="537"/>
      <c r="O535" s="1544"/>
      <c r="P535" s="1544"/>
    </row>
    <row r="536" spans="1:16" s="1555" customFormat="1" ht="18.75" customHeight="1">
      <c r="A536" s="1742"/>
      <c r="B536" s="1742"/>
      <c r="C536" s="1607" t="s">
        <v>1519</v>
      </c>
      <c r="D536" s="9029"/>
      <c r="E536" s="9030"/>
      <c r="F536" s="9030"/>
      <c r="G536" s="9000"/>
      <c r="H536" s="7874"/>
      <c r="I536" s="7875" t="s">
        <v>1518</v>
      </c>
      <c r="J536" s="7876"/>
      <c r="K536" s="7877"/>
      <c r="L536" s="7878"/>
      <c r="M536" s="1794"/>
      <c r="N536" s="537"/>
      <c r="O536" s="1544"/>
      <c r="P536" s="1544"/>
    </row>
    <row r="537" spans="1:16" s="1555" customFormat="1" ht="18.75" customHeight="1">
      <c r="A537" s="1742" t="s">
        <v>310</v>
      </c>
      <c r="B537" s="1742" t="s">
        <v>547</v>
      </c>
      <c r="C537" s="1607"/>
      <c r="D537" s="9029"/>
      <c r="E537" s="9030"/>
      <c r="F537" s="9030"/>
      <c r="G537" s="9000" t="str">
        <f>INDEX(PT_DIFFERENTIATION_NTAR,MATCH(B537,PT_DIFFERENTIATION_NTAR_ID,0))</f>
        <v>Подвоз воды потребителям хутора Рынок</v>
      </c>
      <c r="H537" s="1809"/>
      <c r="I537" s="1658">
        <v>45292</v>
      </c>
      <c r="J537" s="1693">
        <v>45657</v>
      </c>
      <c r="K537" s="1698">
        <v>1E-3</v>
      </c>
      <c r="L537" s="1809" t="s">
        <v>769</v>
      </c>
      <c r="M537" s="1794"/>
      <c r="N537" s="537"/>
      <c r="O537" s="1544"/>
      <c r="P537" s="1544"/>
    </row>
    <row r="538" spans="1:16" s="1555" customFormat="1" ht="18.75" customHeight="1">
      <c r="A538" s="1742"/>
      <c r="B538" s="1742"/>
      <c r="C538" s="1607" t="s">
        <v>1519</v>
      </c>
      <c r="D538" s="9029"/>
      <c r="E538" s="9030"/>
      <c r="F538" s="9030"/>
      <c r="G538" s="9000"/>
      <c r="H538" s="7879"/>
      <c r="I538" s="7880" t="s">
        <v>1518</v>
      </c>
      <c r="J538" s="7881"/>
      <c r="K538" s="7882"/>
      <c r="L538" s="7883"/>
      <c r="M538" s="1794"/>
      <c r="N538" s="537"/>
      <c r="O538" s="1544"/>
      <c r="P538" s="1544"/>
    </row>
    <row r="539" spans="1:16" s="1555" customFormat="1" ht="18.75" customHeight="1">
      <c r="A539" s="1742" t="s">
        <v>310</v>
      </c>
      <c r="B539" s="1742" t="s">
        <v>553</v>
      </c>
      <c r="C539" s="1607"/>
      <c r="D539" s="9029"/>
      <c r="E539" s="9030"/>
      <c r="F539" s="9030"/>
      <c r="G539" s="9000" t="str">
        <f>INDEX(PT_DIFFERENTIATION_NTAR,MATCH(B539,PT_DIFFERENTIATION_NTAR_ID,0))</f>
        <v>Подвоз воды потребителям хутора Польского</v>
      </c>
      <c r="H539" s="1809"/>
      <c r="I539" s="1658">
        <v>45292</v>
      </c>
      <c r="J539" s="1693">
        <v>45657</v>
      </c>
      <c r="K539" s="1698">
        <v>1E-3</v>
      </c>
      <c r="L539" s="1809" t="s">
        <v>769</v>
      </c>
      <c r="M539" s="1794"/>
      <c r="N539" s="537"/>
      <c r="O539" s="1544"/>
      <c r="P539" s="1544"/>
    </row>
    <row r="540" spans="1:16" s="1555" customFormat="1" ht="18.75" customHeight="1">
      <c r="A540" s="1742"/>
      <c r="B540" s="1742"/>
      <c r="C540" s="1607" t="s">
        <v>1519</v>
      </c>
      <c r="D540" s="9029"/>
      <c r="E540" s="9030"/>
      <c r="F540" s="9030"/>
      <c r="G540" s="9000"/>
      <c r="H540" s="7884"/>
      <c r="I540" s="7885" t="s">
        <v>1518</v>
      </c>
      <c r="J540" s="7886"/>
      <c r="K540" s="7887"/>
      <c r="L540" s="7888"/>
      <c r="M540" s="1794"/>
      <c r="N540" s="537"/>
      <c r="O540" s="1544"/>
      <c r="P540" s="1544"/>
    </row>
    <row r="541" spans="1:16" s="1555" customFormat="1" ht="18.75" customHeight="1">
      <c r="A541" s="1742" t="s">
        <v>310</v>
      </c>
      <c r="B541" s="1742" t="s">
        <v>559</v>
      </c>
      <c r="C541" s="1607"/>
      <c r="D541" s="9029"/>
      <c r="E541" s="9030"/>
      <c r="F541" s="9030"/>
      <c r="G541" s="9000" t="str">
        <f>INDEX(PT_DIFFERENTIATION_NTAR,MATCH(B541,PT_DIFFERENTIATION_NTAR_ID,0))</f>
        <v>Подвоз воды потребителям поселка Рогового</v>
      </c>
      <c r="H541" s="1809"/>
      <c r="I541" s="1658">
        <v>45292</v>
      </c>
      <c r="J541" s="1693">
        <v>45657</v>
      </c>
      <c r="K541" s="1698">
        <v>1E-3</v>
      </c>
      <c r="L541" s="1809" t="s">
        <v>769</v>
      </c>
      <c r="M541" s="1794"/>
      <c r="N541" s="537"/>
      <c r="O541" s="1544"/>
      <c r="P541" s="1544"/>
    </row>
    <row r="542" spans="1:16" s="1555" customFormat="1" ht="18.75" customHeight="1">
      <c r="A542" s="1742"/>
      <c r="B542" s="1742"/>
      <c r="C542" s="1607" t="s">
        <v>1519</v>
      </c>
      <c r="D542" s="9029"/>
      <c r="E542" s="9030"/>
      <c r="F542" s="9030"/>
      <c r="G542" s="9000"/>
      <c r="H542" s="7889"/>
      <c r="I542" s="7890" t="s">
        <v>1518</v>
      </c>
      <c r="J542" s="7891"/>
      <c r="K542" s="7892"/>
      <c r="L542" s="7893"/>
      <c r="M542" s="1794"/>
      <c r="N542" s="537"/>
      <c r="O542" s="1544"/>
      <c r="P542" s="1544"/>
    </row>
    <row r="543" spans="1:16" s="1555" customFormat="1" ht="18.75" customHeight="1">
      <c r="A543" s="1742" t="s">
        <v>310</v>
      </c>
      <c r="B543" s="1742" t="s">
        <v>565</v>
      </c>
      <c r="C543" s="1607"/>
      <c r="D543" s="9029"/>
      <c r="E543" s="9030"/>
      <c r="F543" s="9030"/>
      <c r="G543" s="9000" t="str">
        <f>INDEX(PT_DIFFERENTIATION_NTAR,MATCH(B543,PT_DIFFERENTIATION_NTAR_ID,0))</f>
        <v>Подвоз воды потребителям поселка Приэтокского</v>
      </c>
      <c r="H543" s="1809"/>
      <c r="I543" s="1658">
        <v>45292</v>
      </c>
      <c r="J543" s="1693">
        <v>45657</v>
      </c>
      <c r="K543" s="1698">
        <v>1E-3</v>
      </c>
      <c r="L543" s="1809" t="s">
        <v>769</v>
      </c>
      <c r="M543" s="1794"/>
      <c r="N543" s="537"/>
      <c r="O543" s="1544"/>
      <c r="P543" s="1544"/>
    </row>
    <row r="544" spans="1:16" s="1555" customFormat="1" ht="18.75" customHeight="1">
      <c r="A544" s="1742"/>
      <c r="B544" s="1742"/>
      <c r="C544" s="1607" t="s">
        <v>1519</v>
      </c>
      <c r="D544" s="9029"/>
      <c r="E544" s="9030"/>
      <c r="F544" s="9030"/>
      <c r="G544" s="9000"/>
      <c r="H544" s="7894"/>
      <c r="I544" s="7895" t="s">
        <v>1518</v>
      </c>
      <c r="J544" s="7896"/>
      <c r="K544" s="7897"/>
      <c r="L544" s="7898"/>
      <c r="M544" s="1794"/>
      <c r="N544" s="537"/>
      <c r="O544" s="1544"/>
      <c r="P544" s="1544"/>
    </row>
    <row r="545" spans="1:16" s="1555" customFormat="1" ht="18.75" customHeight="1">
      <c r="A545" s="1742" t="s">
        <v>310</v>
      </c>
      <c r="B545" s="1742" t="s">
        <v>571</v>
      </c>
      <c r="C545" s="1607"/>
      <c r="D545" s="9029"/>
      <c r="E545" s="9030"/>
      <c r="F545" s="9030"/>
      <c r="G545" s="9000" t="str">
        <f>INDEX(PT_DIFFERENTIATION_NTAR,MATCH(B545,PT_DIFFERENTIATION_NTAR_ID,0))</f>
        <v>Подвоз воды потребителям поселка Ореховая Роща</v>
      </c>
      <c r="H545" s="1809"/>
      <c r="I545" s="1658">
        <v>45292</v>
      </c>
      <c r="J545" s="1693">
        <v>45657</v>
      </c>
      <c r="K545" s="1698">
        <v>1E-3</v>
      </c>
      <c r="L545" s="1809" t="s">
        <v>769</v>
      </c>
      <c r="M545" s="1794"/>
      <c r="N545" s="537"/>
      <c r="O545" s="1544"/>
      <c r="P545" s="1544"/>
    </row>
    <row r="546" spans="1:16" s="1555" customFormat="1" ht="18.75" customHeight="1">
      <c r="A546" s="1742"/>
      <c r="B546" s="1742"/>
      <c r="C546" s="1607" t="s">
        <v>1519</v>
      </c>
      <c r="D546" s="9029"/>
      <c r="E546" s="9030"/>
      <c r="F546" s="9030"/>
      <c r="G546" s="9000"/>
      <c r="H546" s="7899"/>
      <c r="I546" s="7900" t="s">
        <v>1518</v>
      </c>
      <c r="J546" s="7901"/>
      <c r="K546" s="7902"/>
      <c r="L546" s="7903"/>
      <c r="M546" s="1794"/>
      <c r="N546" s="537"/>
      <c r="O546" s="1544"/>
      <c r="P546" s="1544"/>
    </row>
    <row r="547" spans="1:16" s="1555" customFormat="1" ht="18.75" customHeight="1">
      <c r="A547" s="1742" t="s">
        <v>310</v>
      </c>
      <c r="B547" s="1742" t="s">
        <v>577</v>
      </c>
      <c r="C547" s="1607"/>
      <c r="D547" s="9029"/>
      <c r="E547" s="9030"/>
      <c r="F547" s="9030"/>
      <c r="G547" s="9000" t="str">
        <f>INDEX(PT_DIFFERENTIATION_NTAR,MATCH(B547,PT_DIFFERENTIATION_NTAR_ID,0))</f>
        <v>Подвоз воды потребителям хутора Беляева</v>
      </c>
      <c r="H547" s="1809"/>
      <c r="I547" s="1658">
        <v>45292</v>
      </c>
      <c r="J547" s="1693">
        <v>45657</v>
      </c>
      <c r="K547" s="1698">
        <v>1E-3</v>
      </c>
      <c r="L547" s="1809" t="s">
        <v>769</v>
      </c>
      <c r="M547" s="1794"/>
      <c r="N547" s="537"/>
      <c r="O547" s="1544"/>
      <c r="P547" s="1544"/>
    </row>
    <row r="548" spans="1:16" s="1555" customFormat="1" ht="18.75" customHeight="1">
      <c r="A548" s="1742"/>
      <c r="B548" s="1742"/>
      <c r="C548" s="1607" t="s">
        <v>1519</v>
      </c>
      <c r="D548" s="9029"/>
      <c r="E548" s="9030"/>
      <c r="F548" s="9030"/>
      <c r="G548" s="9000"/>
      <c r="H548" s="7904"/>
      <c r="I548" s="7905" t="s">
        <v>1518</v>
      </c>
      <c r="J548" s="7906"/>
      <c r="K548" s="7907"/>
      <c r="L548" s="7908"/>
      <c r="M548" s="1794"/>
      <c r="N548" s="537"/>
      <c r="O548" s="1544"/>
      <c r="P548" s="1544"/>
    </row>
    <row r="549" spans="1:16" s="1555" customFormat="1" ht="18.75" customHeight="1">
      <c r="A549" s="1742" t="s">
        <v>310</v>
      </c>
      <c r="B549" s="1742" t="s">
        <v>583</v>
      </c>
      <c r="C549" s="1607"/>
      <c r="D549" s="9029"/>
      <c r="E549" s="9030"/>
      <c r="F549" s="9030"/>
      <c r="G549" s="9000" t="str">
        <f>INDEX(PT_DIFFERENTIATION_NTAR,MATCH(B549,PT_DIFFERENTIATION_NTAR_ID,0))</f>
        <v>Подвоз воды потребителям села Найдёновка</v>
      </c>
      <c r="H549" s="1809"/>
      <c r="I549" s="1658">
        <v>45292</v>
      </c>
      <c r="J549" s="1693">
        <v>45657</v>
      </c>
      <c r="K549" s="1698">
        <v>1E-3</v>
      </c>
      <c r="L549" s="1809" t="s">
        <v>769</v>
      </c>
      <c r="M549" s="1794"/>
      <c r="N549" s="537"/>
      <c r="O549" s="1544"/>
      <c r="P549" s="1544"/>
    </row>
    <row r="550" spans="1:16" s="1555" customFormat="1" ht="18.75" customHeight="1">
      <c r="A550" s="1742"/>
      <c r="B550" s="1742"/>
      <c r="C550" s="1607" t="s">
        <v>1519</v>
      </c>
      <c r="D550" s="9029"/>
      <c r="E550" s="9030"/>
      <c r="F550" s="9030"/>
      <c r="G550" s="9000"/>
      <c r="H550" s="7909"/>
      <c r="I550" s="7910" t="s">
        <v>1518</v>
      </c>
      <c r="J550" s="7911"/>
      <c r="K550" s="7912"/>
      <c r="L550" s="7913"/>
      <c r="M550" s="1794"/>
      <c r="N550" s="537"/>
      <c r="O550" s="1544"/>
      <c r="P550" s="1544"/>
    </row>
    <row r="551" spans="1:16" s="1555" customFormat="1" ht="18.75" customHeight="1">
      <c r="A551" s="1742" t="s">
        <v>310</v>
      </c>
      <c r="B551" s="1742" t="s">
        <v>589</v>
      </c>
      <c r="C551" s="1607"/>
      <c r="D551" s="9029"/>
      <c r="E551" s="9030"/>
      <c r="F551" s="9030"/>
      <c r="G551" s="9000" t="str">
        <f>INDEX(PT_DIFFERENTIATION_NTAR,MATCH(B551,PT_DIFFERENTIATION_NTAR_ID,0))</f>
        <v>Подвоз воды потребителям села Подлужного</v>
      </c>
      <c r="H551" s="1809"/>
      <c r="I551" s="1658">
        <v>45292</v>
      </c>
      <c r="J551" s="1693">
        <v>45657</v>
      </c>
      <c r="K551" s="1698">
        <v>1E-3</v>
      </c>
      <c r="L551" s="1809" t="s">
        <v>769</v>
      </c>
      <c r="M551" s="1794"/>
      <c r="N551" s="537"/>
      <c r="O551" s="1544"/>
      <c r="P551" s="1544"/>
    </row>
    <row r="552" spans="1:16" s="1555" customFormat="1" ht="18.75" customHeight="1">
      <c r="A552" s="1742"/>
      <c r="B552" s="1742"/>
      <c r="C552" s="1607" t="s">
        <v>1519</v>
      </c>
      <c r="D552" s="9029"/>
      <c r="E552" s="9030"/>
      <c r="F552" s="9030"/>
      <c r="G552" s="9000"/>
      <c r="H552" s="7914"/>
      <c r="I552" s="7915" t="s">
        <v>1518</v>
      </c>
      <c r="J552" s="7916"/>
      <c r="K552" s="7917"/>
      <c r="L552" s="7918"/>
      <c r="M552" s="1794"/>
      <c r="N552" s="537"/>
      <c r="O552" s="1544"/>
      <c r="P552" s="1544"/>
    </row>
    <row r="553" spans="1:16" s="1555" customFormat="1" ht="18.75" customHeight="1">
      <c r="A553" s="1742" t="s">
        <v>310</v>
      </c>
      <c r="B553" s="1742" t="s">
        <v>595</v>
      </c>
      <c r="C553" s="1607"/>
      <c r="D553" s="9029"/>
      <c r="E553" s="9030"/>
      <c r="F553" s="9030"/>
      <c r="G553" s="9000" t="str">
        <f>INDEX(PT_DIFFERENTIATION_NTAR,MATCH(B553,PT_DIFFERENTIATION_NTAR_ID,0))</f>
        <v>Подвоз воды потребителям хутора Красная Балка</v>
      </c>
      <c r="H553" s="1809"/>
      <c r="I553" s="1658">
        <v>45292</v>
      </c>
      <c r="J553" s="1693">
        <v>45657</v>
      </c>
      <c r="K553" s="1698">
        <v>1E-3</v>
      </c>
      <c r="L553" s="1809" t="s">
        <v>769</v>
      </c>
      <c r="M553" s="1794"/>
      <c r="N553" s="537"/>
      <c r="O553" s="1544"/>
      <c r="P553" s="1544"/>
    </row>
    <row r="554" spans="1:16" s="1555" customFormat="1" ht="18.75" customHeight="1">
      <c r="A554" s="1742"/>
      <c r="B554" s="1742"/>
      <c r="C554" s="1607" t="s">
        <v>1519</v>
      </c>
      <c r="D554" s="9029"/>
      <c r="E554" s="9030"/>
      <c r="F554" s="9030"/>
      <c r="G554" s="9000"/>
      <c r="H554" s="7919"/>
      <c r="I554" s="7920" t="s">
        <v>1518</v>
      </c>
      <c r="J554" s="7921"/>
      <c r="K554" s="7922"/>
      <c r="L554" s="7923"/>
      <c r="M554" s="1794"/>
      <c r="N554" s="537"/>
      <c r="O554" s="1544"/>
      <c r="P554" s="1544"/>
    </row>
    <row r="555" spans="1:16" s="1555" customFormat="1" ht="18.75" customHeight="1">
      <c r="A555" s="1742" t="s">
        <v>310</v>
      </c>
      <c r="B555" s="1742" t="s">
        <v>601</v>
      </c>
      <c r="C555" s="1607"/>
      <c r="D555" s="9029"/>
      <c r="E555" s="9030"/>
      <c r="F555" s="9030"/>
      <c r="G555" s="9000" t="str">
        <f>INDEX(PT_DIFFERENTIATION_NTAR,MATCH(B555,PT_DIFFERENTIATION_NTAR_ID,0))</f>
        <v>Подвоз воды потребителям хутора Козлова</v>
      </c>
      <c r="H555" s="1809"/>
      <c r="I555" s="1658">
        <v>45292</v>
      </c>
      <c r="J555" s="1693">
        <v>45657</v>
      </c>
      <c r="K555" s="1698">
        <v>1E-3</v>
      </c>
      <c r="L555" s="1809" t="s">
        <v>769</v>
      </c>
      <c r="M555" s="1794"/>
      <c r="N555" s="537"/>
      <c r="O555" s="1544"/>
      <c r="P555" s="1544"/>
    </row>
    <row r="556" spans="1:16" s="1555" customFormat="1" ht="18.75" customHeight="1">
      <c r="A556" s="1742"/>
      <c r="B556" s="1742"/>
      <c r="C556" s="1607" t="s">
        <v>1519</v>
      </c>
      <c r="D556" s="9029"/>
      <c r="E556" s="9030"/>
      <c r="F556" s="9030"/>
      <c r="G556" s="9000"/>
      <c r="H556" s="7924"/>
      <c r="I556" s="7925" t="s">
        <v>1518</v>
      </c>
      <c r="J556" s="7926"/>
      <c r="K556" s="7927"/>
      <c r="L556" s="7928"/>
      <c r="M556" s="1794"/>
      <c r="N556" s="537"/>
      <c r="O556" s="1544"/>
      <c r="P556" s="1544"/>
    </row>
    <row r="557" spans="1:16" s="1555" customFormat="1" ht="18.75" customHeight="1">
      <c r="A557" s="1742" t="s">
        <v>310</v>
      </c>
      <c r="B557" s="1742" t="s">
        <v>607</v>
      </c>
      <c r="C557" s="1607"/>
      <c r="D557" s="9029"/>
      <c r="E557" s="9030"/>
      <c r="F557" s="9030"/>
      <c r="G557" s="9000" t="str">
        <f>INDEX(PT_DIFFERENTIATION_NTAR,MATCH(B557,PT_DIFFERENTIATION_NTAR_ID,0))</f>
        <v>Подвоз воды потребителям села Тищенского</v>
      </c>
      <c r="H557" s="1809"/>
      <c r="I557" s="1658">
        <v>45292</v>
      </c>
      <c r="J557" s="1693">
        <v>45657</v>
      </c>
      <c r="K557" s="1698">
        <v>1E-3</v>
      </c>
      <c r="L557" s="1809" t="s">
        <v>769</v>
      </c>
      <c r="M557" s="1794"/>
      <c r="N557" s="537"/>
      <c r="O557" s="1544"/>
      <c r="P557" s="1544"/>
    </row>
    <row r="558" spans="1:16" s="1555" customFormat="1" ht="18.75" customHeight="1">
      <c r="A558" s="1742"/>
      <c r="B558" s="1742"/>
      <c r="C558" s="1607" t="s">
        <v>1519</v>
      </c>
      <c r="D558" s="9029"/>
      <c r="E558" s="9030"/>
      <c r="F558" s="9030"/>
      <c r="G558" s="9000"/>
      <c r="H558" s="7929"/>
      <c r="I558" s="7930" t="s">
        <v>1518</v>
      </c>
      <c r="J558" s="7931"/>
      <c r="K558" s="7932"/>
      <c r="L558" s="7933"/>
      <c r="M558" s="1794"/>
      <c r="N558" s="537"/>
      <c r="O558" s="1544"/>
      <c r="P558" s="1544"/>
    </row>
    <row r="559" spans="1:16" s="1555" customFormat="1" ht="18.75" customHeight="1">
      <c r="A559" s="1742" t="s">
        <v>310</v>
      </c>
      <c r="B559" s="1742" t="s">
        <v>613</v>
      </c>
      <c r="C559" s="1607"/>
      <c r="D559" s="9029"/>
      <c r="E559" s="9030"/>
      <c r="F559" s="9030"/>
      <c r="G559" s="9000" t="str">
        <f>INDEX(PT_DIFFERENTIATION_NTAR,MATCH(B559,PT_DIFFERENTIATION_NTAR_ID,0))</f>
        <v>Подвоз воды потребителям хутора Вавилон</v>
      </c>
      <c r="H559" s="1809"/>
      <c r="I559" s="1658">
        <v>45292</v>
      </c>
      <c r="J559" s="1693">
        <v>45657</v>
      </c>
      <c r="K559" s="1698">
        <v>1E-3</v>
      </c>
      <c r="L559" s="1809" t="s">
        <v>769</v>
      </c>
      <c r="M559" s="1794"/>
      <c r="N559" s="537"/>
      <c r="O559" s="1544"/>
      <c r="P559" s="1544"/>
    </row>
    <row r="560" spans="1:16" s="1555" customFormat="1" ht="18.75" customHeight="1">
      <c r="A560" s="1742"/>
      <c r="B560" s="1742"/>
      <c r="C560" s="1607" t="s">
        <v>1519</v>
      </c>
      <c r="D560" s="9029"/>
      <c r="E560" s="9030"/>
      <c r="F560" s="9030"/>
      <c r="G560" s="9000"/>
      <c r="H560" s="7934"/>
      <c r="I560" s="7935" t="s">
        <v>1518</v>
      </c>
      <c r="J560" s="7936"/>
      <c r="K560" s="7937"/>
      <c r="L560" s="7938"/>
      <c r="M560" s="1794"/>
      <c r="N560" s="537"/>
      <c r="O560" s="1544"/>
      <c r="P560" s="1544"/>
    </row>
    <row r="561" spans="1:16" s="1555" customFormat="1" ht="18.75" customHeight="1">
      <c r="A561" s="1742" t="s">
        <v>310</v>
      </c>
      <c r="B561" s="1742" t="s">
        <v>619</v>
      </c>
      <c r="C561" s="1607"/>
      <c r="D561" s="9029"/>
      <c r="E561" s="9030"/>
      <c r="F561" s="9030"/>
      <c r="G561" s="9000" t="str">
        <f>INDEX(PT_DIFFERENTIATION_NTAR,MATCH(B561,PT_DIFFERENTIATION_NTAR_ID,0))</f>
        <v>Подвоз воды потребителям хутора Липчанского</v>
      </c>
      <c r="H561" s="1809"/>
      <c r="I561" s="1658">
        <v>45292</v>
      </c>
      <c r="J561" s="1693">
        <v>45657</v>
      </c>
      <c r="K561" s="1698">
        <v>1E-3</v>
      </c>
      <c r="L561" s="1809" t="s">
        <v>769</v>
      </c>
      <c r="M561" s="1794"/>
      <c r="N561" s="537"/>
      <c r="O561" s="1544"/>
      <c r="P561" s="1544"/>
    </row>
    <row r="562" spans="1:16" s="1555" customFormat="1" ht="18.75" customHeight="1">
      <c r="A562" s="1742"/>
      <c r="B562" s="1742"/>
      <c r="C562" s="1607" t="s">
        <v>1519</v>
      </c>
      <c r="D562" s="9029"/>
      <c r="E562" s="9030"/>
      <c r="F562" s="9030"/>
      <c r="G562" s="9000"/>
      <c r="H562" s="7939"/>
      <c r="I562" s="7940" t="s">
        <v>1518</v>
      </c>
      <c r="J562" s="7941"/>
      <c r="K562" s="7942"/>
      <c r="L562" s="7943"/>
      <c r="M562" s="1794"/>
      <c r="N562" s="537"/>
      <c r="O562" s="1544"/>
      <c r="P562" s="1544"/>
    </row>
    <row r="563" spans="1:16" s="1555" customFormat="1" ht="18.75" customHeight="1">
      <c r="A563" s="1742" t="s">
        <v>310</v>
      </c>
      <c r="B563" s="1742" t="s">
        <v>625</v>
      </c>
      <c r="C563" s="1607"/>
      <c r="D563" s="9029"/>
      <c r="E563" s="9030"/>
      <c r="F563" s="9030"/>
      <c r="G563" s="9000" t="str">
        <f>INDEX(PT_DIFFERENTIATION_NTAR,MATCH(B563,PT_DIFFERENTIATION_NTAR_ID,0))</f>
        <v>Подвоз воды потребителям поселка Высокогорного</v>
      </c>
      <c r="H563" s="1809"/>
      <c r="I563" s="1658">
        <v>45292</v>
      </c>
      <c r="J563" s="1693">
        <v>45657</v>
      </c>
      <c r="K563" s="1698">
        <v>1E-3</v>
      </c>
      <c r="L563" s="1809" t="s">
        <v>769</v>
      </c>
      <c r="M563" s="1794"/>
      <c r="N563" s="537"/>
      <c r="O563" s="1544"/>
      <c r="P563" s="1544"/>
    </row>
    <row r="564" spans="1:16" s="1555" customFormat="1" ht="18.75" customHeight="1">
      <c r="A564" s="1742"/>
      <c r="B564" s="1742"/>
      <c r="C564" s="1607" t="s">
        <v>1519</v>
      </c>
      <c r="D564" s="9029"/>
      <c r="E564" s="9030"/>
      <c r="F564" s="9030"/>
      <c r="G564" s="9000"/>
      <c r="H564" s="7944"/>
      <c r="I564" s="7945" t="s">
        <v>1518</v>
      </c>
      <c r="J564" s="7946"/>
      <c r="K564" s="7947"/>
      <c r="L564" s="7948"/>
      <c r="M564" s="1794"/>
      <c r="N564" s="537"/>
      <c r="O564" s="1544"/>
      <c r="P564" s="1544"/>
    </row>
    <row r="565" spans="1:16" s="1555" customFormat="1" ht="18.75" customHeight="1">
      <c r="A565" s="1742" t="s">
        <v>310</v>
      </c>
      <c r="B565" s="1742" t="s">
        <v>631</v>
      </c>
      <c r="C565" s="1607"/>
      <c r="D565" s="9029"/>
      <c r="E565" s="9030"/>
      <c r="F565" s="9030"/>
      <c r="G565" s="9000" t="str">
        <f>INDEX(PT_DIFFERENTIATION_NTAR,MATCH(B565,PT_DIFFERENTIATION_NTAR_ID,0))</f>
        <v>Подвоз воды потребителям поселка Левоберезовского</v>
      </c>
      <c r="H565" s="1809"/>
      <c r="I565" s="1658">
        <v>45292</v>
      </c>
      <c r="J565" s="1693">
        <v>45657</v>
      </c>
      <c r="K565" s="1698">
        <v>1E-3</v>
      </c>
      <c r="L565" s="1809" t="s">
        <v>769</v>
      </c>
      <c r="M565" s="1794"/>
      <c r="N565" s="537"/>
      <c r="O565" s="1544"/>
      <c r="P565" s="1544"/>
    </row>
    <row r="566" spans="1:16" s="1555" customFormat="1" ht="18.75" customHeight="1">
      <c r="A566" s="1742"/>
      <c r="B566" s="1742"/>
      <c r="C566" s="1607" t="s">
        <v>1519</v>
      </c>
      <c r="D566" s="9029"/>
      <c r="E566" s="9030"/>
      <c r="F566" s="9030"/>
      <c r="G566" s="9000"/>
      <c r="H566" s="7949"/>
      <c r="I566" s="7950" t="s">
        <v>1518</v>
      </c>
      <c r="J566" s="7951"/>
      <c r="K566" s="7952"/>
      <c r="L566" s="7953"/>
      <c r="M566" s="1794"/>
      <c r="N566" s="537"/>
      <c r="O566" s="1544"/>
      <c r="P566" s="1544"/>
    </row>
    <row r="567" spans="1:16" s="1555" customFormat="1" ht="18.75" customHeight="1">
      <c r="A567" s="1742" t="s">
        <v>310</v>
      </c>
      <c r="B567" s="1742" t="s">
        <v>637</v>
      </c>
      <c r="C567" s="1607"/>
      <c r="D567" s="9029"/>
      <c r="E567" s="9030"/>
      <c r="F567" s="9030"/>
      <c r="G567" s="9000" t="str">
        <f>INDEX(PT_DIFFERENTIATION_NTAR,MATCH(B567,PT_DIFFERENTIATION_NTAR_ID,0))</f>
        <v>Подвоз воды потребителям поселка Правоберезовского</v>
      </c>
      <c r="H567" s="1809"/>
      <c r="I567" s="1658">
        <v>45292</v>
      </c>
      <c r="J567" s="1693">
        <v>45657</v>
      </c>
      <c r="K567" s="1698">
        <v>1E-3</v>
      </c>
      <c r="L567" s="1809" t="s">
        <v>769</v>
      </c>
      <c r="M567" s="1794"/>
      <c r="N567" s="537"/>
      <c r="O567" s="1544"/>
      <c r="P567" s="1544"/>
    </row>
    <row r="568" spans="1:16" s="1555" customFormat="1" ht="18.75" customHeight="1">
      <c r="A568" s="1742"/>
      <c r="B568" s="1742"/>
      <c r="C568" s="1607" t="s">
        <v>1519</v>
      </c>
      <c r="D568" s="9029"/>
      <c r="E568" s="9030"/>
      <c r="F568" s="9030"/>
      <c r="G568" s="9000"/>
      <c r="H568" s="7954"/>
      <c r="I568" s="7955" t="s">
        <v>1518</v>
      </c>
      <c r="J568" s="7956"/>
      <c r="K568" s="7957"/>
      <c r="L568" s="7958"/>
      <c r="M568" s="1794"/>
      <c r="N568" s="537"/>
      <c r="O568" s="1544"/>
      <c r="P568" s="1544"/>
    </row>
    <row r="569" spans="1:16" s="1555" customFormat="1" ht="18.75" customHeight="1">
      <c r="A569" s="1742" t="s">
        <v>310</v>
      </c>
      <c r="B569" s="1742" t="s">
        <v>643</v>
      </c>
      <c r="C569" s="1607"/>
      <c r="D569" s="9029"/>
      <c r="E569" s="9030"/>
      <c r="F569" s="9030"/>
      <c r="G569" s="9000" t="str">
        <f>INDEX(PT_DIFFERENTIATION_NTAR,MATCH(B569,PT_DIFFERENTIATION_NTAR_ID,0))</f>
        <v>Подвоз воды потребителям аула Бакрес</v>
      </c>
      <c r="H569" s="1809"/>
      <c r="I569" s="1658">
        <v>45292</v>
      </c>
      <c r="J569" s="1693">
        <v>45657</v>
      </c>
      <c r="K569" s="1698">
        <v>1E-3</v>
      </c>
      <c r="L569" s="1809" t="s">
        <v>769</v>
      </c>
      <c r="M569" s="1794"/>
      <c r="N569" s="537"/>
      <c r="O569" s="1544"/>
      <c r="P569" s="1544"/>
    </row>
    <row r="570" spans="1:16" s="1555" customFormat="1" ht="18.75" customHeight="1">
      <c r="A570" s="1742"/>
      <c r="B570" s="1742"/>
      <c r="C570" s="1607" t="s">
        <v>1519</v>
      </c>
      <c r="D570" s="9029"/>
      <c r="E570" s="9030"/>
      <c r="F570" s="9030"/>
      <c r="G570" s="9000"/>
      <c r="H570" s="7959"/>
      <c r="I570" s="7960" t="s">
        <v>1518</v>
      </c>
      <c r="J570" s="7961"/>
      <c r="K570" s="7962"/>
      <c r="L570" s="7963"/>
      <c r="M570" s="1794"/>
      <c r="N570" s="537"/>
      <c r="O570" s="1544"/>
      <c r="P570" s="1544"/>
    </row>
    <row r="571" spans="1:16" s="1555" customFormat="1" ht="18.75" customHeight="1">
      <c r="A571" s="1742" t="s">
        <v>310</v>
      </c>
      <c r="B571" s="1742" t="s">
        <v>649</v>
      </c>
      <c r="C571" s="1607"/>
      <c r="D571" s="9029"/>
      <c r="E571" s="9030"/>
      <c r="F571" s="9030"/>
      <c r="G571" s="9000" t="str">
        <f>INDEX(PT_DIFFERENTIATION_NTAR,MATCH(B571,PT_DIFFERENTIATION_NTAR_ID,0))</f>
        <v>Подвоз воды потребителям аула Уллуби-Юрт</v>
      </c>
      <c r="H571" s="1809"/>
      <c r="I571" s="1658">
        <v>45292</v>
      </c>
      <c r="J571" s="1693">
        <v>45657</v>
      </c>
      <c r="K571" s="1698">
        <v>1E-3</v>
      </c>
      <c r="L571" s="1809" t="s">
        <v>769</v>
      </c>
      <c r="M571" s="1794"/>
      <c r="N571" s="537"/>
      <c r="O571" s="1544"/>
      <c r="P571" s="1544"/>
    </row>
    <row r="572" spans="1:16" s="1555" customFormat="1" ht="18.75" customHeight="1">
      <c r="A572" s="1742"/>
      <c r="B572" s="1742"/>
      <c r="C572" s="1607" t="s">
        <v>1519</v>
      </c>
      <c r="D572" s="9029"/>
      <c r="E572" s="9030"/>
      <c r="F572" s="9030"/>
      <c r="G572" s="9000"/>
      <c r="H572" s="7964"/>
      <c r="I572" s="7965" t="s">
        <v>1518</v>
      </c>
      <c r="J572" s="7966"/>
      <c r="K572" s="7967"/>
      <c r="L572" s="7968"/>
      <c r="M572" s="1794"/>
      <c r="N572" s="537"/>
      <c r="O572" s="1544"/>
      <c r="P572" s="1544"/>
    </row>
    <row r="573" spans="1:16" s="1555" customFormat="1" ht="18.75" customHeight="1">
      <c r="A573" s="1742" t="s">
        <v>310</v>
      </c>
      <c r="B573" s="1742" t="s">
        <v>655</v>
      </c>
      <c r="C573" s="1607"/>
      <c r="D573" s="9029"/>
      <c r="E573" s="9030"/>
      <c r="F573" s="9030"/>
      <c r="G573" s="9000" t="str">
        <f>INDEX(PT_DIFFERENTIATION_NTAR,MATCH(B573,PT_DIFFERENTIATION_NTAR_ID,0))</f>
        <v>Подвоз воды потребителям аула Махач-Аул</v>
      </c>
      <c r="H573" s="1809"/>
      <c r="I573" s="1658">
        <v>45292</v>
      </c>
      <c r="J573" s="1693">
        <v>45657</v>
      </c>
      <c r="K573" s="1698">
        <v>1E-3</v>
      </c>
      <c r="L573" s="1809" t="s">
        <v>769</v>
      </c>
      <c r="M573" s="1794"/>
      <c r="N573" s="537"/>
      <c r="O573" s="1544"/>
      <c r="P573" s="1544"/>
    </row>
    <row r="574" spans="1:16" s="1555" customFormat="1" ht="18.75" customHeight="1">
      <c r="A574" s="1742"/>
      <c r="B574" s="1742"/>
      <c r="C574" s="1607" t="s">
        <v>1519</v>
      </c>
      <c r="D574" s="9029"/>
      <c r="E574" s="9030"/>
      <c r="F574" s="9030"/>
      <c r="G574" s="9000"/>
      <c r="H574" s="7969"/>
      <c r="I574" s="7970" t="s">
        <v>1518</v>
      </c>
      <c r="J574" s="7971"/>
      <c r="K574" s="7972"/>
      <c r="L574" s="7973"/>
      <c r="M574" s="1794"/>
      <c r="N574" s="537"/>
      <c r="O574" s="1544"/>
      <c r="P574" s="1544"/>
    </row>
    <row r="575" spans="1:16" s="1555" customFormat="1" ht="18.75" customHeight="1">
      <c r="A575" s="1742" t="s">
        <v>310</v>
      </c>
      <c r="B575" s="1742" t="s">
        <v>661</v>
      </c>
      <c r="C575" s="1607"/>
      <c r="D575" s="9029"/>
      <c r="E575" s="9030"/>
      <c r="F575" s="9030"/>
      <c r="G575" s="9000" t="str">
        <f>INDEX(PT_DIFFERENTIATION_NTAR,MATCH(B575,PT_DIFFERENTIATION_NTAR_ID,0))</f>
        <v>Подвоз воды потребителям аула Уч-Тюбе</v>
      </c>
      <c r="H575" s="1809"/>
      <c r="I575" s="1658">
        <v>45292</v>
      </c>
      <c r="J575" s="1693">
        <v>45657</v>
      </c>
      <c r="K575" s="1698">
        <v>1E-3</v>
      </c>
      <c r="L575" s="1809" t="s">
        <v>769</v>
      </c>
      <c r="M575" s="1794"/>
      <c r="N575" s="537"/>
      <c r="O575" s="1544"/>
      <c r="P575" s="1544"/>
    </row>
    <row r="576" spans="1:16" s="1555" customFormat="1" ht="18.75" customHeight="1">
      <c r="A576" s="1742"/>
      <c r="B576" s="1742"/>
      <c r="C576" s="1607" t="s">
        <v>1519</v>
      </c>
      <c r="D576" s="9029"/>
      <c r="E576" s="9030"/>
      <c r="F576" s="9030"/>
      <c r="G576" s="9000"/>
      <c r="H576" s="7974"/>
      <c r="I576" s="7975" t="s">
        <v>1518</v>
      </c>
      <c r="J576" s="7976"/>
      <c r="K576" s="7977"/>
      <c r="L576" s="7978"/>
      <c r="M576" s="1794"/>
      <c r="N576" s="537"/>
      <c r="O576" s="1544"/>
      <c r="P576" s="1544"/>
    </row>
    <row r="577" spans="1:16" s="1555" customFormat="1" ht="18.75" customHeight="1">
      <c r="A577" s="1742" t="s">
        <v>310</v>
      </c>
      <c r="B577" s="1742" t="s">
        <v>666</v>
      </c>
      <c r="C577" s="1607"/>
      <c r="D577" s="9029"/>
      <c r="E577" s="9030"/>
      <c r="F577" s="9030"/>
      <c r="G577" s="9000" t="str">
        <f>INDEX(PT_DIFFERENTIATION_NTAR,MATCH(B577,PT_DIFFERENTIATION_NTAR_ID,0))</f>
        <v>Подвоз воды потребителям аула Кунай</v>
      </c>
      <c r="H577" s="1809"/>
      <c r="I577" s="1658">
        <v>45292</v>
      </c>
      <c r="J577" s="1693">
        <v>45657</v>
      </c>
      <c r="K577" s="1698">
        <v>1E-3</v>
      </c>
      <c r="L577" s="1809" t="s">
        <v>769</v>
      </c>
      <c r="M577" s="1794"/>
      <c r="N577" s="537"/>
      <c r="O577" s="1544"/>
      <c r="P577" s="1544"/>
    </row>
    <row r="578" spans="1:16" s="1555" customFormat="1" ht="18.75" customHeight="1">
      <c r="A578" s="1742"/>
      <c r="B578" s="1742"/>
      <c r="C578" s="1607" t="s">
        <v>1519</v>
      </c>
      <c r="D578" s="9029"/>
      <c r="E578" s="9030"/>
      <c r="F578" s="9030"/>
      <c r="G578" s="9000"/>
      <c r="H578" s="7979"/>
      <c r="I578" s="7980" t="s">
        <v>1518</v>
      </c>
      <c r="J578" s="7981"/>
      <c r="K578" s="7982"/>
      <c r="L578" s="7983"/>
      <c r="M578" s="1794"/>
      <c r="N578" s="537"/>
      <c r="O578" s="1544"/>
      <c r="P578" s="1544"/>
    </row>
    <row r="579" spans="1:16" s="1555" customFormat="1" ht="18.75" customHeight="1">
      <c r="A579" s="1742" t="s">
        <v>310</v>
      </c>
      <c r="B579" s="1742" t="s">
        <v>672</v>
      </c>
      <c r="C579" s="1607"/>
      <c r="D579" s="9029"/>
      <c r="E579" s="9030"/>
      <c r="F579" s="9030"/>
      <c r="G579" s="9000" t="str">
        <f>INDEX(PT_DIFFERENTIATION_NTAR,MATCH(B579,PT_DIFFERENTIATION_NTAR_ID,0))</f>
        <v>Подвоз воды потребителям аула Артезиан-Мангит</v>
      </c>
      <c r="H579" s="1809"/>
      <c r="I579" s="1658">
        <v>45292</v>
      </c>
      <c r="J579" s="1693">
        <v>45657</v>
      </c>
      <c r="K579" s="1698">
        <v>1E-3</v>
      </c>
      <c r="L579" s="1809" t="s">
        <v>769</v>
      </c>
      <c r="M579" s="1794"/>
      <c r="N579" s="537"/>
      <c r="O579" s="1544"/>
      <c r="P579" s="1544"/>
    </row>
    <row r="580" spans="1:16" s="1555" customFormat="1" ht="18.75" customHeight="1">
      <c r="A580" s="1742"/>
      <c r="B580" s="1742"/>
      <c r="C580" s="1607" t="s">
        <v>1519</v>
      </c>
      <c r="D580" s="9029"/>
      <c r="E580" s="9030"/>
      <c r="F580" s="9030"/>
      <c r="G580" s="9000"/>
      <c r="H580" s="7984"/>
      <c r="I580" s="7985" t="s">
        <v>1518</v>
      </c>
      <c r="J580" s="7986"/>
      <c r="K580" s="7987"/>
      <c r="L580" s="7988"/>
      <c r="M580" s="1794"/>
      <c r="N580" s="537"/>
      <c r="O580" s="1544"/>
      <c r="P580" s="1544"/>
    </row>
    <row r="581" spans="1:16" s="1555" customFormat="1" ht="18.75" customHeight="1">
      <c r="A581" s="1742" t="s">
        <v>310</v>
      </c>
      <c r="B581" s="1742" t="s">
        <v>678</v>
      </c>
      <c r="C581" s="1607"/>
      <c r="D581" s="9029"/>
      <c r="E581" s="9030"/>
      <c r="F581" s="9030"/>
      <c r="G581" s="9000" t="str">
        <f>INDEX(PT_DIFFERENTIATION_NTAR,MATCH(B581,PT_DIFFERENTIATION_NTAR_ID,0))</f>
        <v>Подвоз воды потребителям аула Кок-Бас</v>
      </c>
      <c r="H581" s="1809"/>
      <c r="I581" s="1658">
        <v>45292</v>
      </c>
      <c r="J581" s="1693">
        <v>45657</v>
      </c>
      <c r="K581" s="1698">
        <v>1E-3</v>
      </c>
      <c r="L581" s="1809" t="s">
        <v>769</v>
      </c>
      <c r="M581" s="1794"/>
      <c r="N581" s="537"/>
      <c r="O581" s="1544"/>
      <c r="P581" s="1544"/>
    </row>
    <row r="582" spans="1:16" s="1555" customFormat="1" ht="18.75" customHeight="1">
      <c r="A582" s="1742"/>
      <c r="B582" s="1742"/>
      <c r="C582" s="1607" t="s">
        <v>1519</v>
      </c>
      <c r="D582" s="9029"/>
      <c r="E582" s="9030"/>
      <c r="F582" s="9030"/>
      <c r="G582" s="9000"/>
      <c r="H582" s="7989"/>
      <c r="I582" s="7990" t="s">
        <v>1518</v>
      </c>
      <c r="J582" s="7991"/>
      <c r="K582" s="7992"/>
      <c r="L582" s="7993"/>
      <c r="M582" s="1794"/>
      <c r="N582" s="537"/>
      <c r="O582" s="1544"/>
      <c r="P582" s="1544"/>
    </row>
    <row r="583" spans="1:16" s="1555" customFormat="1" ht="18.75" customHeight="1">
      <c r="A583" s="1742" t="s">
        <v>310</v>
      </c>
      <c r="B583" s="1742" t="s">
        <v>684</v>
      </c>
      <c r="C583" s="1607"/>
      <c r="D583" s="9029"/>
      <c r="E583" s="9030"/>
      <c r="F583" s="9030"/>
      <c r="G583" s="9000" t="str">
        <f>INDEX(PT_DIFFERENTIATION_NTAR,MATCH(B583,PT_DIFFERENTIATION_NTAR_ID,0))</f>
        <v>Подвоз воды потребителям села Ачикулак</v>
      </c>
      <c r="H583" s="1809"/>
      <c r="I583" s="1658">
        <v>45292</v>
      </c>
      <c r="J583" s="1693">
        <v>45657</v>
      </c>
      <c r="K583" s="1698">
        <v>1E-3</v>
      </c>
      <c r="L583" s="1809" t="s">
        <v>769</v>
      </c>
      <c r="M583" s="1794"/>
      <c r="N583" s="537"/>
      <c r="O583" s="1544"/>
      <c r="P583" s="1544"/>
    </row>
    <row r="584" spans="1:16" s="1555" customFormat="1" ht="18.75" customHeight="1">
      <c r="A584" s="1742"/>
      <c r="B584" s="1742"/>
      <c r="C584" s="1607" t="s">
        <v>1519</v>
      </c>
      <c r="D584" s="9029"/>
      <c r="E584" s="9030"/>
      <c r="F584" s="9030"/>
      <c r="G584" s="9000"/>
      <c r="H584" s="7994"/>
      <c r="I584" s="7995" t="s">
        <v>1518</v>
      </c>
      <c r="J584" s="7996"/>
      <c r="K584" s="7997"/>
      <c r="L584" s="7998"/>
      <c r="M584" s="1794"/>
      <c r="N584" s="537"/>
      <c r="O584" s="1544"/>
      <c r="P584" s="1544"/>
    </row>
    <row r="585" spans="1:16" s="1555" customFormat="1" ht="18.75" customHeight="1">
      <c r="A585" s="1742" t="s">
        <v>310</v>
      </c>
      <c r="B585" s="1742" t="s">
        <v>690</v>
      </c>
      <c r="C585" s="1607"/>
      <c r="D585" s="9029"/>
      <c r="E585" s="9030"/>
      <c r="F585" s="9030"/>
      <c r="G585" s="9000" t="str">
        <f>INDEX(PT_DIFFERENTIATION_NTAR,MATCH(B585,PT_DIFFERENTIATION_NTAR_ID,0))</f>
        <v>Подвоз воды потребителям хутора Ганькин</v>
      </c>
      <c r="H585" s="1809"/>
      <c r="I585" s="1658">
        <v>45292</v>
      </c>
      <c r="J585" s="1693">
        <v>45657</v>
      </c>
      <c r="K585" s="1698">
        <v>1E-3</v>
      </c>
      <c r="L585" s="1809" t="s">
        <v>769</v>
      </c>
      <c r="M585" s="1794"/>
      <c r="N585" s="537"/>
      <c r="O585" s="1544"/>
      <c r="P585" s="1544"/>
    </row>
    <row r="586" spans="1:16" s="1555" customFormat="1" ht="18.75" customHeight="1">
      <c r="A586" s="1742"/>
      <c r="B586" s="1742"/>
      <c r="C586" s="1607" t="s">
        <v>1519</v>
      </c>
      <c r="D586" s="9029"/>
      <c r="E586" s="9030"/>
      <c r="F586" s="9030"/>
      <c r="G586" s="9000"/>
      <c r="H586" s="7999"/>
      <c r="I586" s="8000" t="s">
        <v>1518</v>
      </c>
      <c r="J586" s="8001"/>
      <c r="K586" s="8002"/>
      <c r="L586" s="8003"/>
      <c r="M586" s="1794"/>
      <c r="N586" s="537"/>
      <c r="O586" s="1544"/>
      <c r="P586" s="1544"/>
    </row>
    <row r="587" spans="1:16" s="1555" customFormat="1" ht="18.75" customHeight="1">
      <c r="A587" s="1742" t="s">
        <v>310</v>
      </c>
      <c r="B587" s="1742" t="s">
        <v>696</v>
      </c>
      <c r="C587" s="1607"/>
      <c r="D587" s="9029"/>
      <c r="E587" s="9030"/>
      <c r="F587" s="9030"/>
      <c r="G587" s="9000" t="str">
        <f>INDEX(PT_DIFFERENTIATION_NTAR,MATCH(B587,PT_DIFFERENTIATION_NTAR_ID,0))</f>
        <v>Подвоз воды потребителям хутора Сычёвского</v>
      </c>
      <c r="H587" s="1809"/>
      <c r="I587" s="1658">
        <v>45292</v>
      </c>
      <c r="J587" s="1693">
        <v>45657</v>
      </c>
      <c r="K587" s="1698">
        <v>1E-3</v>
      </c>
      <c r="L587" s="1809" t="s">
        <v>769</v>
      </c>
      <c r="M587" s="1794"/>
      <c r="N587" s="537"/>
      <c r="O587" s="1544"/>
      <c r="P587" s="1544"/>
    </row>
    <row r="588" spans="1:16" s="1555" customFormat="1" ht="18.75" customHeight="1">
      <c r="A588" s="1742"/>
      <c r="B588" s="1742"/>
      <c r="C588" s="1607" t="s">
        <v>1519</v>
      </c>
      <c r="D588" s="9029"/>
      <c r="E588" s="9030"/>
      <c r="F588" s="9030"/>
      <c r="G588" s="9000"/>
      <c r="H588" s="8004"/>
      <c r="I588" s="8005" t="s">
        <v>1518</v>
      </c>
      <c r="J588" s="8006"/>
      <c r="K588" s="8007"/>
      <c r="L588" s="8008"/>
      <c r="M588" s="1794"/>
      <c r="N588" s="537"/>
      <c r="O588" s="1544"/>
      <c r="P588" s="1544"/>
    </row>
    <row r="589" spans="1:16" s="1555" customFormat="1" ht="18.75" customHeight="1">
      <c r="A589" s="1742" t="s">
        <v>310</v>
      </c>
      <c r="B589" s="1742" t="s">
        <v>702</v>
      </c>
      <c r="C589" s="1607"/>
      <c r="D589" s="9029"/>
      <c r="E589" s="9030"/>
      <c r="F589" s="9030"/>
      <c r="G589" s="9000" t="str">
        <f>INDEX(PT_DIFFERENTIATION_NTAR,MATCH(B589,PT_DIFFERENTIATION_NTAR_ID,0))</f>
        <v>Подвоз воды потребителям села Величаевского</v>
      </c>
      <c r="H589" s="1809"/>
      <c r="I589" s="1658">
        <v>45292</v>
      </c>
      <c r="J589" s="1693">
        <v>45657</v>
      </c>
      <c r="K589" s="1698">
        <v>1E-3</v>
      </c>
      <c r="L589" s="1809" t="s">
        <v>769</v>
      </c>
      <c r="M589" s="1794"/>
      <c r="N589" s="537"/>
      <c r="O589" s="1544"/>
      <c r="P589" s="1544"/>
    </row>
    <row r="590" spans="1:16" s="1555" customFormat="1" ht="18.75" customHeight="1">
      <c r="A590" s="1742"/>
      <c r="B590" s="1742"/>
      <c r="C590" s="1607" t="s">
        <v>1519</v>
      </c>
      <c r="D590" s="9029"/>
      <c r="E590" s="9030"/>
      <c r="F590" s="9030"/>
      <c r="G590" s="9000"/>
      <c r="H590" s="8009"/>
      <c r="I590" s="8010" t="s">
        <v>1518</v>
      </c>
      <c r="J590" s="8011"/>
      <c r="K590" s="8012"/>
      <c r="L590" s="8013"/>
      <c r="M590" s="1794"/>
      <c r="N590" s="537"/>
      <c r="O590" s="1544"/>
      <c r="P590" s="1544"/>
    </row>
    <row r="591" spans="1:16" s="1555" customFormat="1" ht="0.75" customHeight="1">
      <c r="A591" s="1700"/>
      <c r="B591" s="1700"/>
      <c r="C591" s="293" t="s">
        <v>1527</v>
      </c>
      <c r="D591" s="9028"/>
      <c r="E591" s="8837"/>
      <c r="F591" s="8972"/>
      <c r="G591" s="329"/>
      <c r="H591" s="1415"/>
      <c r="I591" s="569"/>
      <c r="J591" s="494"/>
      <c r="K591" s="1415"/>
      <c r="L591" s="131"/>
      <c r="M591" s="263"/>
      <c r="N591" s="256"/>
      <c r="O591" s="1544"/>
      <c r="P591" s="1544"/>
    </row>
    <row r="592" spans="1:16" s="1555" customFormat="1" ht="18.75" hidden="1" customHeight="1">
      <c r="A592" s="1700" t="s">
        <v>708</v>
      </c>
      <c r="B592" s="1700" t="s">
        <v>709</v>
      </c>
      <c r="C592" s="293"/>
      <c r="D592" s="9028"/>
      <c r="E592" s="8837"/>
      <c r="F592" s="8972" t="str">
        <f>INDEX(PT_DIFFERENTIATION_VTAR,MATCH(A592,PT_DIFFERENTIATION_VTAR_ID,0))</f>
        <v>Тариф на подключение (технологическое присоединение) к централизованной системе холодного водоснабжения</v>
      </c>
      <c r="G592" s="9000" t="str">
        <f>INDEX(PT_DIFFERENTIATION_NTAR,MATCH(B592,PT_DIFFERENTIATION_NTAR_ID,0))</f>
        <v/>
      </c>
      <c r="H592" s="1781"/>
      <c r="I592" s="1658"/>
      <c r="J592" s="1693"/>
      <c r="K592" s="1698"/>
      <c r="L592" s="1781" t="s">
        <v>769</v>
      </c>
      <c r="M592" s="263"/>
      <c r="N592" s="256"/>
      <c r="O592" s="1544"/>
      <c r="P592" s="1544"/>
    </row>
    <row r="593" spans="1:16" s="1555" customFormat="1" ht="18.75" hidden="1" customHeight="1">
      <c r="A593" s="1700"/>
      <c r="B593" s="1700"/>
      <c r="C593" s="293" t="s">
        <v>1519</v>
      </c>
      <c r="D593" s="9028"/>
      <c r="E593" s="8837"/>
      <c r="F593" s="8972"/>
      <c r="G593" s="9000"/>
      <c r="H593" s="1415"/>
      <c r="I593" s="569" t="s">
        <v>1518</v>
      </c>
      <c r="J593" s="494"/>
      <c r="K593" s="1415"/>
      <c r="L593" s="131"/>
      <c r="M593" s="263"/>
      <c r="N593" s="256"/>
      <c r="O593" s="1544"/>
      <c r="P593" s="1544"/>
    </row>
    <row r="594" spans="1:16" s="1555" customFormat="1" ht="0.75" hidden="1" customHeight="1">
      <c r="A594" s="1700"/>
      <c r="B594" s="1700"/>
      <c r="C594" s="293" t="s">
        <v>1527</v>
      </c>
      <c r="D594" s="9028"/>
      <c r="E594" s="8837"/>
      <c r="F594" s="8972"/>
      <c r="G594" s="329"/>
      <c r="H594" s="1415"/>
      <c r="I594" s="569"/>
      <c r="J594" s="494"/>
      <c r="K594" s="1415"/>
      <c r="L594" s="131"/>
      <c r="M594" s="263"/>
      <c r="N594" s="256"/>
      <c r="O594" s="1544"/>
      <c r="P594" s="1544"/>
    </row>
    <row r="595" spans="1:16" s="1555" customFormat="1" ht="18.75" hidden="1" customHeight="1">
      <c r="A595" s="1700" t="s">
        <v>713</v>
      </c>
      <c r="B595" s="1700" t="s">
        <v>714</v>
      </c>
      <c r="C595" s="293"/>
      <c r="D595" s="9028"/>
      <c r="E595" s="8837"/>
      <c r="F595" s="8972" t="str">
        <f>INDEX(PT_DIFFERENTIATION_VTAR,MATCH(A595,PT_DIFFERENTIATION_VTAR_ID,0))</f>
        <v>Тариф на горячую воду (горячее водоснабжение)</v>
      </c>
      <c r="G595" s="9000" t="str">
        <f>INDEX(PT_DIFFERENTIATION_NTAR,MATCH(B595,PT_DIFFERENTIATION_NTAR_ID,0))</f>
        <v/>
      </c>
      <c r="H595" s="1781"/>
      <c r="I595" s="1658"/>
      <c r="J595" s="1693"/>
      <c r="K595" s="1698"/>
      <c r="L595" s="1781" t="s">
        <v>769</v>
      </c>
      <c r="M595" s="263"/>
      <c r="N595" s="256"/>
      <c r="O595" s="1544"/>
      <c r="P595" s="1544"/>
    </row>
    <row r="596" spans="1:16" s="1555" customFormat="1" ht="18.75" hidden="1" customHeight="1">
      <c r="A596" s="1700"/>
      <c r="B596" s="1700"/>
      <c r="C596" s="293" t="s">
        <v>1519</v>
      </c>
      <c r="D596" s="9028"/>
      <c r="E596" s="8837"/>
      <c r="F596" s="8972"/>
      <c r="G596" s="9000"/>
      <c r="H596" s="1415"/>
      <c r="I596" s="569" t="s">
        <v>1518</v>
      </c>
      <c r="J596" s="494"/>
      <c r="K596" s="1415"/>
      <c r="L596" s="131"/>
      <c r="M596" s="263"/>
      <c r="N596" s="256"/>
      <c r="O596" s="1544"/>
      <c r="P596" s="1544"/>
    </row>
    <row r="597" spans="1:16" s="1555" customFormat="1" ht="0.75" hidden="1" customHeight="1">
      <c r="A597" s="1700"/>
      <c r="B597" s="1700"/>
      <c r="C597" s="293" t="s">
        <v>1527</v>
      </c>
      <c r="D597" s="9028"/>
      <c r="E597" s="8837"/>
      <c r="F597" s="8972"/>
      <c r="G597" s="329"/>
      <c r="H597" s="1415"/>
      <c r="I597" s="569"/>
      <c r="J597" s="494"/>
      <c r="K597" s="1415"/>
      <c r="L597" s="131"/>
      <c r="M597" s="263"/>
      <c r="N597" s="256"/>
      <c r="O597" s="1544"/>
      <c r="P597" s="1544"/>
    </row>
    <row r="598" spans="1:16" s="1555" customFormat="1" ht="18.75" hidden="1" customHeight="1">
      <c r="A598" s="1700" t="s">
        <v>718</v>
      </c>
      <c r="B598" s="1700" t="s">
        <v>719</v>
      </c>
      <c r="C598" s="293"/>
      <c r="D598" s="9028"/>
      <c r="E598" s="8837"/>
      <c r="F598" s="8972" t="str">
        <f>INDEX(PT_DIFFERENTIATION_VTAR,MATCH(A598,PT_DIFFERENTIATION_VTAR_ID,0))</f>
        <v>Тариф на транспортировку горячей воды</v>
      </c>
      <c r="G598" s="9000" t="str">
        <f>INDEX(PT_DIFFERENTIATION_NTAR,MATCH(B598,PT_DIFFERENTIATION_NTAR_ID,0))</f>
        <v/>
      </c>
      <c r="H598" s="1781"/>
      <c r="I598" s="1658"/>
      <c r="J598" s="1693"/>
      <c r="K598" s="1698"/>
      <c r="L598" s="1781" t="s">
        <v>769</v>
      </c>
      <c r="M598" s="263"/>
      <c r="N598" s="256"/>
      <c r="O598" s="1544"/>
      <c r="P598" s="1544"/>
    </row>
    <row r="599" spans="1:16" s="1555" customFormat="1" ht="18.75" hidden="1" customHeight="1">
      <c r="A599" s="1700"/>
      <c r="B599" s="1700"/>
      <c r="C599" s="293" t="s">
        <v>1519</v>
      </c>
      <c r="D599" s="9028"/>
      <c r="E599" s="8837"/>
      <c r="F599" s="8972"/>
      <c r="G599" s="9000"/>
      <c r="H599" s="1415"/>
      <c r="I599" s="569" t="s">
        <v>1518</v>
      </c>
      <c r="J599" s="494"/>
      <c r="K599" s="1415"/>
      <c r="L599" s="131"/>
      <c r="M599" s="263"/>
      <c r="N599" s="256"/>
      <c r="O599" s="1544"/>
      <c r="P599" s="1544"/>
    </row>
    <row r="600" spans="1:16" s="1555" customFormat="1" ht="0.75" hidden="1" customHeight="1">
      <c r="A600" s="1700"/>
      <c r="B600" s="1700"/>
      <c r="C600" s="293" t="s">
        <v>1527</v>
      </c>
      <c r="D600" s="9028"/>
      <c r="E600" s="8837"/>
      <c r="F600" s="8972"/>
      <c r="G600" s="329"/>
      <c r="H600" s="1415"/>
      <c r="I600" s="569"/>
      <c r="J600" s="494"/>
      <c r="K600" s="1415"/>
      <c r="L600" s="131"/>
      <c r="M600" s="263"/>
      <c r="N600" s="256"/>
      <c r="O600" s="1544"/>
      <c r="P600" s="1544"/>
    </row>
    <row r="601" spans="1:16" s="1555" customFormat="1" ht="18.75" hidden="1" customHeight="1">
      <c r="A601" s="1700" t="s">
        <v>723</v>
      </c>
      <c r="B601" s="1700" t="s">
        <v>724</v>
      </c>
      <c r="C601" s="293"/>
      <c r="D601" s="9028"/>
      <c r="E601" s="8837"/>
      <c r="F601" s="8972" t="str">
        <f>INDEX(PT_DIFFERENTIATION_VTAR,MATCH(A601,PT_DIFFERENTIATION_VTAR_ID,0))</f>
        <v>Тариф на подключение (технологическое присоединение) к централизованной системе горячего водоснабжения</v>
      </c>
      <c r="G601" s="9000" t="str">
        <f>INDEX(PT_DIFFERENTIATION_NTAR,MATCH(B601,PT_DIFFERENTIATION_NTAR_ID,0))</f>
        <v/>
      </c>
      <c r="H601" s="1781"/>
      <c r="I601" s="1658"/>
      <c r="J601" s="1693"/>
      <c r="K601" s="1698"/>
      <c r="L601" s="1781" t="s">
        <v>769</v>
      </c>
      <c r="M601" s="263"/>
      <c r="N601" s="256"/>
      <c r="O601" s="1544"/>
      <c r="P601" s="1544"/>
    </row>
    <row r="602" spans="1:16" s="1555" customFormat="1" ht="18.75" hidden="1" customHeight="1">
      <c r="A602" s="1700"/>
      <c r="B602" s="1700"/>
      <c r="C602" s="293" t="s">
        <v>1519</v>
      </c>
      <c r="D602" s="9028"/>
      <c r="E602" s="8837"/>
      <c r="F602" s="8972"/>
      <c r="G602" s="9000"/>
      <c r="H602" s="1415"/>
      <c r="I602" s="569" t="s">
        <v>1518</v>
      </c>
      <c r="J602" s="494"/>
      <c r="K602" s="1415"/>
      <c r="L602" s="131"/>
      <c r="M602" s="263"/>
      <c r="N602" s="256"/>
      <c r="O602" s="1544"/>
      <c r="P602" s="1544"/>
    </row>
    <row r="603" spans="1:16" s="1555" customFormat="1" ht="0.75" hidden="1" customHeight="1">
      <c r="A603" s="1700"/>
      <c r="B603" s="1700"/>
      <c r="C603" s="293" t="s">
        <v>1527</v>
      </c>
      <c r="D603" s="9028"/>
      <c r="E603" s="8837"/>
      <c r="F603" s="8972"/>
      <c r="G603" s="329"/>
      <c r="H603" s="1415"/>
      <c r="I603" s="569"/>
      <c r="J603" s="494"/>
      <c r="K603" s="1415"/>
      <c r="L603" s="131"/>
      <c r="M603" s="263"/>
      <c r="N603" s="256"/>
      <c r="O603" s="1544"/>
      <c r="P603" s="1544"/>
    </row>
    <row r="604" spans="1:16" s="1555" customFormat="1" ht="18.75" hidden="1" customHeight="1">
      <c r="A604" s="1700" t="s">
        <v>728</v>
      </c>
      <c r="B604" s="1700" t="s">
        <v>729</v>
      </c>
      <c r="C604" s="293"/>
      <c r="D604" s="9028"/>
      <c r="E604" s="8837"/>
      <c r="F604" s="8972" t="str">
        <f>INDEX(PT_DIFFERENTIATION_VTAR,MATCH(A604,PT_DIFFERENTIATION_VTAR_ID,0))</f>
        <v>Тариф на водоотведение</v>
      </c>
      <c r="G604" s="9000" t="str">
        <f>INDEX(PT_DIFFERENTIATION_NTAR,MATCH(B604,PT_DIFFERENTIATION_NTAR_ID,0))</f>
        <v/>
      </c>
      <c r="H604" s="1781"/>
      <c r="I604" s="1658"/>
      <c r="J604" s="1693"/>
      <c r="K604" s="1698"/>
      <c r="L604" s="1781" t="s">
        <v>769</v>
      </c>
      <c r="M604" s="263"/>
      <c r="N604" s="256"/>
      <c r="O604" s="1544"/>
      <c r="P604" s="1544"/>
    </row>
    <row r="605" spans="1:16" s="1555" customFormat="1" ht="18.75" hidden="1" customHeight="1">
      <c r="A605" s="1700"/>
      <c r="B605" s="1700"/>
      <c r="C605" s="293" t="s">
        <v>1519</v>
      </c>
      <c r="D605" s="9028"/>
      <c r="E605" s="8837"/>
      <c r="F605" s="8972"/>
      <c r="G605" s="9000"/>
      <c r="H605" s="1415"/>
      <c r="I605" s="569" t="s">
        <v>1518</v>
      </c>
      <c r="J605" s="494"/>
      <c r="K605" s="1415"/>
      <c r="L605" s="131"/>
      <c r="M605" s="263"/>
      <c r="N605" s="256"/>
      <c r="O605" s="1544"/>
      <c r="P605" s="1544"/>
    </row>
    <row r="606" spans="1:16" s="1555" customFormat="1" ht="0.75" hidden="1" customHeight="1">
      <c r="A606" s="1700"/>
      <c r="B606" s="1700"/>
      <c r="C606" s="293" t="s">
        <v>1527</v>
      </c>
      <c r="D606" s="9028"/>
      <c r="E606" s="8837"/>
      <c r="F606" s="8972"/>
      <c r="G606" s="329"/>
      <c r="H606" s="1415"/>
      <c r="I606" s="569"/>
      <c r="J606" s="494"/>
      <c r="K606" s="1415"/>
      <c r="L606" s="131"/>
      <c r="M606" s="263"/>
      <c r="N606" s="256"/>
      <c r="O606" s="1544"/>
      <c r="P606" s="1544"/>
    </row>
    <row r="607" spans="1:16" s="1555" customFormat="1" ht="18.75" hidden="1" customHeight="1">
      <c r="A607" s="1700" t="s">
        <v>733</v>
      </c>
      <c r="B607" s="1700" t="s">
        <v>734</v>
      </c>
      <c r="C607" s="293"/>
      <c r="D607" s="9028"/>
      <c r="E607" s="8837"/>
      <c r="F607" s="8972" t="str">
        <f>INDEX(PT_DIFFERENTIATION_VTAR,MATCH(A607,PT_DIFFERENTIATION_VTAR_ID,0))</f>
        <v>Тариф на транспортировку сточных вод</v>
      </c>
      <c r="G607" s="9000" t="str">
        <f>INDEX(PT_DIFFERENTIATION_NTAR,MATCH(B607,PT_DIFFERENTIATION_NTAR_ID,0))</f>
        <v/>
      </c>
      <c r="H607" s="1781"/>
      <c r="I607" s="1658"/>
      <c r="J607" s="1693"/>
      <c r="K607" s="1698"/>
      <c r="L607" s="1781" t="s">
        <v>769</v>
      </c>
      <c r="M607" s="263"/>
      <c r="N607" s="256"/>
      <c r="O607" s="1544"/>
      <c r="P607" s="1544"/>
    </row>
    <row r="608" spans="1:16" s="1555" customFormat="1" ht="18.75" hidden="1" customHeight="1">
      <c r="A608" s="1700"/>
      <c r="B608" s="1700"/>
      <c r="C608" s="293" t="s">
        <v>1519</v>
      </c>
      <c r="D608" s="9028"/>
      <c r="E608" s="8837"/>
      <c r="F608" s="8972"/>
      <c r="G608" s="9000"/>
      <c r="H608" s="1415"/>
      <c r="I608" s="569" t="s">
        <v>1518</v>
      </c>
      <c r="J608" s="494"/>
      <c r="K608" s="1415"/>
      <c r="L608" s="131"/>
      <c r="M608" s="263"/>
      <c r="N608" s="256"/>
      <c r="O608" s="1544"/>
      <c r="P608" s="1544"/>
    </row>
    <row r="609" spans="1:16" s="1555" customFormat="1" ht="0.75" hidden="1" customHeight="1">
      <c r="A609" s="1700"/>
      <c r="B609" s="1700"/>
      <c r="C609" s="293" t="s">
        <v>1527</v>
      </c>
      <c r="D609" s="9028"/>
      <c r="E609" s="8837"/>
      <c r="F609" s="8972"/>
      <c r="G609" s="329"/>
      <c r="H609" s="1415"/>
      <c r="I609" s="569"/>
      <c r="J609" s="494"/>
      <c r="K609" s="1415"/>
      <c r="L609" s="131"/>
      <c r="M609" s="263"/>
      <c r="N609" s="256"/>
      <c r="O609" s="1544"/>
      <c r="P609" s="1544"/>
    </row>
    <row r="610" spans="1:16" s="1555" customFormat="1" ht="18.75" hidden="1" customHeight="1">
      <c r="A610" s="1700" t="s">
        <v>738</v>
      </c>
      <c r="B610" s="1700" t="s">
        <v>739</v>
      </c>
      <c r="C610" s="293"/>
      <c r="D610" s="9028"/>
      <c r="E610" s="8837"/>
      <c r="F610" s="8972" t="str">
        <f>INDEX(PT_DIFFERENTIATION_VTAR,MATCH(A610,PT_DIFFERENTIATION_VTAR_ID,0))</f>
        <v>Тариф на подключение (технологическое присоединение) к централизованной системе водоотведения</v>
      </c>
      <c r="G610" s="9000" t="str">
        <f>INDEX(PT_DIFFERENTIATION_NTAR,MATCH(B610,PT_DIFFERENTIATION_NTAR_ID,0))</f>
        <v/>
      </c>
      <c r="H610" s="1781"/>
      <c r="I610" s="1658"/>
      <c r="J610" s="1693"/>
      <c r="K610" s="1698"/>
      <c r="L610" s="1781" t="s">
        <v>769</v>
      </c>
      <c r="M610" s="263"/>
      <c r="N610" s="256"/>
      <c r="O610" s="1544"/>
      <c r="P610" s="1544"/>
    </row>
    <row r="611" spans="1:16" s="1555" customFormat="1" ht="18.75" hidden="1" customHeight="1">
      <c r="A611" s="1700"/>
      <c r="B611" s="1700"/>
      <c r="C611" s="293" t="s">
        <v>1519</v>
      </c>
      <c r="D611" s="9028"/>
      <c r="E611" s="8837"/>
      <c r="F611" s="8972"/>
      <c r="G611" s="9000"/>
      <c r="H611" s="1415"/>
      <c r="I611" s="569" t="s">
        <v>1518</v>
      </c>
      <c r="J611" s="494"/>
      <c r="K611" s="1415"/>
      <c r="L611" s="131"/>
      <c r="M611" s="263"/>
      <c r="N611" s="256"/>
      <c r="O611" s="1544"/>
      <c r="P611" s="1544"/>
    </row>
    <row r="612" spans="1:16" s="1555" customFormat="1" ht="0.75" customHeight="1">
      <c r="A612" s="1700"/>
      <c r="B612" s="1700"/>
      <c r="C612" s="293" t="s">
        <v>1527</v>
      </c>
      <c r="D612" s="9028"/>
      <c r="E612" s="8837"/>
      <c r="F612" s="8972"/>
      <c r="G612" s="329"/>
      <c r="H612" s="1415"/>
      <c r="I612" s="569"/>
      <c r="J612" s="494"/>
      <c r="K612" s="1415"/>
      <c r="L612" s="131"/>
      <c r="M612" s="263"/>
      <c r="N612" s="256"/>
      <c r="O612" s="1544"/>
      <c r="P612" s="1544"/>
    </row>
    <row r="613" spans="1:16" ht="26.25" customHeight="1">
      <c r="A613" s="1700"/>
      <c r="B613" s="1700"/>
      <c r="D613" s="300"/>
      <c r="E613" s="67" t="s">
        <v>113</v>
      </c>
      <c r="F613" s="902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613" s="9027"/>
      <c r="H613" s="9027"/>
      <c r="I613" s="9027"/>
      <c r="J613" s="9027"/>
      <c r="K613" s="9027"/>
      <c r="L613" s="9027"/>
      <c r="M613" s="211"/>
      <c r="N613" s="256"/>
    </row>
    <row r="614" spans="1:16" s="1555" customFormat="1" ht="60.75" hidden="1" customHeight="1">
      <c r="A614" s="1700" t="s">
        <v>237</v>
      </c>
      <c r="B614" s="1700" t="s">
        <v>238</v>
      </c>
      <c r="C614" s="293"/>
      <c r="D614" s="9028"/>
      <c r="E614" s="8837"/>
      <c r="F614" s="8972" t="str">
        <f>INDEX(PT_DIFFERENTIATION_VTAR,MATCH(A614,PT_DIFFERENTIATION_VTAR_ID,0))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614" s="9000" t="str">
        <f>INDEX(PT_DIFFERENTIATION_NTAR,MATCH(B614,PT_DIFFERENTIATION_NTAR_ID,0))</f>
        <v/>
      </c>
      <c r="H614" s="1781"/>
      <c r="I614" s="1658"/>
      <c r="J614" s="1693"/>
      <c r="K614" s="1698"/>
      <c r="L614" s="1781" t="s">
        <v>769</v>
      </c>
      <c r="M614" s="87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614" s="256"/>
      <c r="O614" s="1544"/>
      <c r="P614" s="1544"/>
    </row>
    <row r="615" spans="1:16" s="1555" customFormat="1" ht="18.75" hidden="1" customHeight="1">
      <c r="A615" s="1700"/>
      <c r="B615" s="1700"/>
      <c r="C615" s="293" t="s">
        <v>1519</v>
      </c>
      <c r="D615" s="9028"/>
      <c r="E615" s="8837"/>
      <c r="F615" s="8972"/>
      <c r="G615" s="9000"/>
      <c r="H615" s="1415"/>
      <c r="I615" s="569" t="s">
        <v>1518</v>
      </c>
      <c r="J615" s="494"/>
      <c r="K615" s="1415"/>
      <c r="L615" s="131"/>
      <c r="M615" s="8799"/>
      <c r="N615" s="256"/>
      <c r="O615" s="1544"/>
      <c r="P615" s="1544"/>
    </row>
    <row r="616" spans="1:16" s="1555" customFormat="1" ht="0.75" hidden="1" customHeight="1">
      <c r="A616" s="1700"/>
      <c r="B616" s="1700"/>
      <c r="C616" s="293" t="s">
        <v>1527</v>
      </c>
      <c r="D616" s="9028"/>
      <c r="E616" s="8837"/>
      <c r="F616" s="8972"/>
      <c r="G616" s="329"/>
      <c r="H616" s="1415"/>
      <c r="I616" s="569"/>
      <c r="J616" s="494"/>
      <c r="K616" s="1415"/>
      <c r="L616" s="131"/>
      <c r="M616" s="8799"/>
      <c r="N616" s="256"/>
      <c r="O616" s="1544"/>
      <c r="P616" s="1544"/>
    </row>
    <row r="617" spans="1:16" s="1555" customFormat="1" ht="45" hidden="1" customHeight="1">
      <c r="A617" s="1700" t="s">
        <v>243</v>
      </c>
      <c r="B617" s="1700" t="s">
        <v>244</v>
      </c>
      <c r="C617" s="293"/>
      <c r="D617" s="9028"/>
      <c r="E617" s="8837"/>
      <c r="F617" s="8972" t="str">
        <f>INDEX(PT_DIFFERENTIATION_VTAR,MATCH(A617,PT_DIFFERENTIATION_VTAR_ID,0))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617" s="9000" t="str">
        <f>INDEX(PT_DIFFERENTIATION_NTAR,MATCH(B617,PT_DIFFERENTIATION_NTAR_ID,0))</f>
        <v/>
      </c>
      <c r="H617" s="1781"/>
      <c r="I617" s="1658"/>
      <c r="J617" s="1693"/>
      <c r="K617" s="1698"/>
      <c r="L617" s="1781" t="s">
        <v>769</v>
      </c>
      <c r="M617" s="8800"/>
      <c r="N617" s="256"/>
      <c r="O617" s="1544"/>
      <c r="P617" s="1544"/>
    </row>
    <row r="618" spans="1:16" s="1555" customFormat="1" ht="18.75" hidden="1" customHeight="1">
      <c r="A618" s="1700"/>
      <c r="B618" s="1700"/>
      <c r="C618" s="293" t="s">
        <v>1519</v>
      </c>
      <c r="D618" s="9028"/>
      <c r="E618" s="8837"/>
      <c r="F618" s="8972"/>
      <c r="G618" s="9000"/>
      <c r="H618" s="1415"/>
      <c r="I618" s="569" t="s">
        <v>1518</v>
      </c>
      <c r="J618" s="494"/>
      <c r="K618" s="1415"/>
      <c r="L618" s="131"/>
      <c r="M618" s="1780"/>
      <c r="N618" s="256"/>
      <c r="O618" s="1544"/>
      <c r="P618" s="1544"/>
    </row>
    <row r="619" spans="1:16" s="1555" customFormat="1" ht="0.75" hidden="1" customHeight="1">
      <c r="A619" s="1700"/>
      <c r="B619" s="1700"/>
      <c r="C619" s="293" t="s">
        <v>1527</v>
      </c>
      <c r="D619" s="9028"/>
      <c r="E619" s="8837"/>
      <c r="F619" s="8972"/>
      <c r="G619" s="329"/>
      <c r="H619" s="1415"/>
      <c r="I619" s="569"/>
      <c r="J619" s="494"/>
      <c r="K619" s="1415"/>
      <c r="L619" s="131"/>
      <c r="M619" s="263"/>
      <c r="N619" s="256"/>
      <c r="O619" s="1544"/>
      <c r="P619" s="1544"/>
    </row>
    <row r="620" spans="1:16" s="1555" customFormat="1" ht="45" hidden="1" customHeight="1">
      <c r="A620" s="1700" t="s">
        <v>249</v>
      </c>
      <c r="B620" s="1700" t="s">
        <v>250</v>
      </c>
      <c r="C620" s="293"/>
      <c r="D620" s="9028"/>
      <c r="E620" s="8837"/>
      <c r="F620" s="8972" t="str">
        <f>INDEX(PT_DIFFERENTIATION_VTAR,MATCH(A620,PT_DIFFERENTIATION_VTAR_ID,0))</f>
        <v>Тарифы на теплоноситель, поставляемый теплоснабжающими организациями потребителям, другим теплоснабжающим организациям</v>
      </c>
      <c r="G620" s="9000" t="str">
        <f>INDEX(PT_DIFFERENTIATION_NTAR,MATCH(B620,PT_DIFFERENTIATION_NTAR_ID,0))</f>
        <v/>
      </c>
      <c r="H620" s="1781"/>
      <c r="I620" s="1658"/>
      <c r="J620" s="1693"/>
      <c r="K620" s="1698"/>
      <c r="L620" s="1781" t="s">
        <v>769</v>
      </c>
      <c r="M620" s="263"/>
      <c r="N620" s="256"/>
      <c r="O620" s="1544"/>
      <c r="P620" s="1544"/>
    </row>
    <row r="621" spans="1:16" s="1555" customFormat="1" ht="18.75" hidden="1" customHeight="1">
      <c r="A621" s="1700"/>
      <c r="B621" s="1700"/>
      <c r="C621" s="293" t="s">
        <v>1519</v>
      </c>
      <c r="D621" s="9028"/>
      <c r="E621" s="8837"/>
      <c r="F621" s="8972"/>
      <c r="G621" s="9000"/>
      <c r="H621" s="1415"/>
      <c r="I621" s="569" t="s">
        <v>1518</v>
      </c>
      <c r="J621" s="494"/>
      <c r="K621" s="1415"/>
      <c r="L621" s="131"/>
      <c r="M621" s="263"/>
      <c r="N621" s="256"/>
      <c r="O621" s="1544"/>
      <c r="P621" s="1544"/>
    </row>
    <row r="622" spans="1:16" s="1555" customFormat="1" ht="0.75" hidden="1" customHeight="1">
      <c r="A622" s="1700"/>
      <c r="B622" s="1700"/>
      <c r="C622" s="293" t="s">
        <v>1527</v>
      </c>
      <c r="D622" s="9028"/>
      <c r="E622" s="8837"/>
      <c r="F622" s="8972"/>
      <c r="G622" s="329"/>
      <c r="H622" s="1415"/>
      <c r="I622" s="569"/>
      <c r="J622" s="494"/>
      <c r="K622" s="1415"/>
      <c r="L622" s="131"/>
      <c r="M622" s="263"/>
      <c r="N622" s="256"/>
      <c r="O622" s="1544"/>
      <c r="P622" s="1544"/>
    </row>
    <row r="623" spans="1:16" s="1555" customFormat="1" ht="45" hidden="1" customHeight="1">
      <c r="A623" s="1700" t="s">
        <v>255</v>
      </c>
      <c r="B623" s="1700" t="s">
        <v>256</v>
      </c>
      <c r="C623" s="293"/>
      <c r="D623" s="9028"/>
      <c r="E623" s="8837"/>
      <c r="F623" s="8972" t="str">
        <f>INDEX(PT_DIFFERENTIATION_VTAR,MATCH(A623,PT_DIFFERENTIATION_VTAR_ID,0))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623" s="9000" t="str">
        <f>INDEX(PT_DIFFERENTIATION_NTAR,MATCH(B623,PT_DIFFERENTIATION_NTAR_ID,0))</f>
        <v/>
      </c>
      <c r="H623" s="1781"/>
      <c r="I623" s="1658"/>
      <c r="J623" s="1693"/>
      <c r="K623" s="1698"/>
      <c r="L623" s="1781" t="s">
        <v>769</v>
      </c>
      <c r="M623" s="263"/>
      <c r="N623" s="256"/>
      <c r="O623" s="1544"/>
      <c r="P623" s="1544"/>
    </row>
    <row r="624" spans="1:16" s="1555" customFormat="1" ht="18.75" hidden="1" customHeight="1">
      <c r="A624" s="1700"/>
      <c r="B624" s="1700"/>
      <c r="C624" s="293" t="s">
        <v>1519</v>
      </c>
      <c r="D624" s="9028"/>
      <c r="E624" s="8837"/>
      <c r="F624" s="8972"/>
      <c r="G624" s="9000"/>
      <c r="H624" s="1415"/>
      <c r="I624" s="569" t="s">
        <v>1518</v>
      </c>
      <c r="J624" s="494"/>
      <c r="K624" s="1415"/>
      <c r="L624" s="131"/>
      <c r="M624" s="263"/>
      <c r="N624" s="256"/>
      <c r="O624" s="1544"/>
      <c r="P624" s="1544"/>
    </row>
    <row r="625" spans="1:16" s="1555" customFormat="1" ht="0.75" hidden="1" customHeight="1">
      <c r="A625" s="1700"/>
      <c r="B625" s="1700"/>
      <c r="C625" s="293" t="s">
        <v>1527</v>
      </c>
      <c r="D625" s="9028"/>
      <c r="E625" s="8837"/>
      <c r="F625" s="8972"/>
      <c r="G625" s="329"/>
      <c r="H625" s="1415"/>
      <c r="I625" s="569"/>
      <c r="J625" s="494"/>
      <c r="K625" s="1415"/>
      <c r="L625" s="131"/>
      <c r="M625" s="263"/>
      <c r="N625" s="256"/>
      <c r="O625" s="1544"/>
      <c r="P625" s="1544"/>
    </row>
    <row r="626" spans="1:16" s="1555" customFormat="1" ht="18.75" hidden="1" customHeight="1">
      <c r="A626" s="1700" t="s">
        <v>261</v>
      </c>
      <c r="B626" s="1700" t="s">
        <v>262</v>
      </c>
      <c r="C626" s="293"/>
      <c r="D626" s="9028"/>
      <c r="E626" s="8837"/>
      <c r="F626" s="8972" t="str">
        <f>INDEX(PT_DIFFERENTIATION_VTAR,MATCH(A626,PT_DIFFERENTIATION_VTAR_ID,0))</f>
        <v>Тарифы на услуги по передаче тепловой энергии</v>
      </c>
      <c r="G626" s="9000" t="str">
        <f>INDEX(PT_DIFFERENTIATION_NTAR,MATCH(B626,PT_DIFFERENTIATION_NTAR_ID,0))</f>
        <v/>
      </c>
      <c r="H626" s="1781"/>
      <c r="I626" s="1658"/>
      <c r="J626" s="1693"/>
      <c r="K626" s="1698"/>
      <c r="L626" s="1781" t="s">
        <v>769</v>
      </c>
      <c r="M626" s="263"/>
      <c r="N626" s="256"/>
      <c r="O626" s="1544"/>
      <c r="P626" s="1544"/>
    </row>
    <row r="627" spans="1:16" s="1555" customFormat="1" ht="18.75" hidden="1" customHeight="1">
      <c r="A627" s="1700"/>
      <c r="B627" s="1700"/>
      <c r="C627" s="293" t="s">
        <v>1519</v>
      </c>
      <c r="D627" s="9028"/>
      <c r="E627" s="8837"/>
      <c r="F627" s="8972"/>
      <c r="G627" s="9000"/>
      <c r="H627" s="1415"/>
      <c r="I627" s="569" t="s">
        <v>1518</v>
      </c>
      <c r="J627" s="494"/>
      <c r="K627" s="1415"/>
      <c r="L627" s="131"/>
      <c r="M627" s="263"/>
      <c r="N627" s="256"/>
      <c r="O627" s="1544"/>
      <c r="P627" s="1544"/>
    </row>
    <row r="628" spans="1:16" s="1555" customFormat="1" ht="0.75" hidden="1" customHeight="1">
      <c r="A628" s="1700"/>
      <c r="B628" s="1700"/>
      <c r="C628" s="293" t="s">
        <v>1527</v>
      </c>
      <c r="D628" s="9028"/>
      <c r="E628" s="8837"/>
      <c r="F628" s="8972"/>
      <c r="G628" s="329"/>
      <c r="H628" s="1415"/>
      <c r="I628" s="569"/>
      <c r="J628" s="494"/>
      <c r="K628" s="1415"/>
      <c r="L628" s="131"/>
      <c r="M628" s="263"/>
      <c r="N628" s="256"/>
      <c r="O628" s="1544"/>
      <c r="P628" s="1544"/>
    </row>
    <row r="629" spans="1:16" s="1555" customFormat="1" ht="18.75" hidden="1" customHeight="1">
      <c r="A629" s="1700" t="s">
        <v>267</v>
      </c>
      <c r="B629" s="1700" t="s">
        <v>268</v>
      </c>
      <c r="C629" s="293"/>
      <c r="D629" s="9028"/>
      <c r="E629" s="8837"/>
      <c r="F629" s="8972" t="str">
        <f>INDEX(PT_DIFFERENTIATION_VTAR,MATCH(A629,PT_DIFFERENTIATION_VTAR_ID,0))</f>
        <v>Тарифы на услуги по передаче теплоносителя</v>
      </c>
      <c r="G629" s="9000" t="str">
        <f>INDEX(PT_DIFFERENTIATION_NTAR,MATCH(B629,PT_DIFFERENTIATION_NTAR_ID,0))</f>
        <v/>
      </c>
      <c r="H629" s="1781"/>
      <c r="I629" s="1658"/>
      <c r="J629" s="1693"/>
      <c r="K629" s="1698"/>
      <c r="L629" s="1781" t="s">
        <v>769</v>
      </c>
      <c r="M629" s="263"/>
      <c r="N629" s="256"/>
      <c r="O629" s="1544"/>
      <c r="P629" s="1544"/>
    </row>
    <row r="630" spans="1:16" s="1555" customFormat="1" ht="18.75" hidden="1" customHeight="1">
      <c r="A630" s="1700"/>
      <c r="B630" s="1700"/>
      <c r="C630" s="293" t="s">
        <v>1519</v>
      </c>
      <c r="D630" s="9028"/>
      <c r="E630" s="8837"/>
      <c r="F630" s="8972"/>
      <c r="G630" s="9000"/>
      <c r="H630" s="1415"/>
      <c r="I630" s="569" t="s">
        <v>1518</v>
      </c>
      <c r="J630" s="494"/>
      <c r="K630" s="1415"/>
      <c r="L630" s="131"/>
      <c r="M630" s="263"/>
      <c r="N630" s="256"/>
      <c r="O630" s="1544"/>
      <c r="P630" s="1544"/>
    </row>
    <row r="631" spans="1:16" s="1555" customFormat="1" ht="0.75" hidden="1" customHeight="1">
      <c r="A631" s="1700"/>
      <c r="B631" s="1700"/>
      <c r="C631" s="293" t="s">
        <v>1527</v>
      </c>
      <c r="D631" s="9028"/>
      <c r="E631" s="8837"/>
      <c r="F631" s="8972"/>
      <c r="G631" s="329"/>
      <c r="H631" s="1415"/>
      <c r="I631" s="569"/>
      <c r="J631" s="494"/>
      <c r="K631" s="1415"/>
      <c r="L631" s="131"/>
      <c r="M631" s="263"/>
      <c r="N631" s="256"/>
      <c r="O631" s="1544"/>
      <c r="P631" s="1544"/>
    </row>
    <row r="632" spans="1:16" s="1555" customFormat="1" ht="18.75" hidden="1" customHeight="1">
      <c r="A632" s="1700" t="s">
        <v>273</v>
      </c>
      <c r="B632" s="1700" t="s">
        <v>274</v>
      </c>
      <c r="C632" s="293"/>
      <c r="D632" s="9028"/>
      <c r="E632" s="8837"/>
      <c r="F632" s="8972" t="str">
        <f>INDEX(PT_DIFFERENTIATION_VTAR,MATCH(A632,PT_DIFFERENTIATION_VTAR_ID,0))</f>
        <v>Плата за услуги по поддержанию резервной тепловой мощности при отсутствии потребления тепловой энергии</v>
      </c>
      <c r="G632" s="9000" t="str">
        <f>INDEX(PT_DIFFERENTIATION_NTAR,MATCH(B632,PT_DIFFERENTIATION_NTAR_ID,0))</f>
        <v/>
      </c>
      <c r="H632" s="1781"/>
      <c r="I632" s="1658"/>
      <c r="J632" s="1693"/>
      <c r="K632" s="1698"/>
      <c r="L632" s="1781" t="s">
        <v>769</v>
      </c>
      <c r="M632" s="263"/>
      <c r="N632" s="256"/>
      <c r="O632" s="1544"/>
      <c r="P632" s="1544"/>
    </row>
    <row r="633" spans="1:16" s="1555" customFormat="1" ht="18.75" hidden="1" customHeight="1">
      <c r="A633" s="1700"/>
      <c r="B633" s="1700"/>
      <c r="C633" s="293" t="s">
        <v>1519</v>
      </c>
      <c r="D633" s="9028"/>
      <c r="E633" s="8837"/>
      <c r="F633" s="8972"/>
      <c r="G633" s="9000"/>
      <c r="H633" s="1415"/>
      <c r="I633" s="569" t="s">
        <v>1518</v>
      </c>
      <c r="J633" s="494"/>
      <c r="K633" s="1415"/>
      <c r="L633" s="131"/>
      <c r="M633" s="263"/>
      <c r="N633" s="256"/>
      <c r="O633" s="1544"/>
      <c r="P633" s="1544"/>
    </row>
    <row r="634" spans="1:16" s="1555" customFormat="1" ht="0.75" hidden="1" customHeight="1">
      <c r="A634" s="1700"/>
      <c r="B634" s="1700"/>
      <c r="C634" s="293" t="s">
        <v>1527</v>
      </c>
      <c r="D634" s="9028"/>
      <c r="E634" s="8837"/>
      <c r="F634" s="8972"/>
      <c r="G634" s="329"/>
      <c r="H634" s="1415"/>
      <c r="I634" s="569"/>
      <c r="J634" s="494"/>
      <c r="K634" s="1415"/>
      <c r="L634" s="131"/>
      <c r="M634" s="263"/>
      <c r="N634" s="256"/>
      <c r="O634" s="1544"/>
      <c r="P634" s="1544"/>
    </row>
    <row r="635" spans="1:16" s="1555" customFormat="1" ht="18.75" hidden="1" customHeight="1">
      <c r="A635" s="1700" t="s">
        <v>279</v>
      </c>
      <c r="B635" s="1700" t="s">
        <v>280</v>
      </c>
      <c r="C635" s="293"/>
      <c r="D635" s="9028"/>
      <c r="E635" s="8837"/>
      <c r="F635" s="8972" t="str">
        <f>INDEX(PT_DIFFERENTIATION_VTAR,MATCH(A635,PT_DIFFERENTIATION_VTAR_ID,0))</f>
        <v>Плата за подключение (технологическое присоединение) к системе теплоснабжения</v>
      </c>
      <c r="G635" s="9000" t="str">
        <f>INDEX(PT_DIFFERENTIATION_NTAR,MATCH(B635,PT_DIFFERENTIATION_NTAR_ID,0))</f>
        <v/>
      </c>
      <c r="H635" s="1781"/>
      <c r="I635" s="1658"/>
      <c r="J635" s="1693"/>
      <c r="K635" s="1698"/>
      <c r="L635" s="1781" t="s">
        <v>769</v>
      </c>
      <c r="M635" s="263"/>
      <c r="N635" s="256"/>
      <c r="O635" s="1544"/>
      <c r="P635" s="1544"/>
    </row>
    <row r="636" spans="1:16" s="1555" customFormat="1" ht="18.75" hidden="1" customHeight="1">
      <c r="A636" s="1700"/>
      <c r="B636" s="1700"/>
      <c r="C636" s="293" t="s">
        <v>1519</v>
      </c>
      <c r="D636" s="9028"/>
      <c r="E636" s="8837"/>
      <c r="F636" s="8972"/>
      <c r="G636" s="9000"/>
      <c r="H636" s="1415"/>
      <c r="I636" s="569" t="s">
        <v>1518</v>
      </c>
      <c r="J636" s="494"/>
      <c r="K636" s="1415"/>
      <c r="L636" s="131"/>
      <c r="M636" s="263"/>
      <c r="N636" s="256"/>
      <c r="O636" s="1544"/>
      <c r="P636" s="1544"/>
    </row>
    <row r="637" spans="1:16" s="1555" customFormat="1" ht="0.75" hidden="1" customHeight="1">
      <c r="A637" s="1700"/>
      <c r="B637" s="1700"/>
      <c r="C637" s="293" t="s">
        <v>1527</v>
      </c>
      <c r="D637" s="9028"/>
      <c r="E637" s="8837"/>
      <c r="F637" s="8972"/>
      <c r="G637" s="329"/>
      <c r="H637" s="1415"/>
      <c r="I637" s="569"/>
      <c r="J637" s="494"/>
      <c r="K637" s="1415"/>
      <c r="L637" s="131"/>
      <c r="M637" s="263"/>
      <c r="N637" s="256"/>
      <c r="O637" s="1544"/>
      <c r="P637" s="1544"/>
    </row>
    <row r="638" spans="1:16" s="1555" customFormat="1" ht="18.75" hidden="1" customHeight="1">
      <c r="A638" s="1700" t="s">
        <v>293</v>
      </c>
      <c r="B638" s="1700" t="s">
        <v>294</v>
      </c>
      <c r="C638" s="293"/>
      <c r="D638" s="9028"/>
      <c r="E638" s="8837"/>
      <c r="F638" s="8972" t="str">
        <f>INDEX(PT_DIFFERENTIATION_VTAR,MATCH(A638,PT_DIFFERENTIATION_VTAR_ID,0))</f>
        <v>Тариф на питьевую воду (питьевое водоснабжение)</v>
      </c>
      <c r="G638" s="9000" t="str">
        <f>INDEX(PT_DIFFERENTIATION_NTAR,MATCH(B638,PT_DIFFERENTIATION_NTAR_ID,0))</f>
        <v/>
      </c>
      <c r="H638" s="1781"/>
      <c r="I638" s="1658"/>
      <c r="J638" s="1693"/>
      <c r="K638" s="1698"/>
      <c r="L638" s="1781" t="s">
        <v>769</v>
      </c>
      <c r="M638" s="263"/>
      <c r="N638" s="256"/>
      <c r="O638" s="1544"/>
      <c r="P638" s="1544"/>
    </row>
    <row r="639" spans="1:16" s="1555" customFormat="1" ht="18.75" hidden="1" customHeight="1">
      <c r="A639" s="1700"/>
      <c r="B639" s="1700"/>
      <c r="C639" s="293" t="s">
        <v>1519</v>
      </c>
      <c r="D639" s="9028"/>
      <c r="E639" s="8837"/>
      <c r="F639" s="8972"/>
      <c r="G639" s="9000"/>
      <c r="H639" s="1415"/>
      <c r="I639" s="569" t="s">
        <v>1518</v>
      </c>
      <c r="J639" s="494"/>
      <c r="K639" s="1415"/>
      <c r="L639" s="131"/>
      <c r="M639" s="263"/>
      <c r="N639" s="256"/>
      <c r="O639" s="1544"/>
      <c r="P639" s="1544"/>
    </row>
    <row r="640" spans="1:16" s="1555" customFormat="1" ht="0.75" hidden="1" customHeight="1">
      <c r="A640" s="1700"/>
      <c r="B640" s="1700"/>
      <c r="C640" s="293" t="s">
        <v>1527</v>
      </c>
      <c r="D640" s="9028"/>
      <c r="E640" s="8837"/>
      <c r="F640" s="8972"/>
      <c r="G640" s="329"/>
      <c r="H640" s="1415"/>
      <c r="I640" s="569"/>
      <c r="J640" s="494"/>
      <c r="K640" s="1415"/>
      <c r="L640" s="131"/>
      <c r="M640" s="263"/>
      <c r="N640" s="256"/>
      <c r="O640" s="1544"/>
      <c r="P640" s="1544"/>
    </row>
    <row r="641" spans="1:16" s="1555" customFormat="1" ht="18.75" hidden="1" customHeight="1">
      <c r="A641" s="1700" t="s">
        <v>298</v>
      </c>
      <c r="B641" s="1700" t="s">
        <v>299</v>
      </c>
      <c r="C641" s="293"/>
      <c r="D641" s="9028"/>
      <c r="E641" s="8837"/>
      <c r="F641" s="8972" t="str">
        <f>INDEX(PT_DIFFERENTIATION_VTAR,MATCH(A641,PT_DIFFERENTIATION_VTAR_ID,0))</f>
        <v>Тариф на техническую воду</v>
      </c>
      <c r="G641" s="9000" t="str">
        <f>INDEX(PT_DIFFERENTIATION_NTAR,MATCH(B641,PT_DIFFERENTIATION_NTAR_ID,0))</f>
        <v/>
      </c>
      <c r="H641" s="1781"/>
      <c r="I641" s="1658"/>
      <c r="J641" s="1693"/>
      <c r="K641" s="1698"/>
      <c r="L641" s="1781" t="s">
        <v>769</v>
      </c>
      <c r="M641" s="263"/>
      <c r="N641" s="256"/>
      <c r="O641" s="1544"/>
      <c r="P641" s="1544"/>
    </row>
    <row r="642" spans="1:16" s="1555" customFormat="1" ht="18.75" hidden="1" customHeight="1">
      <c r="A642" s="1700"/>
      <c r="B642" s="1700"/>
      <c r="C642" s="293" t="s">
        <v>1519</v>
      </c>
      <c r="D642" s="9028"/>
      <c r="E642" s="8837"/>
      <c r="F642" s="8972"/>
      <c r="G642" s="9000"/>
      <c r="H642" s="1415"/>
      <c r="I642" s="569" t="s">
        <v>1518</v>
      </c>
      <c r="J642" s="494"/>
      <c r="K642" s="1415"/>
      <c r="L642" s="131"/>
      <c r="M642" s="263"/>
      <c r="N642" s="256"/>
      <c r="O642" s="1544"/>
      <c r="P642" s="1544"/>
    </row>
    <row r="643" spans="1:16" s="1555" customFormat="1" ht="0.75" hidden="1" customHeight="1">
      <c r="A643" s="1700"/>
      <c r="B643" s="1700"/>
      <c r="C643" s="293" t="s">
        <v>1527</v>
      </c>
      <c r="D643" s="9028"/>
      <c r="E643" s="8837"/>
      <c r="F643" s="8972"/>
      <c r="G643" s="329"/>
      <c r="H643" s="1415"/>
      <c r="I643" s="569"/>
      <c r="J643" s="494"/>
      <c r="K643" s="1415"/>
      <c r="L643" s="131"/>
      <c r="M643" s="263"/>
      <c r="N643" s="256"/>
      <c r="O643" s="1544"/>
      <c r="P643" s="1544"/>
    </row>
    <row r="644" spans="1:16" s="1555" customFormat="1" ht="18.75" hidden="1" customHeight="1">
      <c r="A644" s="1700" t="s">
        <v>303</v>
      </c>
      <c r="B644" s="1700" t="s">
        <v>304</v>
      </c>
      <c r="C644" s="293"/>
      <c r="D644" s="9028"/>
      <c r="E644" s="8837"/>
      <c r="F644" s="8972" t="str">
        <f>INDEX(PT_DIFFERENTIATION_VTAR,MATCH(A644,PT_DIFFERENTIATION_VTAR_ID,0))</f>
        <v>Тариф на транспортировку воды</v>
      </c>
      <c r="G644" s="9000" t="str">
        <f>INDEX(PT_DIFFERENTIATION_NTAR,MATCH(B644,PT_DIFFERENTIATION_NTAR_ID,0))</f>
        <v/>
      </c>
      <c r="H644" s="1781"/>
      <c r="I644" s="1658"/>
      <c r="J644" s="1693"/>
      <c r="K644" s="1698"/>
      <c r="L644" s="1781" t="s">
        <v>769</v>
      </c>
      <c r="M644" s="263"/>
      <c r="N644" s="256"/>
      <c r="O644" s="1544"/>
      <c r="P644" s="1544"/>
    </row>
    <row r="645" spans="1:16" s="1555" customFormat="1" ht="18.75" hidden="1" customHeight="1">
      <c r="A645" s="1700"/>
      <c r="B645" s="1700"/>
      <c r="C645" s="293" t="s">
        <v>1519</v>
      </c>
      <c r="D645" s="9028"/>
      <c r="E645" s="8837"/>
      <c r="F645" s="8972"/>
      <c r="G645" s="9000"/>
      <c r="H645" s="1415"/>
      <c r="I645" s="569" t="s">
        <v>1518</v>
      </c>
      <c r="J645" s="494"/>
      <c r="K645" s="1415"/>
      <c r="L645" s="131"/>
      <c r="M645" s="263"/>
      <c r="N645" s="256"/>
      <c r="O645" s="1544"/>
      <c r="P645" s="1544"/>
    </row>
    <row r="646" spans="1:16" s="1555" customFormat="1" ht="0.75" hidden="1" customHeight="1">
      <c r="A646" s="1700"/>
      <c r="B646" s="1700"/>
      <c r="C646" s="293" t="s">
        <v>1527</v>
      </c>
      <c r="D646" s="9028"/>
      <c r="E646" s="8837"/>
      <c r="F646" s="8972"/>
      <c r="G646" s="329"/>
      <c r="H646" s="1415"/>
      <c r="I646" s="569"/>
      <c r="J646" s="494"/>
      <c r="K646" s="1415"/>
      <c r="L646" s="131"/>
      <c r="M646" s="263"/>
      <c r="N646" s="256"/>
      <c r="O646" s="1544"/>
      <c r="P646" s="1544"/>
    </row>
    <row r="647" spans="1:16" s="1555" customFormat="1" ht="18.75" customHeight="1">
      <c r="A647" s="1700" t="s">
        <v>310</v>
      </c>
      <c r="B647" s="1700" t="s">
        <v>311</v>
      </c>
      <c r="C647" s="293"/>
      <c r="D647" s="9028"/>
      <c r="E647" s="8837"/>
      <c r="F647" s="8972" t="str">
        <f>INDEX(PT_DIFFERENTIATION_VTAR,MATCH(A647,PT_DIFFERENTIATION_VTAR_ID,0))</f>
        <v>Тариф на подвоз воды</v>
      </c>
      <c r="G647" s="9000" t="str">
        <f>INDEX(PT_DIFFERENTIATION_NTAR,MATCH(B647,PT_DIFFERENTIATION_NTAR_ID,0))</f>
        <v>Подвоз воды потребителям поселка Малостепновского</v>
      </c>
      <c r="H647" s="1781"/>
      <c r="I647" s="1658">
        <v>45292</v>
      </c>
      <c r="J647" s="1693">
        <v>45657</v>
      </c>
      <c r="K647" s="1698">
        <v>0</v>
      </c>
      <c r="L647" s="1781" t="s">
        <v>769</v>
      </c>
      <c r="M647" s="263"/>
      <c r="N647" s="256"/>
      <c r="O647" s="1544"/>
      <c r="P647" s="1544"/>
    </row>
    <row r="648" spans="1:16" s="1555" customFormat="1" ht="18.75" customHeight="1">
      <c r="A648" s="1700"/>
      <c r="B648" s="1700"/>
      <c r="C648" s="293" t="s">
        <v>1519</v>
      </c>
      <c r="D648" s="9028"/>
      <c r="E648" s="8837"/>
      <c r="F648" s="8972"/>
      <c r="G648" s="9000"/>
      <c r="H648" s="1415"/>
      <c r="I648" s="569" t="s">
        <v>1518</v>
      </c>
      <c r="J648" s="494"/>
      <c r="K648" s="1415"/>
      <c r="L648" s="131"/>
      <c r="M648" s="263"/>
      <c r="N648" s="256"/>
      <c r="O648" s="1544"/>
      <c r="P648" s="1544"/>
    </row>
    <row r="649" spans="1:16" s="1555" customFormat="1" ht="18.75" customHeight="1">
      <c r="A649" s="1742" t="s">
        <v>310</v>
      </c>
      <c r="B649" s="1742" t="s">
        <v>317</v>
      </c>
      <c r="C649" s="1607"/>
      <c r="D649" s="9029"/>
      <c r="E649" s="9030"/>
      <c r="F649" s="9030"/>
      <c r="G649" s="9000" t="str">
        <f>INDEX(PT_DIFFERENTIATION_NTAR,MATCH(B649,PT_DIFFERENTIATION_NTAR_ID,0))</f>
        <v>Подвоз воды потребителям хутора Репьевая</v>
      </c>
      <c r="H649" s="1809"/>
      <c r="I649" s="1658">
        <v>45292</v>
      </c>
      <c r="J649" s="1693">
        <v>45657</v>
      </c>
      <c r="K649" s="1698">
        <v>0</v>
      </c>
      <c r="L649" s="1809" t="s">
        <v>769</v>
      </c>
      <c r="M649" s="1794"/>
      <c r="N649" s="537"/>
      <c r="O649" s="1544"/>
      <c r="P649" s="1544"/>
    </row>
    <row r="650" spans="1:16" s="1555" customFormat="1" ht="18.75" customHeight="1">
      <c r="A650" s="1742"/>
      <c r="B650" s="1742"/>
      <c r="C650" s="1607" t="s">
        <v>1519</v>
      </c>
      <c r="D650" s="9029"/>
      <c r="E650" s="9030"/>
      <c r="F650" s="9030"/>
      <c r="G650" s="9000"/>
      <c r="H650" s="8014"/>
      <c r="I650" s="8015" t="s">
        <v>1518</v>
      </c>
      <c r="J650" s="8016"/>
      <c r="K650" s="8017"/>
      <c r="L650" s="8018"/>
      <c r="M650" s="1794"/>
      <c r="N650" s="537"/>
      <c r="O650" s="1544"/>
      <c r="P650" s="1544"/>
    </row>
    <row r="651" spans="1:16" s="1555" customFormat="1" ht="18.75" customHeight="1">
      <c r="A651" s="1742" t="s">
        <v>310</v>
      </c>
      <c r="B651" s="1742" t="s">
        <v>322</v>
      </c>
      <c r="C651" s="1607"/>
      <c r="D651" s="9029"/>
      <c r="E651" s="9030"/>
      <c r="F651" s="9030"/>
      <c r="G651" s="9000" t="str">
        <f>INDEX(PT_DIFFERENTIATION_NTAR,MATCH(B651,PT_DIFFERENTIATION_NTAR_ID,0))</f>
        <v>Подвоз воды потребителям хутора Красный Чонгарец</v>
      </c>
      <c r="H651" s="1809"/>
      <c r="I651" s="1658">
        <v>45292</v>
      </c>
      <c r="J651" s="1693">
        <v>45657</v>
      </c>
      <c r="K651" s="1698">
        <v>0</v>
      </c>
      <c r="L651" s="1809" t="s">
        <v>769</v>
      </c>
      <c r="M651" s="1794"/>
      <c r="N651" s="537"/>
      <c r="O651" s="1544"/>
      <c r="P651" s="1544"/>
    </row>
    <row r="652" spans="1:16" s="1555" customFormat="1" ht="18.75" customHeight="1">
      <c r="A652" s="1742"/>
      <c r="B652" s="1742"/>
      <c r="C652" s="1607" t="s">
        <v>1519</v>
      </c>
      <c r="D652" s="9029"/>
      <c r="E652" s="9030"/>
      <c r="F652" s="9030"/>
      <c r="G652" s="9000"/>
      <c r="H652" s="8019"/>
      <c r="I652" s="8020" t="s">
        <v>1518</v>
      </c>
      <c r="J652" s="8021"/>
      <c r="K652" s="8022"/>
      <c r="L652" s="8023"/>
      <c r="M652" s="1794"/>
      <c r="N652" s="537"/>
      <c r="O652" s="1544"/>
      <c r="P652" s="1544"/>
    </row>
    <row r="653" spans="1:16" s="1555" customFormat="1" ht="18.75" customHeight="1">
      <c r="A653" s="1742" t="s">
        <v>310</v>
      </c>
      <c r="B653" s="1742" t="s">
        <v>327</v>
      </c>
      <c r="C653" s="1607"/>
      <c r="D653" s="9029"/>
      <c r="E653" s="9030"/>
      <c r="F653" s="9030"/>
      <c r="G653" s="9000" t="str">
        <f>INDEX(PT_DIFFERENTIATION_NTAR,MATCH(B653,PT_DIFFERENTIATION_NTAR_ID,0))</f>
        <v>Подвоз воды потребителям села Киан-Подгорного</v>
      </c>
      <c r="H653" s="1809"/>
      <c r="I653" s="1658">
        <v>45292</v>
      </c>
      <c r="J653" s="1693">
        <v>45657</v>
      </c>
      <c r="K653" s="1698">
        <v>0</v>
      </c>
      <c r="L653" s="1809" t="s">
        <v>769</v>
      </c>
      <c r="M653" s="1794"/>
      <c r="N653" s="537"/>
      <c r="O653" s="1544"/>
      <c r="P653" s="1544"/>
    </row>
    <row r="654" spans="1:16" s="1555" customFormat="1" ht="18.75" customHeight="1">
      <c r="A654" s="1742"/>
      <c r="B654" s="1742"/>
      <c r="C654" s="1607" t="s">
        <v>1519</v>
      </c>
      <c r="D654" s="9029"/>
      <c r="E654" s="9030"/>
      <c r="F654" s="9030"/>
      <c r="G654" s="9000"/>
      <c r="H654" s="8024"/>
      <c r="I654" s="8025" t="s">
        <v>1518</v>
      </c>
      <c r="J654" s="8026"/>
      <c r="K654" s="8027"/>
      <c r="L654" s="8028"/>
      <c r="M654" s="1794"/>
      <c r="N654" s="537"/>
      <c r="O654" s="1544"/>
      <c r="P654" s="1544"/>
    </row>
    <row r="655" spans="1:16" s="1555" customFormat="1" ht="18.75" customHeight="1">
      <c r="A655" s="1742" t="s">
        <v>310</v>
      </c>
      <c r="B655" s="1742" t="s">
        <v>332</v>
      </c>
      <c r="C655" s="1607"/>
      <c r="D655" s="9029"/>
      <c r="E655" s="9030"/>
      <c r="F655" s="9030"/>
      <c r="G655" s="9000" t="str">
        <f>INDEX(PT_DIFFERENTIATION_NTAR,MATCH(B655,PT_DIFFERENTIATION_NTAR_ID,0))</f>
        <v>Подвоз воды потребителям села Водораздел</v>
      </c>
      <c r="H655" s="1809"/>
      <c r="I655" s="1658">
        <v>45292</v>
      </c>
      <c r="J655" s="1693">
        <v>45657</v>
      </c>
      <c r="K655" s="1698">
        <v>0</v>
      </c>
      <c r="L655" s="1809" t="s">
        <v>769</v>
      </c>
      <c r="M655" s="1794"/>
      <c r="N655" s="537"/>
      <c r="O655" s="1544"/>
      <c r="P655" s="1544"/>
    </row>
    <row r="656" spans="1:16" s="1555" customFormat="1" ht="18.75" customHeight="1">
      <c r="A656" s="1742"/>
      <c r="B656" s="1742"/>
      <c r="C656" s="1607" t="s">
        <v>1519</v>
      </c>
      <c r="D656" s="9029"/>
      <c r="E656" s="9030"/>
      <c r="F656" s="9030"/>
      <c r="G656" s="9000"/>
      <c r="H656" s="8029"/>
      <c r="I656" s="8030" t="s">
        <v>1518</v>
      </c>
      <c r="J656" s="8031"/>
      <c r="K656" s="8032"/>
      <c r="L656" s="8033"/>
      <c r="M656" s="1794"/>
      <c r="N656" s="537"/>
      <c r="O656" s="1544"/>
      <c r="P656" s="1544"/>
    </row>
    <row r="657" spans="1:16" s="1555" customFormat="1" ht="18.75" customHeight="1">
      <c r="A657" s="1742" t="s">
        <v>310</v>
      </c>
      <c r="B657" s="1742" t="s">
        <v>337</v>
      </c>
      <c r="C657" s="1607"/>
      <c r="D657" s="9029"/>
      <c r="E657" s="9030"/>
      <c r="F657" s="9030"/>
      <c r="G657" s="9000" t="str">
        <f>INDEX(PT_DIFFERENTIATION_NTAR,MATCH(B657,PT_DIFFERENTIATION_NTAR_ID,0))</f>
        <v>Подвоз воды потребителям хутора Павловка</v>
      </c>
      <c r="H657" s="1809"/>
      <c r="I657" s="1658">
        <v>45292</v>
      </c>
      <c r="J657" s="1693">
        <v>45657</v>
      </c>
      <c r="K657" s="1698">
        <v>0</v>
      </c>
      <c r="L657" s="1809" t="s">
        <v>769</v>
      </c>
      <c r="M657" s="1794"/>
      <c r="N657" s="537"/>
      <c r="O657" s="1544"/>
      <c r="P657" s="1544"/>
    </row>
    <row r="658" spans="1:16" s="1555" customFormat="1" ht="18.75" customHeight="1">
      <c r="A658" s="1742"/>
      <c r="B658" s="1742"/>
      <c r="C658" s="1607" t="s">
        <v>1519</v>
      </c>
      <c r="D658" s="9029"/>
      <c r="E658" s="9030"/>
      <c r="F658" s="9030"/>
      <c r="G658" s="9000"/>
      <c r="H658" s="8034"/>
      <c r="I658" s="8035" t="s">
        <v>1518</v>
      </c>
      <c r="J658" s="8036"/>
      <c r="K658" s="8037"/>
      <c r="L658" s="8038"/>
      <c r="M658" s="1794"/>
      <c r="N658" s="537"/>
      <c r="O658" s="1544"/>
      <c r="P658" s="1544"/>
    </row>
    <row r="659" spans="1:16" s="1555" customFormat="1" ht="18.75" customHeight="1">
      <c r="A659" s="1742" t="s">
        <v>310</v>
      </c>
      <c r="B659" s="1742" t="s">
        <v>342</v>
      </c>
      <c r="C659" s="1607"/>
      <c r="D659" s="9029"/>
      <c r="E659" s="9030"/>
      <c r="F659" s="9030"/>
      <c r="G659" s="9000" t="str">
        <f>INDEX(PT_DIFFERENTIATION_NTAR,MATCH(B659,PT_DIFFERENTIATION_NTAR_ID,0))</f>
        <v>Подвоз воды потребителям хутора Весёлого</v>
      </c>
      <c r="H659" s="1809"/>
      <c r="I659" s="1658">
        <v>45292</v>
      </c>
      <c r="J659" s="1693">
        <v>45657</v>
      </c>
      <c r="K659" s="1698">
        <v>0</v>
      </c>
      <c r="L659" s="1809" t="s">
        <v>769</v>
      </c>
      <c r="M659" s="1794"/>
      <c r="N659" s="537"/>
      <c r="O659" s="1544"/>
      <c r="P659" s="1544"/>
    </row>
    <row r="660" spans="1:16" s="1555" customFormat="1" ht="18.75" customHeight="1">
      <c r="A660" s="1742"/>
      <c r="B660" s="1742"/>
      <c r="C660" s="1607" t="s">
        <v>1519</v>
      </c>
      <c r="D660" s="9029"/>
      <c r="E660" s="9030"/>
      <c r="F660" s="9030"/>
      <c r="G660" s="9000"/>
      <c r="H660" s="8039"/>
      <c r="I660" s="8040" t="s">
        <v>1518</v>
      </c>
      <c r="J660" s="8041"/>
      <c r="K660" s="8042"/>
      <c r="L660" s="8043"/>
      <c r="M660" s="1794"/>
      <c r="N660" s="537"/>
      <c r="O660" s="1544"/>
      <c r="P660" s="1544"/>
    </row>
    <row r="661" spans="1:16" s="1555" customFormat="1" ht="18.75" customHeight="1">
      <c r="A661" s="1742" t="s">
        <v>310</v>
      </c>
      <c r="B661" s="1742" t="s">
        <v>347</v>
      </c>
      <c r="C661" s="1607"/>
      <c r="D661" s="9029"/>
      <c r="E661" s="9030"/>
      <c r="F661" s="9030"/>
      <c r="G661" s="9000" t="str">
        <f>INDEX(PT_DIFFERENTIATION_NTAR,MATCH(B661,PT_DIFFERENTIATION_NTAR_ID,0))</f>
        <v>Подвоз воды потребителям поселка Вишнёвого</v>
      </c>
      <c r="H661" s="1809"/>
      <c r="I661" s="1658">
        <v>45292</v>
      </c>
      <c r="J661" s="1693">
        <v>45657</v>
      </c>
      <c r="K661" s="1698">
        <v>0</v>
      </c>
      <c r="L661" s="1809" t="s">
        <v>769</v>
      </c>
      <c r="M661" s="1794"/>
      <c r="N661" s="537"/>
      <c r="O661" s="1544"/>
      <c r="P661" s="1544"/>
    </row>
    <row r="662" spans="1:16" s="1555" customFormat="1" ht="18.75" customHeight="1">
      <c r="A662" s="1742"/>
      <c r="B662" s="1742"/>
      <c r="C662" s="1607" t="s">
        <v>1519</v>
      </c>
      <c r="D662" s="9029"/>
      <c r="E662" s="9030"/>
      <c r="F662" s="9030"/>
      <c r="G662" s="9000"/>
      <c r="H662" s="8044"/>
      <c r="I662" s="8045" t="s">
        <v>1518</v>
      </c>
      <c r="J662" s="8046"/>
      <c r="K662" s="8047"/>
      <c r="L662" s="8048"/>
      <c r="M662" s="1794"/>
      <c r="N662" s="537"/>
      <c r="O662" s="1544"/>
      <c r="P662" s="1544"/>
    </row>
    <row r="663" spans="1:16" s="1555" customFormat="1" ht="18.75" customHeight="1">
      <c r="A663" s="1742" t="s">
        <v>310</v>
      </c>
      <c r="B663" s="1742" t="s">
        <v>352</v>
      </c>
      <c r="C663" s="1607"/>
      <c r="D663" s="9029"/>
      <c r="E663" s="9030"/>
      <c r="F663" s="9030"/>
      <c r="G663" s="9000" t="str">
        <f>INDEX(PT_DIFFERENTIATION_NTAR,MATCH(B663,PT_DIFFERENTIATION_NTAR_ID,0))</f>
        <v>Подвоз воды потребителям поселка Степного</v>
      </c>
      <c r="H663" s="1809"/>
      <c r="I663" s="1658">
        <v>45292</v>
      </c>
      <c r="J663" s="1693">
        <v>45657</v>
      </c>
      <c r="K663" s="1698">
        <v>0</v>
      </c>
      <c r="L663" s="1809" t="s">
        <v>769</v>
      </c>
      <c r="M663" s="1794"/>
      <c r="N663" s="537"/>
      <c r="O663" s="1544"/>
      <c r="P663" s="1544"/>
    </row>
    <row r="664" spans="1:16" s="1555" customFormat="1" ht="18.75" customHeight="1">
      <c r="A664" s="1742"/>
      <c r="B664" s="1742"/>
      <c r="C664" s="1607" t="s">
        <v>1519</v>
      </c>
      <c r="D664" s="9029"/>
      <c r="E664" s="9030"/>
      <c r="F664" s="9030"/>
      <c r="G664" s="9000"/>
      <c r="H664" s="8049"/>
      <c r="I664" s="8050" t="s">
        <v>1518</v>
      </c>
      <c r="J664" s="8051"/>
      <c r="K664" s="8052"/>
      <c r="L664" s="8053"/>
      <c r="M664" s="1794"/>
      <c r="N664" s="537"/>
      <c r="O664" s="1544"/>
      <c r="P664" s="1544"/>
    </row>
    <row r="665" spans="1:16" s="1555" customFormat="1" ht="18.75" customHeight="1">
      <c r="A665" s="1742" t="s">
        <v>310</v>
      </c>
      <c r="B665" s="1742" t="s">
        <v>357</v>
      </c>
      <c r="C665" s="1607"/>
      <c r="D665" s="9029"/>
      <c r="E665" s="9030"/>
      <c r="F665" s="9030"/>
      <c r="G665" s="9000" t="str">
        <f>INDEX(PT_DIFFERENTIATION_NTAR,MATCH(B665,PT_DIFFERENTIATION_NTAR_ID,0))</f>
        <v>Подвоз воды потребителям поселка Лугового</v>
      </c>
      <c r="H665" s="1809"/>
      <c r="I665" s="1658">
        <v>45292</v>
      </c>
      <c r="J665" s="1693">
        <v>45657</v>
      </c>
      <c r="K665" s="1698">
        <v>0</v>
      </c>
      <c r="L665" s="1809" t="s">
        <v>769</v>
      </c>
      <c r="M665" s="1794"/>
      <c r="N665" s="537"/>
      <c r="O665" s="1544"/>
      <c r="P665" s="1544"/>
    </row>
    <row r="666" spans="1:16" s="1555" customFormat="1" ht="18.75" customHeight="1">
      <c r="A666" s="1742"/>
      <c r="B666" s="1742"/>
      <c r="C666" s="1607" t="s">
        <v>1519</v>
      </c>
      <c r="D666" s="9029"/>
      <c r="E666" s="9030"/>
      <c r="F666" s="9030"/>
      <c r="G666" s="9000"/>
      <c r="H666" s="8054"/>
      <c r="I666" s="8055" t="s">
        <v>1518</v>
      </c>
      <c r="J666" s="8056"/>
      <c r="K666" s="8057"/>
      <c r="L666" s="8058"/>
      <c r="M666" s="1794"/>
      <c r="N666" s="537"/>
      <c r="O666" s="1544"/>
      <c r="P666" s="1544"/>
    </row>
    <row r="667" spans="1:16" s="1555" customFormat="1" ht="18.75" customHeight="1">
      <c r="A667" s="1742" t="s">
        <v>310</v>
      </c>
      <c r="B667" s="1742" t="s">
        <v>362</v>
      </c>
      <c r="C667" s="1607"/>
      <c r="D667" s="9029"/>
      <c r="E667" s="9030"/>
      <c r="F667" s="9030"/>
      <c r="G667" s="9000" t="str">
        <f>INDEX(PT_DIFFERENTIATION_NTAR,MATCH(B667,PT_DIFFERENTIATION_NTAR_ID,0))</f>
        <v>Подвоз воды потребителям поселка Правобережного</v>
      </c>
      <c r="H667" s="1809"/>
      <c r="I667" s="1658">
        <v>45292</v>
      </c>
      <c r="J667" s="1693">
        <v>45657</v>
      </c>
      <c r="K667" s="1698">
        <v>0</v>
      </c>
      <c r="L667" s="1809" t="s">
        <v>769</v>
      </c>
      <c r="M667" s="1794"/>
      <c r="N667" s="537"/>
      <c r="O667" s="1544"/>
      <c r="P667" s="1544"/>
    </row>
    <row r="668" spans="1:16" s="1555" customFormat="1" ht="18.75" customHeight="1">
      <c r="A668" s="1742"/>
      <c r="B668" s="1742"/>
      <c r="C668" s="1607" t="s">
        <v>1519</v>
      </c>
      <c r="D668" s="9029"/>
      <c r="E668" s="9030"/>
      <c r="F668" s="9030"/>
      <c r="G668" s="9000"/>
      <c r="H668" s="8059"/>
      <c r="I668" s="8060" t="s">
        <v>1518</v>
      </c>
      <c r="J668" s="8061"/>
      <c r="K668" s="8062"/>
      <c r="L668" s="8063"/>
      <c r="M668" s="1794"/>
      <c r="N668" s="537"/>
      <c r="O668" s="1544"/>
      <c r="P668" s="1544"/>
    </row>
    <row r="669" spans="1:16" s="1555" customFormat="1" ht="18.75" customHeight="1">
      <c r="A669" s="1742" t="s">
        <v>310</v>
      </c>
      <c r="B669" s="1742" t="s">
        <v>367</v>
      </c>
      <c r="C669" s="1607"/>
      <c r="D669" s="9029"/>
      <c r="E669" s="9030"/>
      <c r="F669" s="9030"/>
      <c r="G669" s="9000" t="str">
        <f>INDEX(PT_DIFFERENTIATION_NTAR,MATCH(B669,PT_DIFFERENTIATION_NTAR_ID,0))</f>
        <v>Подвоз воды потребителям хутора Добровольного</v>
      </c>
      <c r="H669" s="1809"/>
      <c r="I669" s="1658">
        <v>45292</v>
      </c>
      <c r="J669" s="1693">
        <v>45657</v>
      </c>
      <c r="K669" s="1698">
        <v>0</v>
      </c>
      <c r="L669" s="1809" t="s">
        <v>769</v>
      </c>
      <c r="M669" s="1794"/>
      <c r="N669" s="537"/>
      <c r="O669" s="1544"/>
      <c r="P669" s="1544"/>
    </row>
    <row r="670" spans="1:16" s="1555" customFormat="1" ht="18.75" customHeight="1">
      <c r="A670" s="1742"/>
      <c r="B670" s="1742"/>
      <c r="C670" s="1607" t="s">
        <v>1519</v>
      </c>
      <c r="D670" s="9029"/>
      <c r="E670" s="9030"/>
      <c r="F670" s="9030"/>
      <c r="G670" s="9000"/>
      <c r="H670" s="8064"/>
      <c r="I670" s="8065" t="s">
        <v>1518</v>
      </c>
      <c r="J670" s="8066"/>
      <c r="K670" s="8067"/>
      <c r="L670" s="8068"/>
      <c r="M670" s="1794"/>
      <c r="N670" s="537"/>
      <c r="O670" s="1544"/>
      <c r="P670" s="1544"/>
    </row>
    <row r="671" spans="1:16" s="1555" customFormat="1" ht="18.75" customHeight="1">
      <c r="A671" s="1742" t="s">
        <v>310</v>
      </c>
      <c r="B671" s="1742" t="s">
        <v>372</v>
      </c>
      <c r="C671" s="1607"/>
      <c r="D671" s="9029"/>
      <c r="E671" s="9030"/>
      <c r="F671" s="9030"/>
      <c r="G671" s="9000" t="str">
        <f>INDEX(PT_DIFFERENTIATION_NTAR,MATCH(B671,PT_DIFFERENTIATION_NTAR_ID,0))</f>
        <v>Подвоз воды потребителям хутора Среднего</v>
      </c>
      <c r="H671" s="1809"/>
      <c r="I671" s="1658">
        <v>45292</v>
      </c>
      <c r="J671" s="1693">
        <v>45657</v>
      </c>
      <c r="K671" s="1698">
        <v>0</v>
      </c>
      <c r="L671" s="1809" t="s">
        <v>769</v>
      </c>
      <c r="M671" s="1794"/>
      <c r="N671" s="537"/>
      <c r="O671" s="1544"/>
      <c r="P671" s="1544"/>
    </row>
    <row r="672" spans="1:16" s="1555" customFormat="1" ht="18.75" customHeight="1">
      <c r="A672" s="1742"/>
      <c r="B672" s="1742"/>
      <c r="C672" s="1607" t="s">
        <v>1519</v>
      </c>
      <c r="D672" s="9029"/>
      <c r="E672" s="9030"/>
      <c r="F672" s="9030"/>
      <c r="G672" s="9000"/>
      <c r="H672" s="8069"/>
      <c r="I672" s="8070" t="s">
        <v>1518</v>
      </c>
      <c r="J672" s="8071"/>
      <c r="K672" s="8072"/>
      <c r="L672" s="8073"/>
      <c r="M672" s="1794"/>
      <c r="N672" s="537"/>
      <c r="O672" s="1544"/>
      <c r="P672" s="1544"/>
    </row>
    <row r="673" spans="1:16" s="1555" customFormat="1" ht="18.75" customHeight="1">
      <c r="A673" s="1742" t="s">
        <v>310</v>
      </c>
      <c r="B673" s="1742" t="s">
        <v>377</v>
      </c>
      <c r="C673" s="1607"/>
      <c r="D673" s="9029"/>
      <c r="E673" s="9030"/>
      <c r="F673" s="9030"/>
      <c r="G673" s="9000" t="str">
        <f>INDEX(PT_DIFFERENTIATION_NTAR,MATCH(B673,PT_DIFFERENTIATION_NTAR_ID,0))</f>
        <v xml:space="preserve">Подвоз воды потребителям поселка Новобалтийского </v>
      </c>
      <c r="H673" s="1809"/>
      <c r="I673" s="1658">
        <v>45292</v>
      </c>
      <c r="J673" s="1693">
        <v>45657</v>
      </c>
      <c r="K673" s="1698">
        <v>0</v>
      </c>
      <c r="L673" s="1809" t="s">
        <v>769</v>
      </c>
      <c r="M673" s="1794"/>
      <c r="N673" s="537"/>
      <c r="O673" s="1544"/>
      <c r="P673" s="1544"/>
    </row>
    <row r="674" spans="1:16" s="1555" customFormat="1" ht="18.75" customHeight="1">
      <c r="A674" s="1742"/>
      <c r="B674" s="1742"/>
      <c r="C674" s="1607" t="s">
        <v>1519</v>
      </c>
      <c r="D674" s="9029"/>
      <c r="E674" s="9030"/>
      <c r="F674" s="9030"/>
      <c r="G674" s="9000"/>
      <c r="H674" s="8074"/>
      <c r="I674" s="8075" t="s">
        <v>1518</v>
      </c>
      <c r="J674" s="8076"/>
      <c r="K674" s="8077"/>
      <c r="L674" s="8078"/>
      <c r="M674" s="1794"/>
      <c r="N674" s="537"/>
      <c r="O674" s="1544"/>
      <c r="P674" s="1544"/>
    </row>
    <row r="675" spans="1:16" s="1555" customFormat="1" ht="18.75" customHeight="1">
      <c r="A675" s="1742" t="s">
        <v>310</v>
      </c>
      <c r="B675" s="1742" t="s">
        <v>382</v>
      </c>
      <c r="C675" s="1607"/>
      <c r="D675" s="9029"/>
      <c r="E675" s="9030"/>
      <c r="F675" s="9030"/>
      <c r="G675" s="9000" t="str">
        <f>INDEX(PT_DIFFERENTIATION_NTAR,MATCH(B675,PT_DIFFERENTIATION_NTAR_ID,0))</f>
        <v>Подвоз воды потребителям хутора Берёзкина</v>
      </c>
      <c r="H675" s="1809"/>
      <c r="I675" s="1658">
        <v>45292</v>
      </c>
      <c r="J675" s="1693">
        <v>45657</v>
      </c>
      <c r="K675" s="1698">
        <v>0</v>
      </c>
      <c r="L675" s="1809" t="s">
        <v>769</v>
      </c>
      <c r="M675" s="1794"/>
      <c r="N675" s="537"/>
      <c r="O675" s="1544"/>
      <c r="P675" s="1544"/>
    </row>
    <row r="676" spans="1:16" s="1555" customFormat="1" ht="18.75" customHeight="1">
      <c r="A676" s="1742"/>
      <c r="B676" s="1742"/>
      <c r="C676" s="1607" t="s">
        <v>1519</v>
      </c>
      <c r="D676" s="9029"/>
      <c r="E676" s="9030"/>
      <c r="F676" s="9030"/>
      <c r="G676" s="9000"/>
      <c r="H676" s="8079"/>
      <c r="I676" s="8080" t="s">
        <v>1518</v>
      </c>
      <c r="J676" s="8081"/>
      <c r="K676" s="8082"/>
      <c r="L676" s="8083"/>
      <c r="M676" s="1794"/>
      <c r="N676" s="537"/>
      <c r="O676" s="1544"/>
      <c r="P676" s="1544"/>
    </row>
    <row r="677" spans="1:16" s="1555" customFormat="1" ht="18.75" customHeight="1">
      <c r="A677" s="1742" t="s">
        <v>310</v>
      </c>
      <c r="B677" s="1742" t="s">
        <v>387</v>
      </c>
      <c r="C677" s="1607"/>
      <c r="D677" s="9029"/>
      <c r="E677" s="9030"/>
      <c r="F677" s="9030"/>
      <c r="G677" s="9000" t="str">
        <f>INDEX(PT_DIFFERENTIATION_NTAR,MATCH(B677,PT_DIFFERENTIATION_NTAR_ID,0))</f>
        <v>Подвоз воды потребителям поселка Бурунного</v>
      </c>
      <c r="H677" s="1809"/>
      <c r="I677" s="1658">
        <v>45292</v>
      </c>
      <c r="J677" s="1693">
        <v>45657</v>
      </c>
      <c r="K677" s="1698">
        <v>0</v>
      </c>
      <c r="L677" s="1809" t="s">
        <v>769</v>
      </c>
      <c r="M677" s="1794"/>
      <c r="N677" s="537"/>
      <c r="O677" s="1544"/>
      <c r="P677" s="1544"/>
    </row>
    <row r="678" spans="1:16" s="1555" customFormat="1" ht="18.75" customHeight="1">
      <c r="A678" s="1742"/>
      <c r="B678" s="1742"/>
      <c r="C678" s="1607" t="s">
        <v>1519</v>
      </c>
      <c r="D678" s="9029"/>
      <c r="E678" s="9030"/>
      <c r="F678" s="9030"/>
      <c r="G678" s="9000"/>
      <c r="H678" s="8084"/>
      <c r="I678" s="8085" t="s">
        <v>1518</v>
      </c>
      <c r="J678" s="8086"/>
      <c r="K678" s="8087"/>
      <c r="L678" s="8088"/>
      <c r="M678" s="1794"/>
      <c r="N678" s="537"/>
      <c r="O678" s="1544"/>
      <c r="P678" s="1544"/>
    </row>
    <row r="679" spans="1:16" s="1555" customFormat="1" ht="18.75" customHeight="1">
      <c r="A679" s="1742" t="s">
        <v>310</v>
      </c>
      <c r="B679" s="1742" t="s">
        <v>392</v>
      </c>
      <c r="C679" s="1607"/>
      <c r="D679" s="9029"/>
      <c r="E679" s="9030"/>
      <c r="F679" s="9030"/>
      <c r="G679" s="9000" t="str">
        <f>INDEX(PT_DIFFERENTIATION_NTAR,MATCH(B679,PT_DIFFERENTIATION_NTAR_ID,0))</f>
        <v>Подвоз воды потребителям поселка Мирного</v>
      </c>
      <c r="H679" s="1809"/>
      <c r="I679" s="1658">
        <v>45292</v>
      </c>
      <c r="J679" s="1693">
        <v>45657</v>
      </c>
      <c r="K679" s="1698">
        <v>0</v>
      </c>
      <c r="L679" s="1809" t="s">
        <v>769</v>
      </c>
      <c r="M679" s="1794"/>
      <c r="N679" s="537"/>
      <c r="O679" s="1544"/>
      <c r="P679" s="1544"/>
    </row>
    <row r="680" spans="1:16" s="1555" customFormat="1" ht="18.75" customHeight="1">
      <c r="A680" s="1742"/>
      <c r="B680" s="1742"/>
      <c r="C680" s="1607" t="s">
        <v>1519</v>
      </c>
      <c r="D680" s="9029"/>
      <c r="E680" s="9030"/>
      <c r="F680" s="9030"/>
      <c r="G680" s="9000"/>
      <c r="H680" s="8089"/>
      <c r="I680" s="8090" t="s">
        <v>1518</v>
      </c>
      <c r="J680" s="8091"/>
      <c r="K680" s="8092"/>
      <c r="L680" s="8093"/>
      <c r="M680" s="1794"/>
      <c r="N680" s="537"/>
      <c r="O680" s="1544"/>
      <c r="P680" s="1544"/>
    </row>
    <row r="681" spans="1:16" s="1555" customFormat="1" ht="18.75" customHeight="1">
      <c r="A681" s="1742" t="s">
        <v>310</v>
      </c>
      <c r="B681" s="1742" t="s">
        <v>397</v>
      </c>
      <c r="C681" s="1607"/>
      <c r="D681" s="9029"/>
      <c r="E681" s="9030"/>
      <c r="F681" s="9030"/>
      <c r="G681" s="9000" t="str">
        <f>INDEX(PT_DIFFERENTIATION_NTAR,MATCH(B681,PT_DIFFERENTIATION_NTAR_ID,0))</f>
        <v>Подвоз воды потребителям поселка Ага-Батыр</v>
      </c>
      <c r="H681" s="1809"/>
      <c r="I681" s="1658">
        <v>45292</v>
      </c>
      <c r="J681" s="1693">
        <v>45657</v>
      </c>
      <c r="K681" s="1698">
        <v>0</v>
      </c>
      <c r="L681" s="1809" t="s">
        <v>769</v>
      </c>
      <c r="M681" s="1794"/>
      <c r="N681" s="537"/>
      <c r="O681" s="1544"/>
      <c r="P681" s="1544"/>
    </row>
    <row r="682" spans="1:16" s="1555" customFormat="1" ht="18.75" customHeight="1">
      <c r="A682" s="1742"/>
      <c r="B682" s="1742"/>
      <c r="C682" s="1607" t="s">
        <v>1519</v>
      </c>
      <c r="D682" s="9029"/>
      <c r="E682" s="9030"/>
      <c r="F682" s="9030"/>
      <c r="G682" s="9000"/>
      <c r="H682" s="8094"/>
      <c r="I682" s="8095" t="s">
        <v>1518</v>
      </c>
      <c r="J682" s="8096"/>
      <c r="K682" s="8097"/>
      <c r="L682" s="8098"/>
      <c r="M682" s="1794"/>
      <c r="N682" s="537"/>
      <c r="O682" s="1544"/>
      <c r="P682" s="1544"/>
    </row>
    <row r="683" spans="1:16" s="1555" customFormat="1" ht="18.75" customHeight="1">
      <c r="A683" s="1742" t="s">
        <v>310</v>
      </c>
      <c r="B683" s="1742" t="s">
        <v>402</v>
      </c>
      <c r="C683" s="1607"/>
      <c r="D683" s="9029"/>
      <c r="E683" s="9030"/>
      <c r="F683" s="9030"/>
      <c r="G683" s="9000" t="str">
        <f>INDEX(PT_DIFFERENTIATION_NTAR,MATCH(B683,PT_DIFFERENTIATION_NTAR_ID,0))</f>
        <v>Подвоз воды потребителям хутора Кировского</v>
      </c>
      <c r="H683" s="1809"/>
      <c r="I683" s="1658">
        <v>45292</v>
      </c>
      <c r="J683" s="1693">
        <v>45657</v>
      </c>
      <c r="K683" s="1698">
        <v>0</v>
      </c>
      <c r="L683" s="1809" t="s">
        <v>769</v>
      </c>
      <c r="M683" s="1794"/>
      <c r="N683" s="537"/>
      <c r="O683" s="1544"/>
      <c r="P683" s="1544"/>
    </row>
    <row r="684" spans="1:16" s="1555" customFormat="1" ht="18.75" customHeight="1">
      <c r="A684" s="1742"/>
      <c r="B684" s="1742"/>
      <c r="C684" s="1607" t="s">
        <v>1519</v>
      </c>
      <c r="D684" s="9029"/>
      <c r="E684" s="9030"/>
      <c r="F684" s="9030"/>
      <c r="G684" s="9000"/>
      <c r="H684" s="8099"/>
      <c r="I684" s="8100" t="s">
        <v>1518</v>
      </c>
      <c r="J684" s="8101"/>
      <c r="K684" s="8102"/>
      <c r="L684" s="8103"/>
      <c r="M684" s="1794"/>
      <c r="N684" s="537"/>
      <c r="O684" s="1544"/>
      <c r="P684" s="1544"/>
    </row>
    <row r="685" spans="1:16" s="1555" customFormat="1" ht="18.75" customHeight="1">
      <c r="A685" s="1742" t="s">
        <v>310</v>
      </c>
      <c r="B685" s="1742" t="s">
        <v>407</v>
      </c>
      <c r="C685" s="1607"/>
      <c r="D685" s="9029"/>
      <c r="E685" s="9030"/>
      <c r="F685" s="9030"/>
      <c r="G685" s="9000" t="str">
        <f>INDEX(PT_DIFFERENTIATION_NTAR,MATCH(B685,PT_DIFFERENTIATION_NTAR_ID,0))</f>
        <v>Подвоз воды потребителям хутора Моздокского</v>
      </c>
      <c r="H685" s="1809"/>
      <c r="I685" s="1658">
        <v>45292</v>
      </c>
      <c r="J685" s="1693">
        <v>45657</v>
      </c>
      <c r="K685" s="1698">
        <v>0</v>
      </c>
      <c r="L685" s="1809" t="s">
        <v>769</v>
      </c>
      <c r="M685" s="1794"/>
      <c r="N685" s="537"/>
      <c r="O685" s="1544"/>
      <c r="P685" s="1544"/>
    </row>
    <row r="686" spans="1:16" s="1555" customFormat="1" ht="18.75" customHeight="1">
      <c r="A686" s="1742"/>
      <c r="B686" s="1742"/>
      <c r="C686" s="1607" t="s">
        <v>1519</v>
      </c>
      <c r="D686" s="9029"/>
      <c r="E686" s="9030"/>
      <c r="F686" s="9030"/>
      <c r="G686" s="9000"/>
      <c r="H686" s="8104"/>
      <c r="I686" s="8105" t="s">
        <v>1518</v>
      </c>
      <c r="J686" s="8106"/>
      <c r="K686" s="8107"/>
      <c r="L686" s="8108"/>
      <c r="M686" s="1794"/>
      <c r="N686" s="537"/>
      <c r="O686" s="1544"/>
      <c r="P686" s="1544"/>
    </row>
    <row r="687" spans="1:16" s="1555" customFormat="1" ht="18.75" customHeight="1">
      <c r="A687" s="1742" t="s">
        <v>310</v>
      </c>
      <c r="B687" s="1742" t="s">
        <v>412</v>
      </c>
      <c r="C687" s="1607"/>
      <c r="D687" s="9029"/>
      <c r="E687" s="9030"/>
      <c r="F687" s="9030"/>
      <c r="G687" s="9000" t="str">
        <f>INDEX(PT_DIFFERENTIATION_NTAR,MATCH(B687,PT_DIFFERENTIATION_NTAR_ID,0))</f>
        <v>Подвоз воды потребителям поселка Южанин</v>
      </c>
      <c r="H687" s="1809"/>
      <c r="I687" s="1658">
        <v>45292</v>
      </c>
      <c r="J687" s="1693">
        <v>45657</v>
      </c>
      <c r="K687" s="1698">
        <v>0</v>
      </c>
      <c r="L687" s="1809" t="s">
        <v>769</v>
      </c>
      <c r="M687" s="1794"/>
      <c r="N687" s="537"/>
      <c r="O687" s="1544"/>
      <c r="P687" s="1544"/>
    </row>
    <row r="688" spans="1:16" s="1555" customFormat="1" ht="18.75" customHeight="1">
      <c r="A688" s="1742"/>
      <c r="B688" s="1742"/>
      <c r="C688" s="1607" t="s">
        <v>1519</v>
      </c>
      <c r="D688" s="9029"/>
      <c r="E688" s="9030"/>
      <c r="F688" s="9030"/>
      <c r="G688" s="9000"/>
      <c r="H688" s="8109"/>
      <c r="I688" s="8110" t="s">
        <v>1518</v>
      </c>
      <c r="J688" s="8111"/>
      <c r="K688" s="8112"/>
      <c r="L688" s="8113"/>
      <c r="M688" s="1794"/>
      <c r="N688" s="537"/>
      <c r="O688" s="1544"/>
      <c r="P688" s="1544"/>
    </row>
    <row r="689" spans="1:16" s="1555" customFormat="1" ht="18.75" customHeight="1">
      <c r="A689" s="1742" t="s">
        <v>310</v>
      </c>
      <c r="B689" s="1742" t="s">
        <v>418</v>
      </c>
      <c r="C689" s="1607"/>
      <c r="D689" s="9029"/>
      <c r="E689" s="9030"/>
      <c r="F689" s="9030"/>
      <c r="G689" s="9000" t="str">
        <f>INDEX(PT_DIFFERENTIATION_NTAR,MATCH(B689,PT_DIFFERENTIATION_NTAR_ID,0))</f>
        <v>Подвоз воды потребителям поселка Совхозного</v>
      </c>
      <c r="H689" s="1809"/>
      <c r="I689" s="1658">
        <v>45292</v>
      </c>
      <c r="J689" s="1693">
        <v>45657</v>
      </c>
      <c r="K689" s="1698">
        <v>0</v>
      </c>
      <c r="L689" s="1809" t="s">
        <v>769</v>
      </c>
      <c r="M689" s="1794"/>
      <c r="N689" s="537"/>
      <c r="O689" s="1544"/>
      <c r="P689" s="1544"/>
    </row>
    <row r="690" spans="1:16" s="1555" customFormat="1" ht="18.75" customHeight="1">
      <c r="A690" s="1742"/>
      <c r="B690" s="1742"/>
      <c r="C690" s="1607" t="s">
        <v>1519</v>
      </c>
      <c r="D690" s="9029"/>
      <c r="E690" s="9030"/>
      <c r="F690" s="9030"/>
      <c r="G690" s="9000"/>
      <c r="H690" s="8114"/>
      <c r="I690" s="8115" t="s">
        <v>1518</v>
      </c>
      <c r="J690" s="8116"/>
      <c r="K690" s="8117"/>
      <c r="L690" s="8118"/>
      <c r="M690" s="1794"/>
      <c r="N690" s="537"/>
      <c r="O690" s="1544"/>
      <c r="P690" s="1544"/>
    </row>
    <row r="691" spans="1:16" s="1555" customFormat="1" ht="18.75" customHeight="1">
      <c r="A691" s="1742" t="s">
        <v>310</v>
      </c>
      <c r="B691" s="1742" t="s">
        <v>424</v>
      </c>
      <c r="C691" s="1607"/>
      <c r="D691" s="9029"/>
      <c r="E691" s="9030"/>
      <c r="F691" s="9030"/>
      <c r="G691" s="9000" t="str">
        <f>INDEX(PT_DIFFERENTIATION_NTAR,MATCH(B691,PT_DIFFERENTIATION_NTAR_ID,0))</f>
        <v>Подвоз воды потребителям поселка Песчаного</v>
      </c>
      <c r="H691" s="1809"/>
      <c r="I691" s="1658">
        <v>45292</v>
      </c>
      <c r="J691" s="1693">
        <v>45657</v>
      </c>
      <c r="K691" s="1698">
        <v>0</v>
      </c>
      <c r="L691" s="1809" t="s">
        <v>769</v>
      </c>
      <c r="M691" s="1794"/>
      <c r="N691" s="537"/>
      <c r="O691" s="1544"/>
      <c r="P691" s="1544"/>
    </row>
    <row r="692" spans="1:16" s="1555" customFormat="1" ht="18.75" customHeight="1">
      <c r="A692" s="1742"/>
      <c r="B692" s="1742"/>
      <c r="C692" s="1607" t="s">
        <v>1519</v>
      </c>
      <c r="D692" s="9029"/>
      <c r="E692" s="9030"/>
      <c r="F692" s="9030"/>
      <c r="G692" s="9000"/>
      <c r="H692" s="8119"/>
      <c r="I692" s="8120" t="s">
        <v>1518</v>
      </c>
      <c r="J692" s="8121"/>
      <c r="K692" s="8122"/>
      <c r="L692" s="8123"/>
      <c r="M692" s="1794"/>
      <c r="N692" s="537"/>
      <c r="O692" s="1544"/>
      <c r="P692" s="1544"/>
    </row>
    <row r="693" spans="1:16" s="1555" customFormat="1" ht="18.75" customHeight="1">
      <c r="A693" s="1742" t="s">
        <v>310</v>
      </c>
      <c r="B693" s="1742" t="s">
        <v>429</v>
      </c>
      <c r="C693" s="1607"/>
      <c r="D693" s="9029"/>
      <c r="E693" s="9030"/>
      <c r="F693" s="9030"/>
      <c r="G693" s="9000" t="str">
        <f>INDEX(PT_DIFFERENTIATION_NTAR,MATCH(B693,PT_DIFFERENTIATION_NTAR_ID,0))</f>
        <v>Подвоз воды потребителям аула Али-Кую</v>
      </c>
      <c r="H693" s="1809"/>
      <c r="I693" s="1658">
        <v>45292</v>
      </c>
      <c r="J693" s="1693">
        <v>45657</v>
      </c>
      <c r="K693" s="1698">
        <v>0</v>
      </c>
      <c r="L693" s="1809" t="s">
        <v>769</v>
      </c>
      <c r="M693" s="1794"/>
      <c r="N693" s="537"/>
      <c r="O693" s="1544"/>
      <c r="P693" s="1544"/>
    </row>
    <row r="694" spans="1:16" s="1555" customFormat="1" ht="18.75" customHeight="1">
      <c r="A694" s="1742"/>
      <c r="B694" s="1742"/>
      <c r="C694" s="1607" t="s">
        <v>1519</v>
      </c>
      <c r="D694" s="9029"/>
      <c r="E694" s="9030"/>
      <c r="F694" s="9030"/>
      <c r="G694" s="9000"/>
      <c r="H694" s="8124"/>
      <c r="I694" s="8125" t="s">
        <v>1518</v>
      </c>
      <c r="J694" s="8126"/>
      <c r="K694" s="8127"/>
      <c r="L694" s="8128"/>
      <c r="M694" s="1794"/>
      <c r="N694" s="537"/>
      <c r="O694" s="1544"/>
      <c r="P694" s="1544"/>
    </row>
    <row r="695" spans="1:16" s="1555" customFormat="1" ht="18.75" customHeight="1">
      <c r="A695" s="1742" t="s">
        <v>310</v>
      </c>
      <c r="B695" s="1742" t="s">
        <v>435</v>
      </c>
      <c r="C695" s="1607"/>
      <c r="D695" s="9029"/>
      <c r="E695" s="9030"/>
      <c r="F695" s="9030"/>
      <c r="G695" s="9000" t="str">
        <f>INDEX(PT_DIFFERENTIATION_NTAR,MATCH(B695,PT_DIFFERENTIATION_NTAR_ID,0))</f>
        <v>Подвоз воды потребителям села Серноводского</v>
      </c>
      <c r="H695" s="1809"/>
      <c r="I695" s="1658">
        <v>45292</v>
      </c>
      <c r="J695" s="1693">
        <v>45657</v>
      </c>
      <c r="K695" s="1698">
        <v>0</v>
      </c>
      <c r="L695" s="1809" t="s">
        <v>769</v>
      </c>
      <c r="M695" s="1794"/>
      <c r="N695" s="537"/>
      <c r="O695" s="1544"/>
      <c r="P695" s="1544"/>
    </row>
    <row r="696" spans="1:16" s="1555" customFormat="1" ht="18.75" customHeight="1">
      <c r="A696" s="1742"/>
      <c r="B696" s="1742"/>
      <c r="C696" s="1607" t="s">
        <v>1519</v>
      </c>
      <c r="D696" s="9029"/>
      <c r="E696" s="9030"/>
      <c r="F696" s="9030"/>
      <c r="G696" s="9000"/>
      <c r="H696" s="8129"/>
      <c r="I696" s="8130" t="s">
        <v>1518</v>
      </c>
      <c r="J696" s="8131"/>
      <c r="K696" s="8132"/>
      <c r="L696" s="8133"/>
      <c r="M696" s="1794"/>
      <c r="N696" s="537"/>
      <c r="O696" s="1544"/>
      <c r="P696" s="1544"/>
    </row>
    <row r="697" spans="1:16" s="1555" customFormat="1" ht="18.75" customHeight="1">
      <c r="A697" s="1742" t="s">
        <v>310</v>
      </c>
      <c r="B697" s="1742" t="s">
        <v>441</v>
      </c>
      <c r="C697" s="1607"/>
      <c r="D697" s="9029"/>
      <c r="E697" s="9030"/>
      <c r="F697" s="9030"/>
      <c r="G697" s="9000" t="str">
        <f>INDEX(PT_DIFFERENTIATION_NTAR,MATCH(B697,PT_DIFFERENTIATION_NTAR_ID,0))</f>
        <v>Подвоз воды потребителям хутора Медведева</v>
      </c>
      <c r="H697" s="1809"/>
      <c r="I697" s="1658">
        <v>45292</v>
      </c>
      <c r="J697" s="1693">
        <v>45657</v>
      </c>
      <c r="K697" s="1698">
        <v>0</v>
      </c>
      <c r="L697" s="1809" t="s">
        <v>769</v>
      </c>
      <c r="M697" s="1794"/>
      <c r="N697" s="537"/>
      <c r="O697" s="1544"/>
      <c r="P697" s="1544"/>
    </row>
    <row r="698" spans="1:16" s="1555" customFormat="1" ht="18.75" customHeight="1">
      <c r="A698" s="1742"/>
      <c r="B698" s="1742"/>
      <c r="C698" s="1607" t="s">
        <v>1519</v>
      </c>
      <c r="D698" s="9029"/>
      <c r="E698" s="9030"/>
      <c r="F698" s="9030"/>
      <c r="G698" s="9000"/>
      <c r="H698" s="8134"/>
      <c r="I698" s="8135" t="s">
        <v>1518</v>
      </c>
      <c r="J698" s="8136"/>
      <c r="K698" s="8137"/>
      <c r="L698" s="8138"/>
      <c r="M698" s="1794"/>
      <c r="N698" s="537"/>
      <c r="O698" s="1544"/>
      <c r="P698" s="1544"/>
    </row>
    <row r="699" spans="1:16" s="1555" customFormat="1" ht="18.75" customHeight="1">
      <c r="A699" s="1742" t="s">
        <v>310</v>
      </c>
      <c r="B699" s="1742" t="s">
        <v>447</v>
      </c>
      <c r="C699" s="1607"/>
      <c r="D699" s="9029"/>
      <c r="E699" s="9030"/>
      <c r="F699" s="9030"/>
      <c r="G699" s="9000" t="str">
        <f>INDEX(PT_DIFFERENTIATION_NTAR,MATCH(B699,PT_DIFFERENTIATION_NTAR_ID,0))</f>
        <v>Подвоз воды потребителям хутора Графского</v>
      </c>
      <c r="H699" s="1809"/>
      <c r="I699" s="1658">
        <v>45292</v>
      </c>
      <c r="J699" s="1693">
        <v>45657</v>
      </c>
      <c r="K699" s="1698">
        <v>0</v>
      </c>
      <c r="L699" s="1809" t="s">
        <v>769</v>
      </c>
      <c r="M699" s="1794"/>
      <c r="N699" s="537"/>
      <c r="O699" s="1544"/>
      <c r="P699" s="1544"/>
    </row>
    <row r="700" spans="1:16" s="1555" customFormat="1" ht="18.75" customHeight="1">
      <c r="A700" s="1742"/>
      <c r="B700" s="1742"/>
      <c r="C700" s="1607" t="s">
        <v>1519</v>
      </c>
      <c r="D700" s="9029"/>
      <c r="E700" s="9030"/>
      <c r="F700" s="9030"/>
      <c r="G700" s="9000"/>
      <c r="H700" s="8139"/>
      <c r="I700" s="8140" t="s">
        <v>1518</v>
      </c>
      <c r="J700" s="8141"/>
      <c r="K700" s="8142"/>
      <c r="L700" s="8143"/>
      <c r="M700" s="1794"/>
      <c r="N700" s="537"/>
      <c r="O700" s="1544"/>
      <c r="P700" s="1544"/>
    </row>
    <row r="701" spans="1:16" s="1555" customFormat="1" ht="18.75" customHeight="1">
      <c r="A701" s="1742" t="s">
        <v>310</v>
      </c>
      <c r="B701" s="1742" t="s">
        <v>453</v>
      </c>
      <c r="C701" s="1607"/>
      <c r="D701" s="9029"/>
      <c r="E701" s="9030"/>
      <c r="F701" s="9030"/>
      <c r="G701" s="9000" t="str">
        <f>INDEX(PT_DIFFERENTIATION_NTAR,MATCH(B701,PT_DIFFERENTIATION_NTAR_ID,0))</f>
        <v>Подвоз воды потребителям хутора Бугулова</v>
      </c>
      <c r="H701" s="1809"/>
      <c r="I701" s="1658">
        <v>45292</v>
      </c>
      <c r="J701" s="1693">
        <v>45657</v>
      </c>
      <c r="K701" s="1698">
        <v>0</v>
      </c>
      <c r="L701" s="1809" t="s">
        <v>769</v>
      </c>
      <c r="M701" s="1794"/>
      <c r="N701" s="537"/>
      <c r="O701" s="1544"/>
      <c r="P701" s="1544"/>
    </row>
    <row r="702" spans="1:16" s="1555" customFormat="1" ht="18.75" customHeight="1">
      <c r="A702" s="1742"/>
      <c r="B702" s="1742"/>
      <c r="C702" s="1607" t="s">
        <v>1519</v>
      </c>
      <c r="D702" s="9029"/>
      <c r="E702" s="9030"/>
      <c r="F702" s="9030"/>
      <c r="G702" s="9000"/>
      <c r="H702" s="8144"/>
      <c r="I702" s="8145" t="s">
        <v>1518</v>
      </c>
      <c r="J702" s="8146"/>
      <c r="K702" s="8147"/>
      <c r="L702" s="8148"/>
      <c r="M702" s="1794"/>
      <c r="N702" s="537"/>
      <c r="O702" s="1544"/>
      <c r="P702" s="1544"/>
    </row>
    <row r="703" spans="1:16" s="1555" customFormat="1" ht="18.75" customHeight="1">
      <c r="A703" s="1742" t="s">
        <v>310</v>
      </c>
      <c r="B703" s="1742" t="s">
        <v>459</v>
      </c>
      <c r="C703" s="1607"/>
      <c r="D703" s="9029"/>
      <c r="E703" s="9030"/>
      <c r="F703" s="9030"/>
      <c r="G703" s="9000" t="str">
        <f>INDEX(PT_DIFFERENTIATION_NTAR,MATCH(B703,PT_DIFFERENTIATION_NTAR_ID,0))</f>
        <v>Подвоз воды потребителям хутора Горного</v>
      </c>
      <c r="H703" s="1809"/>
      <c r="I703" s="1658">
        <v>45292</v>
      </c>
      <c r="J703" s="1693">
        <v>45657</v>
      </c>
      <c r="K703" s="1698">
        <v>0</v>
      </c>
      <c r="L703" s="1809" t="s">
        <v>769</v>
      </c>
      <c r="M703" s="1794"/>
      <c r="N703" s="537"/>
      <c r="O703" s="1544"/>
      <c r="P703" s="1544"/>
    </row>
    <row r="704" spans="1:16" s="1555" customFormat="1" ht="18.75" customHeight="1">
      <c r="A704" s="1742"/>
      <c r="B704" s="1742"/>
      <c r="C704" s="1607" t="s">
        <v>1519</v>
      </c>
      <c r="D704" s="9029"/>
      <c r="E704" s="9030"/>
      <c r="F704" s="9030"/>
      <c r="G704" s="9000"/>
      <c r="H704" s="8149"/>
      <c r="I704" s="8150" t="s">
        <v>1518</v>
      </c>
      <c r="J704" s="8151"/>
      <c r="K704" s="8152"/>
      <c r="L704" s="8153"/>
      <c r="M704" s="1794"/>
      <c r="N704" s="537"/>
      <c r="O704" s="1544"/>
      <c r="P704" s="1544"/>
    </row>
    <row r="705" spans="1:16" s="1555" customFormat="1" ht="18.75" customHeight="1">
      <c r="A705" s="1742" t="s">
        <v>310</v>
      </c>
      <c r="B705" s="1742" t="s">
        <v>465</v>
      </c>
      <c r="C705" s="1607"/>
      <c r="D705" s="9029"/>
      <c r="E705" s="9030"/>
      <c r="F705" s="9030"/>
      <c r="G705" s="9000" t="str">
        <f>INDEX(PT_DIFFERENTIATION_NTAR,MATCH(B705,PT_DIFFERENTIATION_NTAR_ID,0))</f>
        <v>Подвоз воды потребителям села Падинского</v>
      </c>
      <c r="H705" s="1809"/>
      <c r="I705" s="1658">
        <v>45292</v>
      </c>
      <c r="J705" s="1693">
        <v>45657</v>
      </c>
      <c r="K705" s="1698">
        <v>0</v>
      </c>
      <c r="L705" s="1809" t="s">
        <v>769</v>
      </c>
      <c r="M705" s="1794"/>
      <c r="N705" s="537"/>
      <c r="O705" s="1544"/>
      <c r="P705" s="1544"/>
    </row>
    <row r="706" spans="1:16" s="1555" customFormat="1" ht="18.75" customHeight="1">
      <c r="A706" s="1742"/>
      <c r="B706" s="1742"/>
      <c r="C706" s="1607" t="s">
        <v>1519</v>
      </c>
      <c r="D706" s="9029"/>
      <c r="E706" s="9030"/>
      <c r="F706" s="9030"/>
      <c r="G706" s="9000"/>
      <c r="H706" s="8154"/>
      <c r="I706" s="8155" t="s">
        <v>1518</v>
      </c>
      <c r="J706" s="8156"/>
      <c r="K706" s="8157"/>
      <c r="L706" s="8158"/>
      <c r="M706" s="1794"/>
      <c r="N706" s="537"/>
      <c r="O706" s="1544"/>
      <c r="P706" s="1544"/>
    </row>
    <row r="707" spans="1:16" s="1555" customFormat="1" ht="18.75" customHeight="1">
      <c r="A707" s="1742" t="s">
        <v>310</v>
      </c>
      <c r="B707" s="1742" t="s">
        <v>471</v>
      </c>
      <c r="C707" s="1607"/>
      <c r="D707" s="9029"/>
      <c r="E707" s="9030"/>
      <c r="F707" s="9030"/>
      <c r="G707" s="9000" t="str">
        <f>INDEX(PT_DIFFERENTIATION_NTAR,MATCH(B707,PT_DIFFERENTIATION_NTAR_ID,0))</f>
        <v>Подвоз воды потребителям поселка Садовая Долина</v>
      </c>
      <c r="H707" s="1809"/>
      <c r="I707" s="1658">
        <v>45292</v>
      </c>
      <c r="J707" s="1693">
        <v>45657</v>
      </c>
      <c r="K707" s="1698">
        <v>0</v>
      </c>
      <c r="L707" s="1809" t="s">
        <v>769</v>
      </c>
      <c r="M707" s="1794"/>
      <c r="N707" s="537"/>
      <c r="O707" s="1544"/>
      <c r="P707" s="1544"/>
    </row>
    <row r="708" spans="1:16" s="1555" customFormat="1" ht="18.75" customHeight="1">
      <c r="A708" s="1742"/>
      <c r="B708" s="1742"/>
      <c r="C708" s="1607" t="s">
        <v>1519</v>
      </c>
      <c r="D708" s="9029"/>
      <c r="E708" s="9030"/>
      <c r="F708" s="9030"/>
      <c r="G708" s="9000"/>
      <c r="H708" s="8159"/>
      <c r="I708" s="8160" t="s">
        <v>1518</v>
      </c>
      <c r="J708" s="8161"/>
      <c r="K708" s="8162"/>
      <c r="L708" s="8163"/>
      <c r="M708" s="1794"/>
      <c r="N708" s="537"/>
      <c r="O708" s="1544"/>
      <c r="P708" s="1544"/>
    </row>
    <row r="709" spans="1:16" s="1555" customFormat="1" ht="18.75" customHeight="1">
      <c r="A709" s="1742" t="s">
        <v>310</v>
      </c>
      <c r="B709" s="1742" t="s">
        <v>477</v>
      </c>
      <c r="C709" s="1607"/>
      <c r="D709" s="9029"/>
      <c r="E709" s="9030"/>
      <c r="F709" s="9030"/>
      <c r="G709" s="9000" t="str">
        <f>INDEX(PT_DIFFERENTIATION_NTAR,MATCH(B709,PT_DIFFERENTIATION_NTAR_ID,0))</f>
        <v>Подвоз воды потребителям хутора Новоборгустанского</v>
      </c>
      <c r="H709" s="1809"/>
      <c r="I709" s="1658">
        <v>45292</v>
      </c>
      <c r="J709" s="1693">
        <v>45657</v>
      </c>
      <c r="K709" s="1698">
        <v>0</v>
      </c>
      <c r="L709" s="1809" t="s">
        <v>769</v>
      </c>
      <c r="M709" s="1794"/>
      <c r="N709" s="537"/>
      <c r="O709" s="1544"/>
      <c r="P709" s="1544"/>
    </row>
    <row r="710" spans="1:16" s="1555" customFormat="1" ht="18.75" customHeight="1">
      <c r="A710" s="1742"/>
      <c r="B710" s="1742"/>
      <c r="C710" s="1607" t="s">
        <v>1519</v>
      </c>
      <c r="D710" s="9029"/>
      <c r="E710" s="9030"/>
      <c r="F710" s="9030"/>
      <c r="G710" s="9000"/>
      <c r="H710" s="8164"/>
      <c r="I710" s="8165" t="s">
        <v>1518</v>
      </c>
      <c r="J710" s="8166"/>
      <c r="K710" s="8167"/>
      <c r="L710" s="8168"/>
      <c r="M710" s="1794"/>
      <c r="N710" s="537"/>
      <c r="O710" s="1544"/>
      <c r="P710" s="1544"/>
    </row>
    <row r="711" spans="1:16" s="1555" customFormat="1" ht="18.75" customHeight="1">
      <c r="A711" s="1742" t="s">
        <v>310</v>
      </c>
      <c r="B711" s="1742" t="s">
        <v>483</v>
      </c>
      <c r="C711" s="1607"/>
      <c r="D711" s="9029"/>
      <c r="E711" s="9030"/>
      <c r="F711" s="9030"/>
      <c r="G711" s="9000" t="str">
        <f>INDEX(PT_DIFFERENTIATION_NTAR,MATCH(B711,PT_DIFFERENTIATION_NTAR_ID,0))</f>
        <v>Подвоз воды потребителям поселка Боргустанские Горы</v>
      </c>
      <c r="H711" s="1809"/>
      <c r="I711" s="1658">
        <v>45292</v>
      </c>
      <c r="J711" s="1693">
        <v>45657</v>
      </c>
      <c r="K711" s="1698">
        <v>0</v>
      </c>
      <c r="L711" s="1809" t="s">
        <v>769</v>
      </c>
      <c r="M711" s="1794"/>
      <c r="N711" s="537"/>
      <c r="O711" s="1544"/>
      <c r="P711" s="1544"/>
    </row>
    <row r="712" spans="1:16" s="1555" customFormat="1" ht="18.75" customHeight="1">
      <c r="A712" s="1742"/>
      <c r="B712" s="1742"/>
      <c r="C712" s="1607" t="s">
        <v>1519</v>
      </c>
      <c r="D712" s="9029"/>
      <c r="E712" s="9030"/>
      <c r="F712" s="9030"/>
      <c r="G712" s="9000"/>
      <c r="H712" s="8169"/>
      <c r="I712" s="8170" t="s">
        <v>1518</v>
      </c>
      <c r="J712" s="8171"/>
      <c r="K712" s="8172"/>
      <c r="L712" s="8173"/>
      <c r="M712" s="1794"/>
      <c r="N712" s="537"/>
      <c r="O712" s="1544"/>
      <c r="P712" s="1544"/>
    </row>
    <row r="713" spans="1:16" s="1555" customFormat="1" ht="18.75" customHeight="1">
      <c r="A713" s="1742" t="s">
        <v>310</v>
      </c>
      <c r="B713" s="1742" t="s">
        <v>489</v>
      </c>
      <c r="C713" s="1607"/>
      <c r="D713" s="9029"/>
      <c r="E713" s="9030"/>
      <c r="F713" s="9030"/>
      <c r="G713" s="9000" t="str">
        <f>INDEX(PT_DIFFERENTIATION_NTAR,MATCH(B713,PT_DIFFERENTIATION_NTAR_ID,0))</f>
        <v>Подвоз воды потребителям хутора Коммаяка</v>
      </c>
      <c r="H713" s="1809"/>
      <c r="I713" s="1658">
        <v>45292</v>
      </c>
      <c r="J713" s="1693">
        <v>45657</v>
      </c>
      <c r="K713" s="1698">
        <v>0</v>
      </c>
      <c r="L713" s="1809" t="s">
        <v>769</v>
      </c>
      <c r="M713" s="1794"/>
      <c r="N713" s="537"/>
      <c r="O713" s="1544"/>
      <c r="P713" s="1544"/>
    </row>
    <row r="714" spans="1:16" s="1555" customFormat="1" ht="18.75" customHeight="1">
      <c r="A714" s="1742"/>
      <c r="B714" s="1742"/>
      <c r="C714" s="1607" t="s">
        <v>1519</v>
      </c>
      <c r="D714" s="9029"/>
      <c r="E714" s="9030"/>
      <c r="F714" s="9030"/>
      <c r="G714" s="9000"/>
      <c r="H714" s="8174"/>
      <c r="I714" s="8175" t="s">
        <v>1518</v>
      </c>
      <c r="J714" s="8176"/>
      <c r="K714" s="8177"/>
      <c r="L714" s="8178"/>
      <c r="M714" s="1794"/>
      <c r="N714" s="537"/>
      <c r="O714" s="1544"/>
      <c r="P714" s="1544"/>
    </row>
    <row r="715" spans="1:16" s="1555" customFormat="1" ht="18.75" customHeight="1">
      <c r="A715" s="1742" t="s">
        <v>310</v>
      </c>
      <c r="B715" s="1742" t="s">
        <v>495</v>
      </c>
      <c r="C715" s="1607"/>
      <c r="D715" s="9029"/>
      <c r="E715" s="9030"/>
      <c r="F715" s="9030"/>
      <c r="G715" s="9000" t="str">
        <f>INDEX(PT_DIFFERENTIATION_NTAR,MATCH(B715,PT_DIFFERENTIATION_NTAR_ID,0))</f>
        <v>Подвоз воды потребителям хутора Садового</v>
      </c>
      <c r="H715" s="1809"/>
      <c r="I715" s="1658">
        <v>45292</v>
      </c>
      <c r="J715" s="1693">
        <v>45657</v>
      </c>
      <c r="K715" s="1698">
        <v>0</v>
      </c>
      <c r="L715" s="1809" t="s">
        <v>769</v>
      </c>
      <c r="M715" s="1794"/>
      <c r="N715" s="537"/>
      <c r="O715" s="1544"/>
      <c r="P715" s="1544"/>
    </row>
    <row r="716" spans="1:16" s="1555" customFormat="1" ht="18.75" customHeight="1">
      <c r="A716" s="1742"/>
      <c r="B716" s="1742"/>
      <c r="C716" s="1607" t="s">
        <v>1519</v>
      </c>
      <c r="D716" s="9029"/>
      <c r="E716" s="9030"/>
      <c r="F716" s="9030"/>
      <c r="G716" s="9000"/>
      <c r="H716" s="8179"/>
      <c r="I716" s="8180" t="s">
        <v>1518</v>
      </c>
      <c r="J716" s="8181"/>
      <c r="K716" s="8182"/>
      <c r="L716" s="8183"/>
      <c r="M716" s="1794"/>
      <c r="N716" s="537"/>
      <c r="O716" s="1544"/>
      <c r="P716" s="1544"/>
    </row>
    <row r="717" spans="1:16" s="1555" customFormat="1" ht="18.75" customHeight="1">
      <c r="A717" s="1742" t="s">
        <v>310</v>
      </c>
      <c r="B717" s="1742" t="s">
        <v>501</v>
      </c>
      <c r="C717" s="1607"/>
      <c r="D717" s="9029"/>
      <c r="E717" s="9030"/>
      <c r="F717" s="9030"/>
      <c r="G717" s="9000" t="str">
        <f>INDEX(PT_DIFFERENTIATION_NTAR,MATCH(B717,PT_DIFFERENTIATION_NTAR_ID,0))</f>
        <v>Подвоз воды потребителям хутора Кофанова</v>
      </c>
      <c r="H717" s="1809"/>
      <c r="I717" s="1658">
        <v>45292</v>
      </c>
      <c r="J717" s="1693">
        <v>45657</v>
      </c>
      <c r="K717" s="1698">
        <v>0</v>
      </c>
      <c r="L717" s="1809" t="s">
        <v>769</v>
      </c>
      <c r="M717" s="1794"/>
      <c r="N717" s="537"/>
      <c r="O717" s="1544"/>
      <c r="P717" s="1544"/>
    </row>
    <row r="718" spans="1:16" s="1555" customFormat="1" ht="18.75" customHeight="1">
      <c r="A718" s="1742"/>
      <c r="B718" s="1742"/>
      <c r="C718" s="1607" t="s">
        <v>1519</v>
      </c>
      <c r="D718" s="9029"/>
      <c r="E718" s="9030"/>
      <c r="F718" s="9030"/>
      <c r="G718" s="9000"/>
      <c r="H718" s="8184"/>
      <c r="I718" s="8185" t="s">
        <v>1518</v>
      </c>
      <c r="J718" s="8186"/>
      <c r="K718" s="8187"/>
      <c r="L718" s="8188"/>
      <c r="M718" s="1794"/>
      <c r="N718" s="537"/>
      <c r="O718" s="1544"/>
      <c r="P718" s="1544"/>
    </row>
    <row r="719" spans="1:16" s="1555" customFormat="1" ht="18.75" customHeight="1">
      <c r="A719" s="1742" t="s">
        <v>310</v>
      </c>
      <c r="B719" s="1742" t="s">
        <v>506</v>
      </c>
      <c r="C719" s="1607"/>
      <c r="D719" s="9029"/>
      <c r="E719" s="9030"/>
      <c r="F719" s="9030"/>
      <c r="G719" s="9000" t="str">
        <f>INDEX(PT_DIFFERENTIATION_NTAR,MATCH(B719,PT_DIFFERENTIATION_NTAR_ID,0))</f>
        <v>Подвоз воды потребителям хутора Холодногорского</v>
      </c>
      <c r="H719" s="1809"/>
      <c r="I719" s="1658">
        <v>45292</v>
      </c>
      <c r="J719" s="1693">
        <v>45657</v>
      </c>
      <c r="K719" s="1698">
        <v>0</v>
      </c>
      <c r="L719" s="1809" t="s">
        <v>769</v>
      </c>
      <c r="M719" s="1794"/>
      <c r="N719" s="537"/>
      <c r="O719" s="1544"/>
      <c r="P719" s="1544"/>
    </row>
    <row r="720" spans="1:16" s="1555" customFormat="1" ht="18.75" customHeight="1">
      <c r="A720" s="1742"/>
      <c r="B720" s="1742"/>
      <c r="C720" s="1607" t="s">
        <v>1519</v>
      </c>
      <c r="D720" s="9029"/>
      <c r="E720" s="9030"/>
      <c r="F720" s="9030"/>
      <c r="G720" s="9000"/>
      <c r="H720" s="8189"/>
      <c r="I720" s="8190" t="s">
        <v>1518</v>
      </c>
      <c r="J720" s="8191"/>
      <c r="K720" s="8192"/>
      <c r="L720" s="8193"/>
      <c r="M720" s="1794"/>
      <c r="N720" s="537"/>
      <c r="O720" s="1544"/>
      <c r="P720" s="1544"/>
    </row>
    <row r="721" spans="1:16" s="1555" customFormat="1" ht="18.75" customHeight="1">
      <c r="A721" s="1742" t="s">
        <v>310</v>
      </c>
      <c r="B721" s="1742" t="s">
        <v>512</v>
      </c>
      <c r="C721" s="1607"/>
      <c r="D721" s="9029"/>
      <c r="E721" s="9030"/>
      <c r="F721" s="9030"/>
      <c r="G721" s="9000" t="str">
        <f>INDEX(PT_DIFFERENTIATION_NTAR,MATCH(B721,PT_DIFFERENTIATION_NTAR_ID,0))</f>
        <v>Подвоз воды потребителям хутора Гремучего</v>
      </c>
      <c r="H721" s="1809"/>
      <c r="I721" s="1658">
        <v>45292</v>
      </c>
      <c r="J721" s="1693">
        <v>45657</v>
      </c>
      <c r="K721" s="1698">
        <v>0</v>
      </c>
      <c r="L721" s="1809" t="s">
        <v>769</v>
      </c>
      <c r="M721" s="1794"/>
      <c r="N721" s="537"/>
      <c r="O721" s="1544"/>
      <c r="P721" s="1544"/>
    </row>
    <row r="722" spans="1:16" s="1555" customFormat="1" ht="18.75" customHeight="1">
      <c r="A722" s="1742"/>
      <c r="B722" s="1742"/>
      <c r="C722" s="1607" t="s">
        <v>1519</v>
      </c>
      <c r="D722" s="9029"/>
      <c r="E722" s="9030"/>
      <c r="F722" s="9030"/>
      <c r="G722" s="9000"/>
      <c r="H722" s="8194"/>
      <c r="I722" s="8195" t="s">
        <v>1518</v>
      </c>
      <c r="J722" s="8196"/>
      <c r="K722" s="8197"/>
      <c r="L722" s="8198"/>
      <c r="M722" s="1794"/>
      <c r="N722" s="537"/>
      <c r="O722" s="1544"/>
      <c r="P722" s="1544"/>
    </row>
    <row r="723" spans="1:16" s="1555" customFormat="1" ht="18.75" customHeight="1">
      <c r="A723" s="1742" t="s">
        <v>310</v>
      </c>
      <c r="B723" s="1742" t="s">
        <v>518</v>
      </c>
      <c r="C723" s="1607"/>
      <c r="D723" s="9029"/>
      <c r="E723" s="9030"/>
      <c r="F723" s="9030"/>
      <c r="G723" s="9000" t="str">
        <f>INDEX(PT_DIFFERENTIATION_NTAR,MATCH(B723,PT_DIFFERENTIATION_NTAR_ID,0))</f>
        <v>Подвоз воды потребителям поселка Верхнедубовского</v>
      </c>
      <c r="H723" s="1809"/>
      <c r="I723" s="1658">
        <v>45292</v>
      </c>
      <c r="J723" s="1693">
        <v>45657</v>
      </c>
      <c r="K723" s="1698">
        <v>0</v>
      </c>
      <c r="L723" s="1809" t="s">
        <v>769</v>
      </c>
      <c r="M723" s="1794"/>
      <c r="N723" s="537"/>
      <c r="O723" s="1544"/>
      <c r="P723" s="1544"/>
    </row>
    <row r="724" spans="1:16" s="1555" customFormat="1" ht="18.75" customHeight="1">
      <c r="A724" s="1742"/>
      <c r="B724" s="1742"/>
      <c r="C724" s="1607" t="s">
        <v>1519</v>
      </c>
      <c r="D724" s="9029"/>
      <c r="E724" s="9030"/>
      <c r="F724" s="9030"/>
      <c r="G724" s="9000"/>
      <c r="H724" s="8199"/>
      <c r="I724" s="8200" t="s">
        <v>1518</v>
      </c>
      <c r="J724" s="8201"/>
      <c r="K724" s="8202"/>
      <c r="L724" s="8203"/>
      <c r="M724" s="1794"/>
      <c r="N724" s="537"/>
      <c r="O724" s="1544"/>
      <c r="P724" s="1544"/>
    </row>
    <row r="725" spans="1:16" s="1555" customFormat="1" ht="18.75" customHeight="1">
      <c r="A725" s="1742" t="s">
        <v>310</v>
      </c>
      <c r="B725" s="1742" t="s">
        <v>524</v>
      </c>
      <c r="C725" s="1607"/>
      <c r="D725" s="9029"/>
      <c r="E725" s="9030"/>
      <c r="F725" s="9030"/>
      <c r="G725" s="9000" t="str">
        <f>INDEX(PT_DIFFERENTIATION_NTAR,MATCH(B725,PT_DIFFERENTIATION_NTAR_ID,0))</f>
        <v>Подвоз воды потребителям хутора Богатого</v>
      </c>
      <c r="H725" s="1809"/>
      <c r="I725" s="1658">
        <v>45292</v>
      </c>
      <c r="J725" s="1693">
        <v>45657</v>
      </c>
      <c r="K725" s="1698">
        <v>0</v>
      </c>
      <c r="L725" s="1809" t="s">
        <v>769</v>
      </c>
      <c r="M725" s="1794"/>
      <c r="N725" s="537"/>
      <c r="O725" s="1544"/>
      <c r="P725" s="1544"/>
    </row>
    <row r="726" spans="1:16" s="1555" customFormat="1" ht="18.75" customHeight="1">
      <c r="A726" s="1742"/>
      <c r="B726" s="1742"/>
      <c r="C726" s="1607" t="s">
        <v>1519</v>
      </c>
      <c r="D726" s="9029"/>
      <c r="E726" s="9030"/>
      <c r="F726" s="9030"/>
      <c r="G726" s="9000"/>
      <c r="H726" s="8204"/>
      <c r="I726" s="8205" t="s">
        <v>1518</v>
      </c>
      <c r="J726" s="8206"/>
      <c r="K726" s="8207"/>
      <c r="L726" s="8208"/>
      <c r="M726" s="1794"/>
      <c r="N726" s="537"/>
      <c r="O726" s="1544"/>
      <c r="P726" s="1544"/>
    </row>
    <row r="727" spans="1:16" s="1555" customFormat="1" ht="18.75" customHeight="1">
      <c r="A727" s="1742" t="s">
        <v>310</v>
      </c>
      <c r="B727" s="1742" t="s">
        <v>530</v>
      </c>
      <c r="C727" s="1607"/>
      <c r="D727" s="9029"/>
      <c r="E727" s="9030"/>
      <c r="F727" s="9030"/>
      <c r="G727" s="9000" t="str">
        <f>INDEX(PT_DIFFERENTIATION_NTAR,MATCH(B727,PT_DIFFERENTIATION_NTAR_ID,0))</f>
        <v>Подвоз воды потребителям хутора Верхнеегорлыкского</v>
      </c>
      <c r="H727" s="1809"/>
      <c r="I727" s="1658">
        <v>45292</v>
      </c>
      <c r="J727" s="1693">
        <v>45657</v>
      </c>
      <c r="K727" s="1698">
        <v>0</v>
      </c>
      <c r="L727" s="1809" t="s">
        <v>769</v>
      </c>
      <c r="M727" s="1794"/>
      <c r="N727" s="537"/>
      <c r="O727" s="1544"/>
      <c r="P727" s="1544"/>
    </row>
    <row r="728" spans="1:16" s="1555" customFormat="1" ht="18.75" customHeight="1">
      <c r="A728" s="1742"/>
      <c r="B728" s="1742"/>
      <c r="C728" s="1607" t="s">
        <v>1519</v>
      </c>
      <c r="D728" s="9029"/>
      <c r="E728" s="9030"/>
      <c r="F728" s="9030"/>
      <c r="G728" s="9000"/>
      <c r="H728" s="8209"/>
      <c r="I728" s="8210" t="s">
        <v>1518</v>
      </c>
      <c r="J728" s="8211"/>
      <c r="K728" s="8212"/>
      <c r="L728" s="8213"/>
      <c r="M728" s="1794"/>
      <c r="N728" s="537"/>
      <c r="O728" s="1544"/>
      <c r="P728" s="1544"/>
    </row>
    <row r="729" spans="1:16" s="1555" customFormat="1" ht="18.75" customHeight="1">
      <c r="A729" s="1742" t="s">
        <v>310</v>
      </c>
      <c r="B729" s="1742" t="s">
        <v>535</v>
      </c>
      <c r="C729" s="1607"/>
      <c r="D729" s="9029"/>
      <c r="E729" s="9030"/>
      <c r="F729" s="9030"/>
      <c r="G729" s="9000" t="str">
        <f>INDEX(PT_DIFFERENTIATION_NTAR,MATCH(B729,PT_DIFFERENTIATION_NTAR_ID,0))</f>
        <v>Подвоз воды потребителям хутора Садового</v>
      </c>
      <c r="H729" s="1809"/>
      <c r="I729" s="1658">
        <v>45292</v>
      </c>
      <c r="J729" s="1693">
        <v>45657</v>
      </c>
      <c r="K729" s="1698">
        <v>0</v>
      </c>
      <c r="L729" s="1809" t="s">
        <v>769</v>
      </c>
      <c r="M729" s="1794"/>
      <c r="N729" s="537"/>
      <c r="O729" s="1544"/>
      <c r="P729" s="1544"/>
    </row>
    <row r="730" spans="1:16" s="1555" customFormat="1" ht="18.75" customHeight="1">
      <c r="A730" s="1742"/>
      <c r="B730" s="1742"/>
      <c r="C730" s="1607" t="s">
        <v>1519</v>
      </c>
      <c r="D730" s="9029"/>
      <c r="E730" s="9030"/>
      <c r="F730" s="9030"/>
      <c r="G730" s="9000"/>
      <c r="H730" s="8214"/>
      <c r="I730" s="8215" t="s">
        <v>1518</v>
      </c>
      <c r="J730" s="8216"/>
      <c r="K730" s="8217"/>
      <c r="L730" s="8218"/>
      <c r="M730" s="1794"/>
      <c r="N730" s="537"/>
      <c r="O730" s="1544"/>
      <c r="P730" s="1544"/>
    </row>
    <row r="731" spans="1:16" s="1555" customFormat="1" ht="18.75" customHeight="1">
      <c r="A731" s="1742" t="s">
        <v>310</v>
      </c>
      <c r="B731" s="1742" t="s">
        <v>541</v>
      </c>
      <c r="C731" s="1607"/>
      <c r="D731" s="9029"/>
      <c r="E731" s="9030"/>
      <c r="F731" s="9030"/>
      <c r="G731" s="9000" t="str">
        <f>INDEX(PT_DIFFERENTIATION_NTAR,MATCH(B731,PT_DIFFERENTIATION_NTAR_ID,0))</f>
        <v>Подвоз воды потребителям хутора Темнореченского</v>
      </c>
      <c r="H731" s="1809"/>
      <c r="I731" s="1658">
        <v>45292</v>
      </c>
      <c r="J731" s="1693">
        <v>45657</v>
      </c>
      <c r="K731" s="1698">
        <v>0</v>
      </c>
      <c r="L731" s="1809" t="s">
        <v>769</v>
      </c>
      <c r="M731" s="1794"/>
      <c r="N731" s="537"/>
      <c r="O731" s="1544"/>
      <c r="P731" s="1544"/>
    </row>
    <row r="732" spans="1:16" s="1555" customFormat="1" ht="18.75" customHeight="1">
      <c r="A732" s="1742"/>
      <c r="B732" s="1742"/>
      <c r="C732" s="1607" t="s">
        <v>1519</v>
      </c>
      <c r="D732" s="9029"/>
      <c r="E732" s="9030"/>
      <c r="F732" s="9030"/>
      <c r="G732" s="9000"/>
      <c r="H732" s="8219"/>
      <c r="I732" s="8220" t="s">
        <v>1518</v>
      </c>
      <c r="J732" s="8221"/>
      <c r="K732" s="8222"/>
      <c r="L732" s="8223"/>
      <c r="M732" s="1794"/>
      <c r="N732" s="537"/>
      <c r="O732" s="1544"/>
      <c r="P732" s="1544"/>
    </row>
    <row r="733" spans="1:16" s="1555" customFormat="1" ht="18.75" customHeight="1">
      <c r="A733" s="1742" t="s">
        <v>310</v>
      </c>
      <c r="B733" s="1742" t="s">
        <v>547</v>
      </c>
      <c r="C733" s="1607"/>
      <c r="D733" s="9029"/>
      <c r="E733" s="9030"/>
      <c r="F733" s="9030"/>
      <c r="G733" s="9000" t="str">
        <f>INDEX(PT_DIFFERENTIATION_NTAR,MATCH(B733,PT_DIFFERENTIATION_NTAR_ID,0))</f>
        <v>Подвоз воды потребителям хутора Рынок</v>
      </c>
      <c r="H733" s="1809"/>
      <c r="I733" s="1658">
        <v>45292</v>
      </c>
      <c r="J733" s="1693">
        <v>45657</v>
      </c>
      <c r="K733" s="1698">
        <v>0</v>
      </c>
      <c r="L733" s="1809" t="s">
        <v>769</v>
      </c>
      <c r="M733" s="1794"/>
      <c r="N733" s="537"/>
      <c r="O733" s="1544"/>
      <c r="P733" s="1544"/>
    </row>
    <row r="734" spans="1:16" s="1555" customFormat="1" ht="18.75" customHeight="1">
      <c r="A734" s="1742"/>
      <c r="B734" s="1742"/>
      <c r="C734" s="1607" t="s">
        <v>1519</v>
      </c>
      <c r="D734" s="9029"/>
      <c r="E734" s="9030"/>
      <c r="F734" s="9030"/>
      <c r="G734" s="9000"/>
      <c r="H734" s="8224"/>
      <c r="I734" s="8225" t="s">
        <v>1518</v>
      </c>
      <c r="J734" s="8226"/>
      <c r="K734" s="8227"/>
      <c r="L734" s="8228"/>
      <c r="M734" s="1794"/>
      <c r="N734" s="537"/>
      <c r="O734" s="1544"/>
      <c r="P734" s="1544"/>
    </row>
    <row r="735" spans="1:16" s="1555" customFormat="1" ht="18.75" customHeight="1">
      <c r="A735" s="1742" t="s">
        <v>310</v>
      </c>
      <c r="B735" s="1742" t="s">
        <v>553</v>
      </c>
      <c r="C735" s="1607"/>
      <c r="D735" s="9029"/>
      <c r="E735" s="9030"/>
      <c r="F735" s="9030"/>
      <c r="G735" s="9000" t="str">
        <f>INDEX(PT_DIFFERENTIATION_NTAR,MATCH(B735,PT_DIFFERENTIATION_NTAR_ID,0))</f>
        <v>Подвоз воды потребителям хутора Польского</v>
      </c>
      <c r="H735" s="1809"/>
      <c r="I735" s="1658">
        <v>45292</v>
      </c>
      <c r="J735" s="1693">
        <v>45657</v>
      </c>
      <c r="K735" s="1698">
        <v>0</v>
      </c>
      <c r="L735" s="1809" t="s">
        <v>769</v>
      </c>
      <c r="M735" s="1794"/>
      <c r="N735" s="537"/>
      <c r="O735" s="1544"/>
      <c r="P735" s="1544"/>
    </row>
    <row r="736" spans="1:16" s="1555" customFormat="1" ht="18.75" customHeight="1">
      <c r="A736" s="1742"/>
      <c r="B736" s="1742"/>
      <c r="C736" s="1607" t="s">
        <v>1519</v>
      </c>
      <c r="D736" s="9029"/>
      <c r="E736" s="9030"/>
      <c r="F736" s="9030"/>
      <c r="G736" s="9000"/>
      <c r="H736" s="8229"/>
      <c r="I736" s="8230" t="s">
        <v>1518</v>
      </c>
      <c r="J736" s="8231"/>
      <c r="K736" s="8232"/>
      <c r="L736" s="8233"/>
      <c r="M736" s="1794"/>
      <c r="N736" s="537"/>
      <c r="O736" s="1544"/>
      <c r="P736" s="1544"/>
    </row>
    <row r="737" spans="1:16" s="1555" customFormat="1" ht="18.75" customHeight="1">
      <c r="A737" s="1742" t="s">
        <v>310</v>
      </c>
      <c r="B737" s="1742" t="s">
        <v>559</v>
      </c>
      <c r="C737" s="1607"/>
      <c r="D737" s="9029"/>
      <c r="E737" s="9030"/>
      <c r="F737" s="9030"/>
      <c r="G737" s="9000" t="str">
        <f>INDEX(PT_DIFFERENTIATION_NTAR,MATCH(B737,PT_DIFFERENTIATION_NTAR_ID,0))</f>
        <v>Подвоз воды потребителям поселка Рогового</v>
      </c>
      <c r="H737" s="1809"/>
      <c r="I737" s="1658">
        <v>45292</v>
      </c>
      <c r="J737" s="1693">
        <v>45657</v>
      </c>
      <c r="K737" s="1698">
        <v>0</v>
      </c>
      <c r="L737" s="1809" t="s">
        <v>769</v>
      </c>
      <c r="M737" s="1794"/>
      <c r="N737" s="537"/>
      <c r="O737" s="1544"/>
      <c r="P737" s="1544"/>
    </row>
    <row r="738" spans="1:16" s="1555" customFormat="1" ht="18.75" customHeight="1">
      <c r="A738" s="1742"/>
      <c r="B738" s="1742"/>
      <c r="C738" s="1607" t="s">
        <v>1519</v>
      </c>
      <c r="D738" s="9029"/>
      <c r="E738" s="9030"/>
      <c r="F738" s="9030"/>
      <c r="G738" s="9000"/>
      <c r="H738" s="8234"/>
      <c r="I738" s="8235" t="s">
        <v>1518</v>
      </c>
      <c r="J738" s="8236"/>
      <c r="K738" s="8237"/>
      <c r="L738" s="8238"/>
      <c r="M738" s="1794"/>
      <c r="N738" s="537"/>
      <c r="O738" s="1544"/>
      <c r="P738" s="1544"/>
    </row>
    <row r="739" spans="1:16" s="1555" customFormat="1" ht="18.75" customHeight="1">
      <c r="A739" s="1742" t="s">
        <v>310</v>
      </c>
      <c r="B739" s="1742" t="s">
        <v>565</v>
      </c>
      <c r="C739" s="1607"/>
      <c r="D739" s="9029"/>
      <c r="E739" s="9030"/>
      <c r="F739" s="9030"/>
      <c r="G739" s="9000" t="str">
        <f>INDEX(PT_DIFFERENTIATION_NTAR,MATCH(B739,PT_DIFFERENTIATION_NTAR_ID,0))</f>
        <v>Подвоз воды потребителям поселка Приэтокского</v>
      </c>
      <c r="H739" s="1809"/>
      <c r="I739" s="1658">
        <v>45292</v>
      </c>
      <c r="J739" s="1693">
        <v>45657</v>
      </c>
      <c r="K739" s="1698">
        <v>0</v>
      </c>
      <c r="L739" s="1809" t="s">
        <v>769</v>
      </c>
      <c r="M739" s="1794"/>
      <c r="N739" s="537"/>
      <c r="O739" s="1544"/>
      <c r="P739" s="1544"/>
    </row>
    <row r="740" spans="1:16" s="1555" customFormat="1" ht="18.75" customHeight="1">
      <c r="A740" s="1742"/>
      <c r="B740" s="1742"/>
      <c r="C740" s="1607" t="s">
        <v>1519</v>
      </c>
      <c r="D740" s="9029"/>
      <c r="E740" s="9030"/>
      <c r="F740" s="9030"/>
      <c r="G740" s="9000"/>
      <c r="H740" s="8239"/>
      <c r="I740" s="8240" t="s">
        <v>1518</v>
      </c>
      <c r="J740" s="8241"/>
      <c r="K740" s="8242"/>
      <c r="L740" s="8243"/>
      <c r="M740" s="1794"/>
      <c r="N740" s="537"/>
      <c r="O740" s="1544"/>
      <c r="P740" s="1544"/>
    </row>
    <row r="741" spans="1:16" s="1555" customFormat="1" ht="18.75" customHeight="1">
      <c r="A741" s="1742" t="s">
        <v>310</v>
      </c>
      <c r="B741" s="1742" t="s">
        <v>571</v>
      </c>
      <c r="C741" s="1607"/>
      <c r="D741" s="9029"/>
      <c r="E741" s="9030"/>
      <c r="F741" s="9030"/>
      <c r="G741" s="9000" t="str">
        <f>INDEX(PT_DIFFERENTIATION_NTAR,MATCH(B741,PT_DIFFERENTIATION_NTAR_ID,0))</f>
        <v>Подвоз воды потребителям поселка Ореховая Роща</v>
      </c>
      <c r="H741" s="1809"/>
      <c r="I741" s="1658">
        <v>45292</v>
      </c>
      <c r="J741" s="1693">
        <v>45657</v>
      </c>
      <c r="K741" s="1698">
        <v>0</v>
      </c>
      <c r="L741" s="1809" t="s">
        <v>769</v>
      </c>
      <c r="M741" s="1794"/>
      <c r="N741" s="537"/>
      <c r="O741" s="1544"/>
      <c r="P741" s="1544"/>
    </row>
    <row r="742" spans="1:16" s="1555" customFormat="1" ht="18.75" customHeight="1">
      <c r="A742" s="1742"/>
      <c r="B742" s="1742"/>
      <c r="C742" s="1607" t="s">
        <v>1519</v>
      </c>
      <c r="D742" s="9029"/>
      <c r="E742" s="9030"/>
      <c r="F742" s="9030"/>
      <c r="G742" s="9000"/>
      <c r="H742" s="8244"/>
      <c r="I742" s="8245" t="s">
        <v>1518</v>
      </c>
      <c r="J742" s="8246"/>
      <c r="K742" s="8247"/>
      <c r="L742" s="8248"/>
      <c r="M742" s="1794"/>
      <c r="N742" s="537"/>
      <c r="O742" s="1544"/>
      <c r="P742" s="1544"/>
    </row>
    <row r="743" spans="1:16" s="1555" customFormat="1" ht="18.75" customHeight="1">
      <c r="A743" s="1742" t="s">
        <v>310</v>
      </c>
      <c r="B743" s="1742" t="s">
        <v>577</v>
      </c>
      <c r="C743" s="1607"/>
      <c r="D743" s="9029"/>
      <c r="E743" s="9030"/>
      <c r="F743" s="9030"/>
      <c r="G743" s="9000" t="str">
        <f>INDEX(PT_DIFFERENTIATION_NTAR,MATCH(B743,PT_DIFFERENTIATION_NTAR_ID,0))</f>
        <v>Подвоз воды потребителям хутора Беляева</v>
      </c>
      <c r="H743" s="1809"/>
      <c r="I743" s="1658">
        <v>45292</v>
      </c>
      <c r="J743" s="1693">
        <v>45657</v>
      </c>
      <c r="K743" s="1698">
        <v>0</v>
      </c>
      <c r="L743" s="1809" t="s">
        <v>769</v>
      </c>
      <c r="M743" s="1794"/>
      <c r="N743" s="537"/>
      <c r="O743" s="1544"/>
      <c r="P743" s="1544"/>
    </row>
    <row r="744" spans="1:16" s="1555" customFormat="1" ht="18.75" customHeight="1">
      <c r="A744" s="1742"/>
      <c r="B744" s="1742"/>
      <c r="C744" s="1607" t="s">
        <v>1519</v>
      </c>
      <c r="D744" s="9029"/>
      <c r="E744" s="9030"/>
      <c r="F744" s="9030"/>
      <c r="G744" s="9000"/>
      <c r="H744" s="8249"/>
      <c r="I744" s="8250" t="s">
        <v>1518</v>
      </c>
      <c r="J744" s="8251"/>
      <c r="K744" s="8252"/>
      <c r="L744" s="8253"/>
      <c r="M744" s="1794"/>
      <c r="N744" s="537"/>
      <c r="O744" s="1544"/>
      <c r="P744" s="1544"/>
    </row>
    <row r="745" spans="1:16" s="1555" customFormat="1" ht="18.75" customHeight="1">
      <c r="A745" s="1742" t="s">
        <v>310</v>
      </c>
      <c r="B745" s="1742" t="s">
        <v>583</v>
      </c>
      <c r="C745" s="1607"/>
      <c r="D745" s="9029"/>
      <c r="E745" s="9030"/>
      <c r="F745" s="9030"/>
      <c r="G745" s="9000" t="str">
        <f>INDEX(PT_DIFFERENTIATION_NTAR,MATCH(B745,PT_DIFFERENTIATION_NTAR_ID,0))</f>
        <v>Подвоз воды потребителям села Найдёновка</v>
      </c>
      <c r="H745" s="1809"/>
      <c r="I745" s="1658">
        <v>45292</v>
      </c>
      <c r="J745" s="1693">
        <v>45657</v>
      </c>
      <c r="K745" s="1698">
        <v>0</v>
      </c>
      <c r="L745" s="1809" t="s">
        <v>769</v>
      </c>
      <c r="M745" s="1794"/>
      <c r="N745" s="537"/>
      <c r="O745" s="1544"/>
      <c r="P745" s="1544"/>
    </row>
    <row r="746" spans="1:16" s="1555" customFormat="1" ht="18.75" customHeight="1">
      <c r="A746" s="1742"/>
      <c r="B746" s="1742"/>
      <c r="C746" s="1607" t="s">
        <v>1519</v>
      </c>
      <c r="D746" s="9029"/>
      <c r="E746" s="9030"/>
      <c r="F746" s="9030"/>
      <c r="G746" s="9000"/>
      <c r="H746" s="8254"/>
      <c r="I746" s="8255" t="s">
        <v>1518</v>
      </c>
      <c r="J746" s="8256"/>
      <c r="K746" s="8257"/>
      <c r="L746" s="8258"/>
      <c r="M746" s="1794"/>
      <c r="N746" s="537"/>
      <c r="O746" s="1544"/>
      <c r="P746" s="1544"/>
    </row>
    <row r="747" spans="1:16" s="1555" customFormat="1" ht="18.75" customHeight="1">
      <c r="A747" s="1742" t="s">
        <v>310</v>
      </c>
      <c r="B747" s="1742" t="s">
        <v>589</v>
      </c>
      <c r="C747" s="1607"/>
      <c r="D747" s="9029"/>
      <c r="E747" s="9030"/>
      <c r="F747" s="9030"/>
      <c r="G747" s="9000" t="str">
        <f>INDEX(PT_DIFFERENTIATION_NTAR,MATCH(B747,PT_DIFFERENTIATION_NTAR_ID,0))</f>
        <v>Подвоз воды потребителям села Подлужного</v>
      </c>
      <c r="H747" s="1809"/>
      <c r="I747" s="1658">
        <v>45292</v>
      </c>
      <c r="J747" s="1693">
        <v>45657</v>
      </c>
      <c r="K747" s="1698">
        <v>0</v>
      </c>
      <c r="L747" s="1809" t="s">
        <v>769</v>
      </c>
      <c r="M747" s="1794"/>
      <c r="N747" s="537"/>
      <c r="O747" s="1544"/>
      <c r="P747" s="1544"/>
    </row>
    <row r="748" spans="1:16" s="1555" customFormat="1" ht="18.75" customHeight="1">
      <c r="A748" s="1742"/>
      <c r="B748" s="1742"/>
      <c r="C748" s="1607" t="s">
        <v>1519</v>
      </c>
      <c r="D748" s="9029"/>
      <c r="E748" s="9030"/>
      <c r="F748" s="9030"/>
      <c r="G748" s="9000"/>
      <c r="H748" s="8259"/>
      <c r="I748" s="8260" t="s">
        <v>1518</v>
      </c>
      <c r="J748" s="8261"/>
      <c r="K748" s="8262"/>
      <c r="L748" s="8263"/>
      <c r="M748" s="1794"/>
      <c r="N748" s="537"/>
      <c r="O748" s="1544"/>
      <c r="P748" s="1544"/>
    </row>
    <row r="749" spans="1:16" s="1555" customFormat="1" ht="18.75" customHeight="1">
      <c r="A749" s="1742" t="s">
        <v>310</v>
      </c>
      <c r="B749" s="1742" t="s">
        <v>595</v>
      </c>
      <c r="C749" s="1607"/>
      <c r="D749" s="9029"/>
      <c r="E749" s="9030"/>
      <c r="F749" s="9030"/>
      <c r="G749" s="9000" t="str">
        <f>INDEX(PT_DIFFERENTIATION_NTAR,MATCH(B749,PT_DIFFERENTIATION_NTAR_ID,0))</f>
        <v>Подвоз воды потребителям хутора Красная Балка</v>
      </c>
      <c r="H749" s="1809"/>
      <c r="I749" s="1658">
        <v>45292</v>
      </c>
      <c r="J749" s="1693">
        <v>45657</v>
      </c>
      <c r="K749" s="1698">
        <v>0</v>
      </c>
      <c r="L749" s="1809" t="s">
        <v>769</v>
      </c>
      <c r="M749" s="1794"/>
      <c r="N749" s="537"/>
      <c r="O749" s="1544"/>
      <c r="P749" s="1544"/>
    </row>
    <row r="750" spans="1:16" s="1555" customFormat="1" ht="18.75" customHeight="1">
      <c r="A750" s="1742"/>
      <c r="B750" s="1742"/>
      <c r="C750" s="1607" t="s">
        <v>1519</v>
      </c>
      <c r="D750" s="9029"/>
      <c r="E750" s="9030"/>
      <c r="F750" s="9030"/>
      <c r="G750" s="9000"/>
      <c r="H750" s="8264"/>
      <c r="I750" s="8265" t="s">
        <v>1518</v>
      </c>
      <c r="J750" s="8266"/>
      <c r="K750" s="8267"/>
      <c r="L750" s="8268"/>
      <c r="M750" s="1794"/>
      <c r="N750" s="537"/>
      <c r="O750" s="1544"/>
      <c r="P750" s="1544"/>
    </row>
    <row r="751" spans="1:16" s="1555" customFormat="1" ht="18.75" customHeight="1">
      <c r="A751" s="1742" t="s">
        <v>310</v>
      </c>
      <c r="B751" s="1742" t="s">
        <v>601</v>
      </c>
      <c r="C751" s="1607"/>
      <c r="D751" s="9029"/>
      <c r="E751" s="9030"/>
      <c r="F751" s="9030"/>
      <c r="G751" s="9000" t="str">
        <f>INDEX(PT_DIFFERENTIATION_NTAR,MATCH(B751,PT_DIFFERENTIATION_NTAR_ID,0))</f>
        <v>Подвоз воды потребителям хутора Козлова</v>
      </c>
      <c r="H751" s="1809"/>
      <c r="I751" s="1658">
        <v>45292</v>
      </c>
      <c r="J751" s="1693">
        <v>45657</v>
      </c>
      <c r="K751" s="1698">
        <v>0</v>
      </c>
      <c r="L751" s="1809" t="s">
        <v>769</v>
      </c>
      <c r="M751" s="1794"/>
      <c r="N751" s="537"/>
      <c r="O751" s="1544"/>
      <c r="P751" s="1544"/>
    </row>
    <row r="752" spans="1:16" s="1555" customFormat="1" ht="18.75" customHeight="1">
      <c r="A752" s="1742"/>
      <c r="B752" s="1742"/>
      <c r="C752" s="1607" t="s">
        <v>1519</v>
      </c>
      <c r="D752" s="9029"/>
      <c r="E752" s="9030"/>
      <c r="F752" s="9030"/>
      <c r="G752" s="9000"/>
      <c r="H752" s="8269"/>
      <c r="I752" s="8270" t="s">
        <v>1518</v>
      </c>
      <c r="J752" s="8271"/>
      <c r="K752" s="8272"/>
      <c r="L752" s="8273"/>
      <c r="M752" s="1794"/>
      <c r="N752" s="537"/>
      <c r="O752" s="1544"/>
      <c r="P752" s="1544"/>
    </row>
    <row r="753" spans="1:16" s="1555" customFormat="1" ht="18.75" customHeight="1">
      <c r="A753" s="1742" t="s">
        <v>310</v>
      </c>
      <c r="B753" s="1742" t="s">
        <v>607</v>
      </c>
      <c r="C753" s="1607"/>
      <c r="D753" s="9029"/>
      <c r="E753" s="9030"/>
      <c r="F753" s="9030"/>
      <c r="G753" s="9000" t="str">
        <f>INDEX(PT_DIFFERENTIATION_NTAR,MATCH(B753,PT_DIFFERENTIATION_NTAR_ID,0))</f>
        <v>Подвоз воды потребителям села Тищенского</v>
      </c>
      <c r="H753" s="1809"/>
      <c r="I753" s="1658">
        <v>45292</v>
      </c>
      <c r="J753" s="1693">
        <v>45657</v>
      </c>
      <c r="K753" s="1698">
        <v>0</v>
      </c>
      <c r="L753" s="1809" t="s">
        <v>769</v>
      </c>
      <c r="M753" s="1794"/>
      <c r="N753" s="537"/>
      <c r="O753" s="1544"/>
      <c r="P753" s="1544"/>
    </row>
    <row r="754" spans="1:16" s="1555" customFormat="1" ht="18.75" customHeight="1">
      <c r="A754" s="1742"/>
      <c r="B754" s="1742"/>
      <c r="C754" s="1607" t="s">
        <v>1519</v>
      </c>
      <c r="D754" s="9029"/>
      <c r="E754" s="9030"/>
      <c r="F754" s="9030"/>
      <c r="G754" s="9000"/>
      <c r="H754" s="8274"/>
      <c r="I754" s="8275" t="s">
        <v>1518</v>
      </c>
      <c r="J754" s="8276"/>
      <c r="K754" s="8277"/>
      <c r="L754" s="8278"/>
      <c r="M754" s="1794"/>
      <c r="N754" s="537"/>
      <c r="O754" s="1544"/>
      <c r="P754" s="1544"/>
    </row>
    <row r="755" spans="1:16" s="1555" customFormat="1" ht="18.75" customHeight="1">
      <c r="A755" s="1742" t="s">
        <v>310</v>
      </c>
      <c r="B755" s="1742" t="s">
        <v>613</v>
      </c>
      <c r="C755" s="1607"/>
      <c r="D755" s="9029"/>
      <c r="E755" s="9030"/>
      <c r="F755" s="9030"/>
      <c r="G755" s="9000" t="str">
        <f>INDEX(PT_DIFFERENTIATION_NTAR,MATCH(B755,PT_DIFFERENTIATION_NTAR_ID,0))</f>
        <v>Подвоз воды потребителям хутора Вавилон</v>
      </c>
      <c r="H755" s="1809"/>
      <c r="I755" s="1658">
        <v>45292</v>
      </c>
      <c r="J755" s="1693">
        <v>45657</v>
      </c>
      <c r="K755" s="1698">
        <v>0</v>
      </c>
      <c r="L755" s="1809" t="s">
        <v>769</v>
      </c>
      <c r="M755" s="1794"/>
      <c r="N755" s="537"/>
      <c r="O755" s="1544"/>
      <c r="P755" s="1544"/>
    </row>
    <row r="756" spans="1:16" s="1555" customFormat="1" ht="18.75" customHeight="1">
      <c r="A756" s="1742"/>
      <c r="B756" s="1742"/>
      <c r="C756" s="1607" t="s">
        <v>1519</v>
      </c>
      <c r="D756" s="9029"/>
      <c r="E756" s="9030"/>
      <c r="F756" s="9030"/>
      <c r="G756" s="9000"/>
      <c r="H756" s="8279"/>
      <c r="I756" s="8280" t="s">
        <v>1518</v>
      </c>
      <c r="J756" s="8281"/>
      <c r="K756" s="8282"/>
      <c r="L756" s="8283"/>
      <c r="M756" s="1794"/>
      <c r="N756" s="537"/>
      <c r="O756" s="1544"/>
      <c r="P756" s="1544"/>
    </row>
    <row r="757" spans="1:16" s="1555" customFormat="1" ht="18.75" customHeight="1">
      <c r="A757" s="1742" t="s">
        <v>310</v>
      </c>
      <c r="B757" s="1742" t="s">
        <v>619</v>
      </c>
      <c r="C757" s="1607"/>
      <c r="D757" s="9029"/>
      <c r="E757" s="9030"/>
      <c r="F757" s="9030"/>
      <c r="G757" s="9000" t="str">
        <f>INDEX(PT_DIFFERENTIATION_NTAR,MATCH(B757,PT_DIFFERENTIATION_NTAR_ID,0))</f>
        <v>Подвоз воды потребителям хутора Липчанского</v>
      </c>
      <c r="H757" s="1809"/>
      <c r="I757" s="1658">
        <v>45292</v>
      </c>
      <c r="J757" s="1693">
        <v>45657</v>
      </c>
      <c r="K757" s="1698">
        <v>0</v>
      </c>
      <c r="L757" s="1809" t="s">
        <v>769</v>
      </c>
      <c r="M757" s="1794"/>
      <c r="N757" s="537"/>
      <c r="O757" s="1544"/>
      <c r="P757" s="1544"/>
    </row>
    <row r="758" spans="1:16" s="1555" customFormat="1" ht="18.75" customHeight="1">
      <c r="A758" s="1742"/>
      <c r="B758" s="1742"/>
      <c r="C758" s="1607" t="s">
        <v>1519</v>
      </c>
      <c r="D758" s="9029"/>
      <c r="E758" s="9030"/>
      <c r="F758" s="9030"/>
      <c r="G758" s="9000"/>
      <c r="H758" s="8284"/>
      <c r="I758" s="8285" t="s">
        <v>1518</v>
      </c>
      <c r="J758" s="8286"/>
      <c r="K758" s="8287"/>
      <c r="L758" s="8288"/>
      <c r="M758" s="1794"/>
      <c r="N758" s="537"/>
      <c r="O758" s="1544"/>
      <c r="P758" s="1544"/>
    </row>
    <row r="759" spans="1:16" s="1555" customFormat="1" ht="18.75" customHeight="1">
      <c r="A759" s="1742" t="s">
        <v>310</v>
      </c>
      <c r="B759" s="1742" t="s">
        <v>625</v>
      </c>
      <c r="C759" s="1607"/>
      <c r="D759" s="9029"/>
      <c r="E759" s="9030"/>
      <c r="F759" s="9030"/>
      <c r="G759" s="9000" t="str">
        <f>INDEX(PT_DIFFERENTIATION_NTAR,MATCH(B759,PT_DIFFERENTIATION_NTAR_ID,0))</f>
        <v>Подвоз воды потребителям поселка Высокогорного</v>
      </c>
      <c r="H759" s="1809"/>
      <c r="I759" s="1658">
        <v>45292</v>
      </c>
      <c r="J759" s="1693">
        <v>45657</v>
      </c>
      <c r="K759" s="1698">
        <v>0</v>
      </c>
      <c r="L759" s="1809" t="s">
        <v>769</v>
      </c>
      <c r="M759" s="1794"/>
      <c r="N759" s="537"/>
      <c r="O759" s="1544"/>
      <c r="P759" s="1544"/>
    </row>
    <row r="760" spans="1:16" s="1555" customFormat="1" ht="18.75" customHeight="1">
      <c r="A760" s="1742"/>
      <c r="B760" s="1742"/>
      <c r="C760" s="1607" t="s">
        <v>1519</v>
      </c>
      <c r="D760" s="9029"/>
      <c r="E760" s="9030"/>
      <c r="F760" s="9030"/>
      <c r="G760" s="9000"/>
      <c r="H760" s="8289"/>
      <c r="I760" s="8290" t="s">
        <v>1518</v>
      </c>
      <c r="J760" s="8291"/>
      <c r="K760" s="8292"/>
      <c r="L760" s="8293"/>
      <c r="M760" s="1794"/>
      <c r="N760" s="537"/>
      <c r="O760" s="1544"/>
      <c r="P760" s="1544"/>
    </row>
    <row r="761" spans="1:16" s="1555" customFormat="1" ht="18.75" customHeight="1">
      <c r="A761" s="1742" t="s">
        <v>310</v>
      </c>
      <c r="B761" s="1742" t="s">
        <v>631</v>
      </c>
      <c r="C761" s="1607"/>
      <c r="D761" s="9029"/>
      <c r="E761" s="9030"/>
      <c r="F761" s="9030"/>
      <c r="G761" s="9000" t="str">
        <f>INDEX(PT_DIFFERENTIATION_NTAR,MATCH(B761,PT_DIFFERENTIATION_NTAR_ID,0))</f>
        <v>Подвоз воды потребителям поселка Левоберезовского</v>
      </c>
      <c r="H761" s="1809"/>
      <c r="I761" s="1658">
        <v>45292</v>
      </c>
      <c r="J761" s="1693">
        <v>45657</v>
      </c>
      <c r="K761" s="1698">
        <v>0</v>
      </c>
      <c r="L761" s="1809" t="s">
        <v>769</v>
      </c>
      <c r="M761" s="1794"/>
      <c r="N761" s="537"/>
      <c r="O761" s="1544"/>
      <c r="P761" s="1544"/>
    </row>
    <row r="762" spans="1:16" s="1555" customFormat="1" ht="18.75" customHeight="1">
      <c r="A762" s="1742"/>
      <c r="B762" s="1742"/>
      <c r="C762" s="1607" t="s">
        <v>1519</v>
      </c>
      <c r="D762" s="9029"/>
      <c r="E762" s="9030"/>
      <c r="F762" s="9030"/>
      <c r="G762" s="9000"/>
      <c r="H762" s="8294"/>
      <c r="I762" s="8295" t="s">
        <v>1518</v>
      </c>
      <c r="J762" s="8296"/>
      <c r="K762" s="8297"/>
      <c r="L762" s="8298"/>
      <c r="M762" s="1794"/>
      <c r="N762" s="537"/>
      <c r="O762" s="1544"/>
      <c r="P762" s="1544"/>
    </row>
    <row r="763" spans="1:16" s="1555" customFormat="1" ht="18.75" customHeight="1">
      <c r="A763" s="1742" t="s">
        <v>310</v>
      </c>
      <c r="B763" s="1742" t="s">
        <v>637</v>
      </c>
      <c r="C763" s="1607"/>
      <c r="D763" s="9029"/>
      <c r="E763" s="9030"/>
      <c r="F763" s="9030"/>
      <c r="G763" s="9000" t="str">
        <f>INDEX(PT_DIFFERENTIATION_NTAR,MATCH(B763,PT_DIFFERENTIATION_NTAR_ID,0))</f>
        <v>Подвоз воды потребителям поселка Правоберезовского</v>
      </c>
      <c r="H763" s="1809"/>
      <c r="I763" s="1658">
        <v>45292</v>
      </c>
      <c r="J763" s="1693">
        <v>45657</v>
      </c>
      <c r="K763" s="1698">
        <v>0</v>
      </c>
      <c r="L763" s="1809" t="s">
        <v>769</v>
      </c>
      <c r="M763" s="1794"/>
      <c r="N763" s="537"/>
      <c r="O763" s="1544"/>
      <c r="P763" s="1544"/>
    </row>
    <row r="764" spans="1:16" s="1555" customFormat="1" ht="18.75" customHeight="1">
      <c r="A764" s="1742"/>
      <c r="B764" s="1742"/>
      <c r="C764" s="1607" t="s">
        <v>1519</v>
      </c>
      <c r="D764" s="9029"/>
      <c r="E764" s="9030"/>
      <c r="F764" s="9030"/>
      <c r="G764" s="9000"/>
      <c r="H764" s="8299"/>
      <c r="I764" s="8300" t="s">
        <v>1518</v>
      </c>
      <c r="J764" s="8301"/>
      <c r="K764" s="8302"/>
      <c r="L764" s="8303"/>
      <c r="M764" s="1794"/>
      <c r="N764" s="537"/>
      <c r="O764" s="1544"/>
      <c r="P764" s="1544"/>
    </row>
    <row r="765" spans="1:16" s="1555" customFormat="1" ht="18.75" customHeight="1">
      <c r="A765" s="1742" t="s">
        <v>310</v>
      </c>
      <c r="B765" s="1742" t="s">
        <v>643</v>
      </c>
      <c r="C765" s="1607"/>
      <c r="D765" s="9029"/>
      <c r="E765" s="9030"/>
      <c r="F765" s="9030"/>
      <c r="G765" s="9000" t="str">
        <f>INDEX(PT_DIFFERENTIATION_NTAR,MATCH(B765,PT_DIFFERENTIATION_NTAR_ID,0))</f>
        <v>Подвоз воды потребителям аула Бакрес</v>
      </c>
      <c r="H765" s="1809"/>
      <c r="I765" s="1658">
        <v>45292</v>
      </c>
      <c r="J765" s="1693">
        <v>45657</v>
      </c>
      <c r="K765" s="1698">
        <v>0</v>
      </c>
      <c r="L765" s="1809" t="s">
        <v>769</v>
      </c>
      <c r="M765" s="1794"/>
      <c r="N765" s="537"/>
      <c r="O765" s="1544"/>
      <c r="P765" s="1544"/>
    </row>
    <row r="766" spans="1:16" s="1555" customFormat="1" ht="18.75" customHeight="1">
      <c r="A766" s="1742"/>
      <c r="B766" s="1742"/>
      <c r="C766" s="1607" t="s">
        <v>1519</v>
      </c>
      <c r="D766" s="9029"/>
      <c r="E766" s="9030"/>
      <c r="F766" s="9030"/>
      <c r="G766" s="9000"/>
      <c r="H766" s="8304"/>
      <c r="I766" s="8305" t="s">
        <v>1518</v>
      </c>
      <c r="J766" s="8306"/>
      <c r="K766" s="8307"/>
      <c r="L766" s="8308"/>
      <c r="M766" s="1794"/>
      <c r="N766" s="537"/>
      <c r="O766" s="1544"/>
      <c r="P766" s="1544"/>
    </row>
    <row r="767" spans="1:16" s="1555" customFormat="1" ht="18.75" customHeight="1">
      <c r="A767" s="1742" t="s">
        <v>310</v>
      </c>
      <c r="B767" s="1742" t="s">
        <v>649</v>
      </c>
      <c r="C767" s="1607"/>
      <c r="D767" s="9029"/>
      <c r="E767" s="9030"/>
      <c r="F767" s="9030"/>
      <c r="G767" s="9000" t="str">
        <f>INDEX(PT_DIFFERENTIATION_NTAR,MATCH(B767,PT_DIFFERENTIATION_NTAR_ID,0))</f>
        <v>Подвоз воды потребителям аула Уллуби-Юрт</v>
      </c>
      <c r="H767" s="1809"/>
      <c r="I767" s="1658">
        <v>45292</v>
      </c>
      <c r="J767" s="1693">
        <v>45657</v>
      </c>
      <c r="K767" s="1698">
        <v>0</v>
      </c>
      <c r="L767" s="1809" t="s">
        <v>769</v>
      </c>
      <c r="M767" s="1794"/>
      <c r="N767" s="537"/>
      <c r="O767" s="1544"/>
      <c r="P767" s="1544"/>
    </row>
    <row r="768" spans="1:16" s="1555" customFormat="1" ht="18.75" customHeight="1">
      <c r="A768" s="1742"/>
      <c r="B768" s="1742"/>
      <c r="C768" s="1607" t="s">
        <v>1519</v>
      </c>
      <c r="D768" s="9029"/>
      <c r="E768" s="9030"/>
      <c r="F768" s="9030"/>
      <c r="G768" s="9000"/>
      <c r="H768" s="8309"/>
      <c r="I768" s="8310" t="s">
        <v>1518</v>
      </c>
      <c r="J768" s="8311"/>
      <c r="K768" s="8312"/>
      <c r="L768" s="8313"/>
      <c r="M768" s="1794"/>
      <c r="N768" s="537"/>
      <c r="O768" s="1544"/>
      <c r="P768" s="1544"/>
    </row>
    <row r="769" spans="1:16" s="1555" customFormat="1" ht="18.75" customHeight="1">
      <c r="A769" s="1742" t="s">
        <v>310</v>
      </c>
      <c r="B769" s="1742" t="s">
        <v>655</v>
      </c>
      <c r="C769" s="1607"/>
      <c r="D769" s="9029"/>
      <c r="E769" s="9030"/>
      <c r="F769" s="9030"/>
      <c r="G769" s="9000" t="str">
        <f>INDEX(PT_DIFFERENTIATION_NTAR,MATCH(B769,PT_DIFFERENTIATION_NTAR_ID,0))</f>
        <v>Подвоз воды потребителям аула Махач-Аул</v>
      </c>
      <c r="H769" s="1809"/>
      <c r="I769" s="1658">
        <v>45292</v>
      </c>
      <c r="J769" s="1693">
        <v>45657</v>
      </c>
      <c r="K769" s="1698">
        <v>0</v>
      </c>
      <c r="L769" s="1809" t="s">
        <v>769</v>
      </c>
      <c r="M769" s="1794"/>
      <c r="N769" s="537"/>
      <c r="O769" s="1544"/>
      <c r="P769" s="1544"/>
    </row>
    <row r="770" spans="1:16" s="1555" customFormat="1" ht="18.75" customHeight="1">
      <c r="A770" s="1742"/>
      <c r="B770" s="1742"/>
      <c r="C770" s="1607" t="s">
        <v>1519</v>
      </c>
      <c r="D770" s="9029"/>
      <c r="E770" s="9030"/>
      <c r="F770" s="9030"/>
      <c r="G770" s="9000"/>
      <c r="H770" s="8314"/>
      <c r="I770" s="8315" t="s">
        <v>1518</v>
      </c>
      <c r="J770" s="8316"/>
      <c r="K770" s="8317"/>
      <c r="L770" s="8318"/>
      <c r="M770" s="1794"/>
      <c r="N770" s="537"/>
      <c r="O770" s="1544"/>
      <c r="P770" s="1544"/>
    </row>
    <row r="771" spans="1:16" s="1555" customFormat="1" ht="18.75" customHeight="1">
      <c r="A771" s="1742" t="s">
        <v>310</v>
      </c>
      <c r="B771" s="1742" t="s">
        <v>661</v>
      </c>
      <c r="C771" s="1607"/>
      <c r="D771" s="9029"/>
      <c r="E771" s="9030"/>
      <c r="F771" s="9030"/>
      <c r="G771" s="9000" t="str">
        <f>INDEX(PT_DIFFERENTIATION_NTAR,MATCH(B771,PT_DIFFERENTIATION_NTAR_ID,0))</f>
        <v>Подвоз воды потребителям аула Уч-Тюбе</v>
      </c>
      <c r="H771" s="1809"/>
      <c r="I771" s="1658">
        <v>45292</v>
      </c>
      <c r="J771" s="1693">
        <v>45657</v>
      </c>
      <c r="K771" s="1698">
        <v>0</v>
      </c>
      <c r="L771" s="1809" t="s">
        <v>769</v>
      </c>
      <c r="M771" s="1794"/>
      <c r="N771" s="537"/>
      <c r="O771" s="1544"/>
      <c r="P771" s="1544"/>
    </row>
    <row r="772" spans="1:16" s="1555" customFormat="1" ht="18.75" customHeight="1">
      <c r="A772" s="1742"/>
      <c r="B772" s="1742"/>
      <c r="C772" s="1607" t="s">
        <v>1519</v>
      </c>
      <c r="D772" s="9029"/>
      <c r="E772" s="9030"/>
      <c r="F772" s="9030"/>
      <c r="G772" s="9000"/>
      <c r="H772" s="8319"/>
      <c r="I772" s="8320" t="s">
        <v>1518</v>
      </c>
      <c r="J772" s="8321"/>
      <c r="K772" s="8322"/>
      <c r="L772" s="8323"/>
      <c r="M772" s="1794"/>
      <c r="N772" s="537"/>
      <c r="O772" s="1544"/>
      <c r="P772" s="1544"/>
    </row>
    <row r="773" spans="1:16" s="1555" customFormat="1" ht="18.75" customHeight="1">
      <c r="A773" s="1742" t="s">
        <v>310</v>
      </c>
      <c r="B773" s="1742" t="s">
        <v>666</v>
      </c>
      <c r="C773" s="1607"/>
      <c r="D773" s="9029"/>
      <c r="E773" s="9030"/>
      <c r="F773" s="9030"/>
      <c r="G773" s="9000" t="str">
        <f>INDEX(PT_DIFFERENTIATION_NTAR,MATCH(B773,PT_DIFFERENTIATION_NTAR_ID,0))</f>
        <v>Подвоз воды потребителям аула Кунай</v>
      </c>
      <c r="H773" s="1809"/>
      <c r="I773" s="1658">
        <v>45292</v>
      </c>
      <c r="J773" s="1693">
        <v>45657</v>
      </c>
      <c r="K773" s="1698">
        <v>0</v>
      </c>
      <c r="L773" s="1809" t="s">
        <v>769</v>
      </c>
      <c r="M773" s="1794"/>
      <c r="N773" s="537"/>
      <c r="O773" s="1544"/>
      <c r="P773" s="1544"/>
    </row>
    <row r="774" spans="1:16" s="1555" customFormat="1" ht="18.75" customHeight="1">
      <c r="A774" s="1742"/>
      <c r="B774" s="1742"/>
      <c r="C774" s="1607" t="s">
        <v>1519</v>
      </c>
      <c r="D774" s="9029"/>
      <c r="E774" s="9030"/>
      <c r="F774" s="9030"/>
      <c r="G774" s="9000"/>
      <c r="H774" s="8324"/>
      <c r="I774" s="8325" t="s">
        <v>1518</v>
      </c>
      <c r="J774" s="8326"/>
      <c r="K774" s="8327"/>
      <c r="L774" s="8328"/>
      <c r="M774" s="1794"/>
      <c r="N774" s="537"/>
      <c r="O774" s="1544"/>
      <c r="P774" s="1544"/>
    </row>
    <row r="775" spans="1:16" s="1555" customFormat="1" ht="18.75" customHeight="1">
      <c r="A775" s="1742" t="s">
        <v>310</v>
      </c>
      <c r="B775" s="1742" t="s">
        <v>672</v>
      </c>
      <c r="C775" s="1607"/>
      <c r="D775" s="9029"/>
      <c r="E775" s="9030"/>
      <c r="F775" s="9030"/>
      <c r="G775" s="9000" t="str">
        <f>INDEX(PT_DIFFERENTIATION_NTAR,MATCH(B775,PT_DIFFERENTIATION_NTAR_ID,0))</f>
        <v>Подвоз воды потребителям аула Артезиан-Мангит</v>
      </c>
      <c r="H775" s="1809"/>
      <c r="I775" s="1658">
        <v>45292</v>
      </c>
      <c r="J775" s="1693">
        <v>45657</v>
      </c>
      <c r="K775" s="1698">
        <v>0</v>
      </c>
      <c r="L775" s="1809" t="s">
        <v>769</v>
      </c>
      <c r="M775" s="1794"/>
      <c r="N775" s="537"/>
      <c r="O775" s="1544"/>
      <c r="P775" s="1544"/>
    </row>
    <row r="776" spans="1:16" s="1555" customFormat="1" ht="18.75" customHeight="1">
      <c r="A776" s="1742"/>
      <c r="B776" s="1742"/>
      <c r="C776" s="1607" t="s">
        <v>1519</v>
      </c>
      <c r="D776" s="9029"/>
      <c r="E776" s="9030"/>
      <c r="F776" s="9030"/>
      <c r="G776" s="9000"/>
      <c r="H776" s="8329"/>
      <c r="I776" s="8330" t="s">
        <v>1518</v>
      </c>
      <c r="J776" s="8331"/>
      <c r="K776" s="8332"/>
      <c r="L776" s="8333"/>
      <c r="M776" s="1794"/>
      <c r="N776" s="537"/>
      <c r="O776" s="1544"/>
      <c r="P776" s="1544"/>
    </row>
    <row r="777" spans="1:16" s="1555" customFormat="1" ht="18.75" customHeight="1">
      <c r="A777" s="1742" t="s">
        <v>310</v>
      </c>
      <c r="B777" s="1742" t="s">
        <v>678</v>
      </c>
      <c r="C777" s="1607"/>
      <c r="D777" s="9029"/>
      <c r="E777" s="9030"/>
      <c r="F777" s="9030"/>
      <c r="G777" s="9000" t="str">
        <f>INDEX(PT_DIFFERENTIATION_NTAR,MATCH(B777,PT_DIFFERENTIATION_NTAR_ID,0))</f>
        <v>Подвоз воды потребителям аула Кок-Бас</v>
      </c>
      <c r="H777" s="1809"/>
      <c r="I777" s="1658">
        <v>45292</v>
      </c>
      <c r="J777" s="1693">
        <v>45657</v>
      </c>
      <c r="K777" s="1698">
        <v>0</v>
      </c>
      <c r="L777" s="1809" t="s">
        <v>769</v>
      </c>
      <c r="M777" s="1794"/>
      <c r="N777" s="537"/>
      <c r="O777" s="1544"/>
      <c r="P777" s="1544"/>
    </row>
    <row r="778" spans="1:16" s="1555" customFormat="1" ht="18.75" customHeight="1">
      <c r="A778" s="1742"/>
      <c r="B778" s="1742"/>
      <c r="C778" s="1607" t="s">
        <v>1519</v>
      </c>
      <c r="D778" s="9029"/>
      <c r="E778" s="9030"/>
      <c r="F778" s="9030"/>
      <c r="G778" s="9000"/>
      <c r="H778" s="8334"/>
      <c r="I778" s="8335" t="s">
        <v>1518</v>
      </c>
      <c r="J778" s="8336"/>
      <c r="K778" s="8337"/>
      <c r="L778" s="8338"/>
      <c r="M778" s="1794"/>
      <c r="N778" s="537"/>
      <c r="O778" s="1544"/>
      <c r="P778" s="1544"/>
    </row>
    <row r="779" spans="1:16" s="1555" customFormat="1" ht="18.75" customHeight="1">
      <c r="A779" s="1742" t="s">
        <v>310</v>
      </c>
      <c r="B779" s="1742" t="s">
        <v>684</v>
      </c>
      <c r="C779" s="1607"/>
      <c r="D779" s="9029"/>
      <c r="E779" s="9030"/>
      <c r="F779" s="9030"/>
      <c r="G779" s="9000" t="str">
        <f>INDEX(PT_DIFFERENTIATION_NTAR,MATCH(B779,PT_DIFFERENTIATION_NTAR_ID,0))</f>
        <v>Подвоз воды потребителям села Ачикулак</v>
      </c>
      <c r="H779" s="1809"/>
      <c r="I779" s="1658">
        <v>45292</v>
      </c>
      <c r="J779" s="1693">
        <v>45657</v>
      </c>
      <c r="K779" s="1698">
        <v>0</v>
      </c>
      <c r="L779" s="1809" t="s">
        <v>769</v>
      </c>
      <c r="M779" s="1794"/>
      <c r="N779" s="537"/>
      <c r="O779" s="1544"/>
      <c r="P779" s="1544"/>
    </row>
    <row r="780" spans="1:16" s="1555" customFormat="1" ht="18.75" customHeight="1">
      <c r="A780" s="1742"/>
      <c r="B780" s="1742"/>
      <c r="C780" s="1607" t="s">
        <v>1519</v>
      </c>
      <c r="D780" s="9029"/>
      <c r="E780" s="9030"/>
      <c r="F780" s="9030"/>
      <c r="G780" s="9000"/>
      <c r="H780" s="8339"/>
      <c r="I780" s="8340" t="s">
        <v>1518</v>
      </c>
      <c r="J780" s="8341"/>
      <c r="K780" s="8342"/>
      <c r="L780" s="8343"/>
      <c r="M780" s="1794"/>
      <c r="N780" s="537"/>
      <c r="O780" s="1544"/>
      <c r="P780" s="1544"/>
    </row>
    <row r="781" spans="1:16" s="1555" customFormat="1" ht="18.75" customHeight="1">
      <c r="A781" s="1742" t="s">
        <v>310</v>
      </c>
      <c r="B781" s="1742" t="s">
        <v>690</v>
      </c>
      <c r="C781" s="1607"/>
      <c r="D781" s="9029"/>
      <c r="E781" s="9030"/>
      <c r="F781" s="9030"/>
      <c r="G781" s="9000" t="str">
        <f>INDEX(PT_DIFFERENTIATION_NTAR,MATCH(B781,PT_DIFFERENTIATION_NTAR_ID,0))</f>
        <v>Подвоз воды потребителям хутора Ганькин</v>
      </c>
      <c r="H781" s="1809"/>
      <c r="I781" s="1658">
        <v>45292</v>
      </c>
      <c r="J781" s="1693">
        <v>45657</v>
      </c>
      <c r="K781" s="1698">
        <v>0</v>
      </c>
      <c r="L781" s="1809" t="s">
        <v>769</v>
      </c>
      <c r="M781" s="1794"/>
      <c r="N781" s="537"/>
      <c r="O781" s="1544"/>
      <c r="P781" s="1544"/>
    </row>
    <row r="782" spans="1:16" s="1555" customFormat="1" ht="18.75" customHeight="1">
      <c r="A782" s="1742"/>
      <c r="B782" s="1742"/>
      <c r="C782" s="1607" t="s">
        <v>1519</v>
      </c>
      <c r="D782" s="9029"/>
      <c r="E782" s="9030"/>
      <c r="F782" s="9030"/>
      <c r="G782" s="9000"/>
      <c r="H782" s="8344"/>
      <c r="I782" s="8345" t="s">
        <v>1518</v>
      </c>
      <c r="J782" s="8346"/>
      <c r="K782" s="8347"/>
      <c r="L782" s="8348"/>
      <c r="M782" s="1794"/>
      <c r="N782" s="537"/>
      <c r="O782" s="1544"/>
      <c r="P782" s="1544"/>
    </row>
    <row r="783" spans="1:16" s="1555" customFormat="1" ht="18.75" customHeight="1">
      <c r="A783" s="1742" t="s">
        <v>310</v>
      </c>
      <c r="B783" s="1742" t="s">
        <v>696</v>
      </c>
      <c r="C783" s="1607"/>
      <c r="D783" s="9029"/>
      <c r="E783" s="9030"/>
      <c r="F783" s="9030"/>
      <c r="G783" s="9000" t="str">
        <f>INDEX(PT_DIFFERENTIATION_NTAR,MATCH(B783,PT_DIFFERENTIATION_NTAR_ID,0))</f>
        <v>Подвоз воды потребителям хутора Сычёвского</v>
      </c>
      <c r="H783" s="1809"/>
      <c r="I783" s="1658">
        <v>45292</v>
      </c>
      <c r="J783" s="1693">
        <v>45657</v>
      </c>
      <c r="K783" s="1698">
        <v>0</v>
      </c>
      <c r="L783" s="1809" t="s">
        <v>769</v>
      </c>
      <c r="M783" s="1794"/>
      <c r="N783" s="537"/>
      <c r="O783" s="1544"/>
      <c r="P783" s="1544"/>
    </row>
    <row r="784" spans="1:16" s="1555" customFormat="1" ht="18.75" customHeight="1">
      <c r="A784" s="1742"/>
      <c r="B784" s="1742"/>
      <c r="C784" s="1607" t="s">
        <v>1519</v>
      </c>
      <c r="D784" s="9029"/>
      <c r="E784" s="9030"/>
      <c r="F784" s="9030"/>
      <c r="G784" s="9000"/>
      <c r="H784" s="8349"/>
      <c r="I784" s="8350" t="s">
        <v>1518</v>
      </c>
      <c r="J784" s="8351"/>
      <c r="K784" s="8352"/>
      <c r="L784" s="8353"/>
      <c r="M784" s="1794"/>
      <c r="N784" s="537"/>
      <c r="O784" s="1544"/>
      <c r="P784" s="1544"/>
    </row>
    <row r="785" spans="1:16" s="1555" customFormat="1" ht="18.75" customHeight="1">
      <c r="A785" s="1742" t="s">
        <v>310</v>
      </c>
      <c r="B785" s="1742" t="s">
        <v>702</v>
      </c>
      <c r="C785" s="1607"/>
      <c r="D785" s="9029"/>
      <c r="E785" s="9030"/>
      <c r="F785" s="9030"/>
      <c r="G785" s="9000" t="str">
        <f>INDEX(PT_DIFFERENTIATION_NTAR,MATCH(B785,PT_DIFFERENTIATION_NTAR_ID,0))</f>
        <v>Подвоз воды потребителям села Величаевского</v>
      </c>
      <c r="H785" s="1809"/>
      <c r="I785" s="1658">
        <v>45292</v>
      </c>
      <c r="J785" s="1693">
        <v>45657</v>
      </c>
      <c r="K785" s="1698">
        <v>0</v>
      </c>
      <c r="L785" s="1809" t="s">
        <v>769</v>
      </c>
      <c r="M785" s="1794"/>
      <c r="N785" s="537"/>
      <c r="O785" s="1544"/>
      <c r="P785" s="1544"/>
    </row>
    <row r="786" spans="1:16" s="1555" customFormat="1" ht="18.75" customHeight="1">
      <c r="A786" s="1742"/>
      <c r="B786" s="1742"/>
      <c r="C786" s="1607" t="s">
        <v>1519</v>
      </c>
      <c r="D786" s="9029"/>
      <c r="E786" s="9030"/>
      <c r="F786" s="9030"/>
      <c r="G786" s="9000"/>
      <c r="H786" s="8354"/>
      <c r="I786" s="8355" t="s">
        <v>1518</v>
      </c>
      <c r="J786" s="8356"/>
      <c r="K786" s="8357"/>
      <c r="L786" s="8358"/>
      <c r="M786" s="1794"/>
      <c r="N786" s="537"/>
      <c r="O786" s="1544"/>
      <c r="P786" s="1544"/>
    </row>
    <row r="787" spans="1:16" s="1555" customFormat="1" ht="0.75" customHeight="1">
      <c r="A787" s="1700"/>
      <c r="B787" s="1700"/>
      <c r="C787" s="293" t="s">
        <v>1527</v>
      </c>
      <c r="D787" s="9028"/>
      <c r="E787" s="8837"/>
      <c r="F787" s="8972"/>
      <c r="G787" s="329"/>
      <c r="H787" s="1415"/>
      <c r="I787" s="569"/>
      <c r="J787" s="494"/>
      <c r="K787" s="1415"/>
      <c r="L787" s="131"/>
      <c r="M787" s="263"/>
      <c r="N787" s="256"/>
      <c r="O787" s="1544"/>
      <c r="P787" s="1544"/>
    </row>
    <row r="788" spans="1:16" s="1555" customFormat="1" ht="18.75" hidden="1" customHeight="1">
      <c r="A788" s="1700" t="s">
        <v>708</v>
      </c>
      <c r="B788" s="1700" t="s">
        <v>709</v>
      </c>
      <c r="C788" s="293"/>
      <c r="D788" s="9028"/>
      <c r="E788" s="8837"/>
      <c r="F788" s="8972" t="str">
        <f>INDEX(PT_DIFFERENTIATION_VTAR,MATCH(A788,PT_DIFFERENTIATION_VTAR_ID,0))</f>
        <v>Тариф на подключение (технологическое присоединение) к централизованной системе холодного водоснабжения</v>
      </c>
      <c r="G788" s="9000" t="str">
        <f>INDEX(PT_DIFFERENTIATION_NTAR,MATCH(B788,PT_DIFFERENTIATION_NTAR_ID,0))</f>
        <v/>
      </c>
      <c r="H788" s="1781"/>
      <c r="I788" s="1658"/>
      <c r="J788" s="1693"/>
      <c r="K788" s="1698"/>
      <c r="L788" s="1781" t="s">
        <v>769</v>
      </c>
      <c r="M788" s="263"/>
      <c r="N788" s="256"/>
      <c r="O788" s="1544"/>
      <c r="P788" s="1544"/>
    </row>
    <row r="789" spans="1:16" s="1555" customFormat="1" ht="18.75" hidden="1" customHeight="1">
      <c r="A789" s="1700"/>
      <c r="B789" s="1700"/>
      <c r="C789" s="293" t="s">
        <v>1519</v>
      </c>
      <c r="D789" s="9028"/>
      <c r="E789" s="8837"/>
      <c r="F789" s="8972"/>
      <c r="G789" s="9000"/>
      <c r="H789" s="1415"/>
      <c r="I789" s="569" t="s">
        <v>1518</v>
      </c>
      <c r="J789" s="494"/>
      <c r="K789" s="1415"/>
      <c r="L789" s="131"/>
      <c r="M789" s="263"/>
      <c r="N789" s="256"/>
      <c r="O789" s="1544"/>
      <c r="P789" s="1544"/>
    </row>
    <row r="790" spans="1:16" s="1555" customFormat="1" ht="0.75" hidden="1" customHeight="1">
      <c r="A790" s="1700"/>
      <c r="B790" s="1700"/>
      <c r="C790" s="293" t="s">
        <v>1527</v>
      </c>
      <c r="D790" s="9028"/>
      <c r="E790" s="8837"/>
      <c r="F790" s="8972"/>
      <c r="G790" s="329"/>
      <c r="H790" s="1415"/>
      <c r="I790" s="569"/>
      <c r="J790" s="494"/>
      <c r="K790" s="1415"/>
      <c r="L790" s="131"/>
      <c r="M790" s="263"/>
      <c r="N790" s="256"/>
      <c r="O790" s="1544"/>
      <c r="P790" s="1544"/>
    </row>
    <row r="791" spans="1:16" s="1555" customFormat="1" ht="18.75" hidden="1" customHeight="1">
      <c r="A791" s="1700" t="s">
        <v>713</v>
      </c>
      <c r="B791" s="1700" t="s">
        <v>714</v>
      </c>
      <c r="C791" s="293"/>
      <c r="D791" s="9028"/>
      <c r="E791" s="8837"/>
      <c r="F791" s="8972" t="str">
        <f>INDEX(PT_DIFFERENTIATION_VTAR,MATCH(A791,PT_DIFFERENTIATION_VTAR_ID,0))</f>
        <v>Тариф на горячую воду (горячее водоснабжение)</v>
      </c>
      <c r="G791" s="9000" t="str">
        <f>INDEX(PT_DIFFERENTIATION_NTAR,MATCH(B791,PT_DIFFERENTIATION_NTAR_ID,0))</f>
        <v/>
      </c>
      <c r="H791" s="1781"/>
      <c r="I791" s="1658"/>
      <c r="J791" s="1693"/>
      <c r="K791" s="1698"/>
      <c r="L791" s="1781" t="s">
        <v>769</v>
      </c>
      <c r="M791" s="263"/>
      <c r="N791" s="256"/>
      <c r="O791" s="1544"/>
      <c r="P791" s="1544"/>
    </row>
    <row r="792" spans="1:16" s="1555" customFormat="1" ht="18.75" hidden="1" customHeight="1">
      <c r="A792" s="1700"/>
      <c r="B792" s="1700"/>
      <c r="C792" s="293" t="s">
        <v>1519</v>
      </c>
      <c r="D792" s="9028"/>
      <c r="E792" s="8837"/>
      <c r="F792" s="8972"/>
      <c r="G792" s="9000"/>
      <c r="H792" s="1415"/>
      <c r="I792" s="569" t="s">
        <v>1518</v>
      </c>
      <c r="J792" s="494"/>
      <c r="K792" s="1415"/>
      <c r="L792" s="131"/>
      <c r="M792" s="263"/>
      <c r="N792" s="256"/>
      <c r="O792" s="1544"/>
      <c r="P792" s="1544"/>
    </row>
    <row r="793" spans="1:16" s="1555" customFormat="1" ht="0.75" hidden="1" customHeight="1">
      <c r="A793" s="1700"/>
      <c r="B793" s="1700"/>
      <c r="C793" s="293" t="s">
        <v>1527</v>
      </c>
      <c r="D793" s="9028"/>
      <c r="E793" s="8837"/>
      <c r="F793" s="8972"/>
      <c r="G793" s="329"/>
      <c r="H793" s="1415"/>
      <c r="I793" s="569"/>
      <c r="J793" s="494"/>
      <c r="K793" s="1415"/>
      <c r="L793" s="131"/>
      <c r="M793" s="263"/>
      <c r="N793" s="256"/>
      <c r="O793" s="1544"/>
      <c r="P793" s="1544"/>
    </row>
    <row r="794" spans="1:16" s="1555" customFormat="1" ht="18.75" hidden="1" customHeight="1">
      <c r="A794" s="1700" t="s">
        <v>718</v>
      </c>
      <c r="B794" s="1700" t="s">
        <v>719</v>
      </c>
      <c r="C794" s="293"/>
      <c r="D794" s="9028"/>
      <c r="E794" s="8837"/>
      <c r="F794" s="8972" t="str">
        <f>INDEX(PT_DIFFERENTIATION_VTAR,MATCH(A794,PT_DIFFERENTIATION_VTAR_ID,0))</f>
        <v>Тариф на транспортировку горячей воды</v>
      </c>
      <c r="G794" s="9000" t="str">
        <f>INDEX(PT_DIFFERENTIATION_NTAR,MATCH(B794,PT_DIFFERENTIATION_NTAR_ID,0))</f>
        <v/>
      </c>
      <c r="H794" s="1781"/>
      <c r="I794" s="1658"/>
      <c r="J794" s="1693"/>
      <c r="K794" s="1698"/>
      <c r="L794" s="1781" t="s">
        <v>769</v>
      </c>
      <c r="M794" s="263"/>
      <c r="N794" s="256"/>
      <c r="O794" s="1544"/>
      <c r="P794" s="1544"/>
    </row>
    <row r="795" spans="1:16" s="1555" customFormat="1" ht="18.75" hidden="1" customHeight="1">
      <c r="A795" s="1700"/>
      <c r="B795" s="1700"/>
      <c r="C795" s="293" t="s">
        <v>1519</v>
      </c>
      <c r="D795" s="9028"/>
      <c r="E795" s="8837"/>
      <c r="F795" s="8972"/>
      <c r="G795" s="9000"/>
      <c r="H795" s="1415"/>
      <c r="I795" s="569" t="s">
        <v>1518</v>
      </c>
      <c r="J795" s="494"/>
      <c r="K795" s="1415"/>
      <c r="L795" s="131"/>
      <c r="M795" s="263"/>
      <c r="N795" s="256"/>
      <c r="O795" s="1544"/>
      <c r="P795" s="1544"/>
    </row>
    <row r="796" spans="1:16" s="1555" customFormat="1" ht="0.75" hidden="1" customHeight="1">
      <c r="A796" s="1700"/>
      <c r="B796" s="1700"/>
      <c r="C796" s="293" t="s">
        <v>1527</v>
      </c>
      <c r="D796" s="9028"/>
      <c r="E796" s="8837"/>
      <c r="F796" s="8972"/>
      <c r="G796" s="329"/>
      <c r="H796" s="1415"/>
      <c r="I796" s="569"/>
      <c r="J796" s="494"/>
      <c r="K796" s="1415"/>
      <c r="L796" s="131"/>
      <c r="M796" s="263"/>
      <c r="N796" s="256"/>
      <c r="O796" s="1544"/>
      <c r="P796" s="1544"/>
    </row>
    <row r="797" spans="1:16" s="1555" customFormat="1" ht="18.75" hidden="1" customHeight="1">
      <c r="A797" s="1700" t="s">
        <v>723</v>
      </c>
      <c r="B797" s="1700" t="s">
        <v>724</v>
      </c>
      <c r="C797" s="293"/>
      <c r="D797" s="9028"/>
      <c r="E797" s="8837"/>
      <c r="F797" s="8972" t="str">
        <f>INDEX(PT_DIFFERENTIATION_VTAR,MATCH(A797,PT_DIFFERENTIATION_VTAR_ID,0))</f>
        <v>Тариф на подключение (технологическое присоединение) к централизованной системе горячего водоснабжения</v>
      </c>
      <c r="G797" s="9000" t="str">
        <f>INDEX(PT_DIFFERENTIATION_NTAR,MATCH(B797,PT_DIFFERENTIATION_NTAR_ID,0))</f>
        <v/>
      </c>
      <c r="H797" s="1781"/>
      <c r="I797" s="1658"/>
      <c r="J797" s="1693"/>
      <c r="K797" s="1698"/>
      <c r="L797" s="1781" t="s">
        <v>769</v>
      </c>
      <c r="M797" s="263"/>
      <c r="N797" s="256"/>
      <c r="O797" s="1544"/>
      <c r="P797" s="1544"/>
    </row>
    <row r="798" spans="1:16" s="1555" customFormat="1" ht="18.75" hidden="1" customHeight="1">
      <c r="A798" s="1700"/>
      <c r="B798" s="1700"/>
      <c r="C798" s="293" t="s">
        <v>1519</v>
      </c>
      <c r="D798" s="9028"/>
      <c r="E798" s="8837"/>
      <c r="F798" s="8972"/>
      <c r="G798" s="9000"/>
      <c r="H798" s="1415"/>
      <c r="I798" s="569" t="s">
        <v>1518</v>
      </c>
      <c r="J798" s="494"/>
      <c r="K798" s="1415"/>
      <c r="L798" s="131"/>
      <c r="M798" s="263"/>
      <c r="N798" s="256"/>
      <c r="O798" s="1544"/>
      <c r="P798" s="1544"/>
    </row>
    <row r="799" spans="1:16" s="1555" customFormat="1" ht="0.75" hidden="1" customHeight="1">
      <c r="A799" s="1700"/>
      <c r="B799" s="1700"/>
      <c r="C799" s="293" t="s">
        <v>1527</v>
      </c>
      <c r="D799" s="9028"/>
      <c r="E799" s="8837"/>
      <c r="F799" s="8972"/>
      <c r="G799" s="329"/>
      <c r="H799" s="1415"/>
      <c r="I799" s="569"/>
      <c r="J799" s="494"/>
      <c r="K799" s="1415"/>
      <c r="L799" s="131"/>
      <c r="M799" s="263"/>
      <c r="N799" s="256"/>
      <c r="O799" s="1544"/>
      <c r="P799" s="1544"/>
    </row>
    <row r="800" spans="1:16" s="1555" customFormat="1" ht="18.75" hidden="1" customHeight="1">
      <c r="A800" s="1700" t="s">
        <v>728</v>
      </c>
      <c r="B800" s="1700" t="s">
        <v>729</v>
      </c>
      <c r="C800" s="293"/>
      <c r="D800" s="9028"/>
      <c r="E800" s="8837"/>
      <c r="F800" s="8972" t="str">
        <f>INDEX(PT_DIFFERENTIATION_VTAR,MATCH(A800,PT_DIFFERENTIATION_VTAR_ID,0))</f>
        <v>Тариф на водоотведение</v>
      </c>
      <c r="G800" s="9000" t="str">
        <f>INDEX(PT_DIFFERENTIATION_NTAR,MATCH(B800,PT_DIFFERENTIATION_NTAR_ID,0))</f>
        <v/>
      </c>
      <c r="H800" s="1781"/>
      <c r="I800" s="1658"/>
      <c r="J800" s="1693"/>
      <c r="K800" s="1698"/>
      <c r="L800" s="1781" t="s">
        <v>769</v>
      </c>
      <c r="M800" s="263"/>
      <c r="N800" s="256"/>
      <c r="O800" s="1544"/>
      <c r="P800" s="1544"/>
    </row>
    <row r="801" spans="1:16" s="1555" customFormat="1" ht="18.75" hidden="1" customHeight="1">
      <c r="A801" s="1700"/>
      <c r="B801" s="1700"/>
      <c r="C801" s="293" t="s">
        <v>1519</v>
      </c>
      <c r="D801" s="9028"/>
      <c r="E801" s="8837"/>
      <c r="F801" s="8972"/>
      <c r="G801" s="9000"/>
      <c r="H801" s="1415"/>
      <c r="I801" s="569" t="s">
        <v>1518</v>
      </c>
      <c r="J801" s="494"/>
      <c r="K801" s="1415"/>
      <c r="L801" s="131"/>
      <c r="M801" s="263"/>
      <c r="N801" s="256"/>
      <c r="O801" s="1544"/>
      <c r="P801" s="1544"/>
    </row>
    <row r="802" spans="1:16" s="1555" customFormat="1" ht="0.75" hidden="1" customHeight="1">
      <c r="A802" s="1700"/>
      <c r="B802" s="1700"/>
      <c r="C802" s="293" t="s">
        <v>1527</v>
      </c>
      <c r="D802" s="9028"/>
      <c r="E802" s="8837"/>
      <c r="F802" s="8972"/>
      <c r="G802" s="329"/>
      <c r="H802" s="1415"/>
      <c r="I802" s="569"/>
      <c r="J802" s="494"/>
      <c r="K802" s="1415"/>
      <c r="L802" s="131"/>
      <c r="M802" s="263"/>
      <c r="N802" s="256"/>
      <c r="O802" s="1544"/>
      <c r="P802" s="1544"/>
    </row>
    <row r="803" spans="1:16" s="1555" customFormat="1" ht="18.75" hidden="1" customHeight="1">
      <c r="A803" s="1700" t="s">
        <v>733</v>
      </c>
      <c r="B803" s="1700" t="s">
        <v>734</v>
      </c>
      <c r="C803" s="293"/>
      <c r="D803" s="9028"/>
      <c r="E803" s="8837"/>
      <c r="F803" s="8972" t="str">
        <f>INDEX(PT_DIFFERENTIATION_VTAR,MATCH(A803,PT_DIFFERENTIATION_VTAR_ID,0))</f>
        <v>Тариф на транспортировку сточных вод</v>
      </c>
      <c r="G803" s="9000" t="str">
        <f>INDEX(PT_DIFFERENTIATION_NTAR,MATCH(B803,PT_DIFFERENTIATION_NTAR_ID,0))</f>
        <v/>
      </c>
      <c r="H803" s="1781"/>
      <c r="I803" s="1658"/>
      <c r="J803" s="1693"/>
      <c r="K803" s="1698"/>
      <c r="L803" s="1781" t="s">
        <v>769</v>
      </c>
      <c r="M803" s="263"/>
      <c r="N803" s="256"/>
      <c r="O803" s="1544"/>
      <c r="P803" s="1544"/>
    </row>
    <row r="804" spans="1:16" s="1555" customFormat="1" ht="18.75" hidden="1" customHeight="1">
      <c r="A804" s="1700"/>
      <c r="B804" s="1700"/>
      <c r="C804" s="293" t="s">
        <v>1519</v>
      </c>
      <c r="D804" s="9028"/>
      <c r="E804" s="8837"/>
      <c r="F804" s="8972"/>
      <c r="G804" s="9000"/>
      <c r="H804" s="1415"/>
      <c r="I804" s="569" t="s">
        <v>1518</v>
      </c>
      <c r="J804" s="494"/>
      <c r="K804" s="1415"/>
      <c r="L804" s="131"/>
      <c r="M804" s="263"/>
      <c r="N804" s="256"/>
      <c r="O804" s="1544"/>
      <c r="P804" s="1544"/>
    </row>
    <row r="805" spans="1:16" s="1555" customFormat="1" ht="0.75" hidden="1" customHeight="1">
      <c r="A805" s="1700"/>
      <c r="B805" s="1700"/>
      <c r="C805" s="293" t="s">
        <v>1527</v>
      </c>
      <c r="D805" s="9028"/>
      <c r="E805" s="8837"/>
      <c r="F805" s="8972"/>
      <c r="G805" s="329"/>
      <c r="H805" s="1415"/>
      <c r="I805" s="569"/>
      <c r="J805" s="494"/>
      <c r="K805" s="1415"/>
      <c r="L805" s="131"/>
      <c r="M805" s="263"/>
      <c r="N805" s="256"/>
      <c r="O805" s="1544"/>
      <c r="P805" s="1544"/>
    </row>
    <row r="806" spans="1:16" s="1555" customFormat="1" ht="18.75" hidden="1" customHeight="1">
      <c r="A806" s="1700" t="s">
        <v>738</v>
      </c>
      <c r="B806" s="1700" t="s">
        <v>739</v>
      </c>
      <c r="C806" s="293"/>
      <c r="D806" s="9028"/>
      <c r="E806" s="8837"/>
      <c r="F806" s="8972" t="str">
        <f>INDEX(PT_DIFFERENTIATION_VTAR,MATCH(A806,PT_DIFFERENTIATION_VTAR_ID,0))</f>
        <v>Тариф на подключение (технологическое присоединение) к централизованной системе водоотведения</v>
      </c>
      <c r="G806" s="9000" t="str">
        <f>INDEX(PT_DIFFERENTIATION_NTAR,MATCH(B806,PT_DIFFERENTIATION_NTAR_ID,0))</f>
        <v/>
      </c>
      <c r="H806" s="1781"/>
      <c r="I806" s="1658"/>
      <c r="J806" s="1693"/>
      <c r="K806" s="1698"/>
      <c r="L806" s="1781" t="s">
        <v>769</v>
      </c>
      <c r="M806" s="263"/>
      <c r="N806" s="256"/>
      <c r="O806" s="1544"/>
      <c r="P806" s="1544"/>
    </row>
    <row r="807" spans="1:16" s="1555" customFormat="1" ht="18.75" hidden="1" customHeight="1">
      <c r="A807" s="1700"/>
      <c r="B807" s="1700"/>
      <c r="C807" s="293" t="s">
        <v>1519</v>
      </c>
      <c r="D807" s="9028"/>
      <c r="E807" s="8837"/>
      <c r="F807" s="8972"/>
      <c r="G807" s="9000"/>
      <c r="H807" s="1415"/>
      <c r="I807" s="569" t="s">
        <v>1518</v>
      </c>
      <c r="J807" s="494"/>
      <c r="K807" s="1415"/>
      <c r="L807" s="131"/>
      <c r="M807" s="263"/>
      <c r="N807" s="256"/>
      <c r="O807" s="1544"/>
      <c r="P807" s="1544"/>
    </row>
    <row r="808" spans="1:16" s="1555" customFormat="1" ht="0.75" customHeight="1">
      <c r="A808" s="1700"/>
      <c r="B808" s="1700"/>
      <c r="C808" s="293" t="s">
        <v>1527</v>
      </c>
      <c r="D808" s="9028"/>
      <c r="E808" s="8837"/>
      <c r="F808" s="8972"/>
      <c r="G808" s="329"/>
      <c r="H808" s="1415"/>
      <c r="I808" s="569"/>
      <c r="J808" s="494"/>
      <c r="K808" s="1415"/>
      <c r="L808" s="131"/>
      <c r="M808" s="263"/>
      <c r="N808" s="256"/>
      <c r="O808" s="1544"/>
      <c r="P808" s="1544"/>
    </row>
    <row r="809" spans="1:16" ht="25.5" customHeight="1">
      <c r="A809" s="1700"/>
      <c r="B809" s="1700"/>
      <c r="D809" s="300"/>
      <c r="E809" s="67" t="s">
        <v>88</v>
      </c>
      <c r="F809" s="902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809" s="9027"/>
      <c r="H809" s="9027"/>
      <c r="I809" s="9027"/>
      <c r="J809" s="9027"/>
      <c r="K809" s="9027"/>
      <c r="L809" s="9027"/>
      <c r="M809" s="211"/>
      <c r="N809" s="256"/>
    </row>
    <row r="810" spans="1:16" s="1555" customFormat="1" ht="60.75" hidden="1" customHeight="1">
      <c r="A810" s="1700" t="s">
        <v>237</v>
      </c>
      <c r="B810" s="1700" t="s">
        <v>238</v>
      </c>
      <c r="C810" s="293"/>
      <c r="D810" s="9028"/>
      <c r="E810" s="8837"/>
      <c r="F810" s="8972" t="str">
        <f>INDEX(PT_DIFFERENTIATION_VTAR,MATCH(A810,PT_DIFFERENTIATION_VTAR_ID,0))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10" s="9000" t="str">
        <f>INDEX(PT_DIFFERENTIATION_NTAR,MATCH(B810,PT_DIFFERENTIATION_NTAR_ID,0))</f>
        <v/>
      </c>
      <c r="H810" s="1781"/>
      <c r="I810" s="1658"/>
      <c r="J810" s="1693"/>
      <c r="K810" s="1698"/>
      <c r="L810" s="1781" t="s">
        <v>769</v>
      </c>
      <c r="M810" s="87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810" s="256"/>
      <c r="O810" s="1544"/>
      <c r="P810" s="1544"/>
    </row>
    <row r="811" spans="1:16" s="1555" customFormat="1" ht="18.75" hidden="1" customHeight="1">
      <c r="A811" s="1700"/>
      <c r="B811" s="1700"/>
      <c r="C811" s="293" t="s">
        <v>1519</v>
      </c>
      <c r="D811" s="9028"/>
      <c r="E811" s="8837"/>
      <c r="F811" s="8972"/>
      <c r="G811" s="9000"/>
      <c r="H811" s="1415"/>
      <c r="I811" s="569" t="s">
        <v>1518</v>
      </c>
      <c r="J811" s="494"/>
      <c r="K811" s="1415"/>
      <c r="L811" s="131"/>
      <c r="M811" s="8799"/>
      <c r="N811" s="256"/>
      <c r="O811" s="1544"/>
      <c r="P811" s="1544"/>
    </row>
    <row r="812" spans="1:16" s="1555" customFormat="1" ht="0.75" hidden="1" customHeight="1">
      <c r="A812" s="1700"/>
      <c r="B812" s="1700"/>
      <c r="C812" s="293" t="s">
        <v>1527</v>
      </c>
      <c r="D812" s="9028"/>
      <c r="E812" s="8837"/>
      <c r="F812" s="8972"/>
      <c r="G812" s="329"/>
      <c r="H812" s="1415"/>
      <c r="I812" s="569"/>
      <c r="J812" s="494"/>
      <c r="K812" s="1415"/>
      <c r="L812" s="131"/>
      <c r="M812" s="8799"/>
      <c r="N812" s="256"/>
      <c r="O812" s="1544"/>
      <c r="P812" s="1544"/>
    </row>
    <row r="813" spans="1:16" s="1555" customFormat="1" ht="45" hidden="1" customHeight="1">
      <c r="A813" s="1700" t="s">
        <v>243</v>
      </c>
      <c r="B813" s="1700" t="s">
        <v>244</v>
      </c>
      <c r="C813" s="293"/>
      <c r="D813" s="9028"/>
      <c r="E813" s="8837"/>
      <c r="F813" s="8972" t="str">
        <f>INDEX(PT_DIFFERENTIATION_VTAR,MATCH(A813,PT_DIFFERENTIATION_VTAR_ID,0))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13" s="9000" t="str">
        <f>INDEX(PT_DIFFERENTIATION_NTAR,MATCH(B813,PT_DIFFERENTIATION_NTAR_ID,0))</f>
        <v/>
      </c>
      <c r="H813" s="1781"/>
      <c r="I813" s="1658"/>
      <c r="J813" s="1693"/>
      <c r="K813" s="1698"/>
      <c r="L813" s="1781" t="s">
        <v>769</v>
      </c>
      <c r="M813" s="8800"/>
      <c r="N813" s="256"/>
      <c r="O813" s="1544"/>
      <c r="P813" s="1544"/>
    </row>
    <row r="814" spans="1:16" s="1555" customFormat="1" ht="18.75" hidden="1" customHeight="1">
      <c r="A814" s="1700"/>
      <c r="B814" s="1700"/>
      <c r="C814" s="293" t="s">
        <v>1519</v>
      </c>
      <c r="D814" s="9028"/>
      <c r="E814" s="8837"/>
      <c r="F814" s="8972"/>
      <c r="G814" s="9000"/>
      <c r="H814" s="1415"/>
      <c r="I814" s="569" t="s">
        <v>1518</v>
      </c>
      <c r="J814" s="494"/>
      <c r="K814" s="1415"/>
      <c r="L814" s="131"/>
      <c r="M814" s="1780"/>
      <c r="N814" s="256"/>
      <c r="O814" s="1544"/>
      <c r="P814" s="1544"/>
    </row>
    <row r="815" spans="1:16" s="1555" customFormat="1" ht="0.75" hidden="1" customHeight="1">
      <c r="A815" s="1700"/>
      <c r="B815" s="1700"/>
      <c r="C815" s="293" t="s">
        <v>1527</v>
      </c>
      <c r="D815" s="9028"/>
      <c r="E815" s="8837"/>
      <c r="F815" s="8972"/>
      <c r="G815" s="329"/>
      <c r="H815" s="1415"/>
      <c r="I815" s="569"/>
      <c r="J815" s="494"/>
      <c r="K815" s="1415"/>
      <c r="L815" s="131"/>
      <c r="M815" s="263"/>
      <c r="N815" s="256"/>
      <c r="O815" s="1544"/>
      <c r="P815" s="1544"/>
    </row>
    <row r="816" spans="1:16" s="1555" customFormat="1" ht="45" hidden="1" customHeight="1">
      <c r="A816" s="1700" t="s">
        <v>249</v>
      </c>
      <c r="B816" s="1700" t="s">
        <v>250</v>
      </c>
      <c r="C816" s="293"/>
      <c r="D816" s="9028"/>
      <c r="E816" s="8837"/>
      <c r="F816" s="8972" t="str">
        <f>INDEX(PT_DIFFERENTIATION_VTAR,MATCH(A816,PT_DIFFERENTIATION_VTAR_ID,0))</f>
        <v>Тарифы на теплоноситель, поставляемый теплоснабжающими организациями потребителям, другим теплоснабжающим организациям</v>
      </c>
      <c r="G816" s="9000" t="str">
        <f>INDEX(PT_DIFFERENTIATION_NTAR,MATCH(B816,PT_DIFFERENTIATION_NTAR_ID,0))</f>
        <v/>
      </c>
      <c r="H816" s="1781"/>
      <c r="I816" s="1658"/>
      <c r="J816" s="1693"/>
      <c r="K816" s="1698"/>
      <c r="L816" s="1781" t="s">
        <v>769</v>
      </c>
      <c r="M816" s="263"/>
      <c r="N816" s="256"/>
      <c r="O816" s="1544"/>
      <c r="P816" s="1544"/>
    </row>
    <row r="817" spans="1:16" s="1555" customFormat="1" ht="18.75" hidden="1" customHeight="1">
      <c r="A817" s="1700"/>
      <c r="B817" s="1700"/>
      <c r="C817" s="293" t="s">
        <v>1519</v>
      </c>
      <c r="D817" s="9028"/>
      <c r="E817" s="8837"/>
      <c r="F817" s="8972"/>
      <c r="G817" s="9000"/>
      <c r="H817" s="1415"/>
      <c r="I817" s="569" t="s">
        <v>1518</v>
      </c>
      <c r="J817" s="494"/>
      <c r="K817" s="1415"/>
      <c r="L817" s="131"/>
      <c r="M817" s="263"/>
      <c r="N817" s="256"/>
      <c r="O817" s="1544"/>
      <c r="P817" s="1544"/>
    </row>
    <row r="818" spans="1:16" s="1555" customFormat="1" ht="0.75" hidden="1" customHeight="1">
      <c r="A818" s="1700"/>
      <c r="B818" s="1700"/>
      <c r="C818" s="293" t="s">
        <v>1527</v>
      </c>
      <c r="D818" s="9028"/>
      <c r="E818" s="8837"/>
      <c r="F818" s="8972"/>
      <c r="G818" s="329"/>
      <c r="H818" s="1415"/>
      <c r="I818" s="569"/>
      <c r="J818" s="494"/>
      <c r="K818" s="1415"/>
      <c r="L818" s="131"/>
      <c r="M818" s="263"/>
      <c r="N818" s="256"/>
      <c r="O818" s="1544"/>
      <c r="P818" s="1544"/>
    </row>
    <row r="819" spans="1:16" s="1555" customFormat="1" ht="45" hidden="1" customHeight="1">
      <c r="A819" s="1700" t="s">
        <v>255</v>
      </c>
      <c r="B819" s="1700" t="s">
        <v>256</v>
      </c>
      <c r="C819" s="293"/>
      <c r="D819" s="9028"/>
      <c r="E819" s="8837"/>
      <c r="F819" s="8972" t="str">
        <f>INDEX(PT_DIFFERENTIATION_VTAR,MATCH(A819,PT_DIFFERENTIATION_VTAR_ID,0))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819" s="9000" t="str">
        <f>INDEX(PT_DIFFERENTIATION_NTAR,MATCH(B819,PT_DIFFERENTIATION_NTAR_ID,0))</f>
        <v/>
      </c>
      <c r="H819" s="1781"/>
      <c r="I819" s="1658"/>
      <c r="J819" s="1693"/>
      <c r="K819" s="1698"/>
      <c r="L819" s="1781" t="s">
        <v>769</v>
      </c>
      <c r="M819" s="263"/>
      <c r="N819" s="256"/>
      <c r="O819" s="1544"/>
      <c r="P819" s="1544"/>
    </row>
    <row r="820" spans="1:16" s="1555" customFormat="1" ht="18.75" hidden="1" customHeight="1">
      <c r="A820" s="1700"/>
      <c r="B820" s="1700"/>
      <c r="C820" s="293" t="s">
        <v>1519</v>
      </c>
      <c r="D820" s="9028"/>
      <c r="E820" s="8837"/>
      <c r="F820" s="8972"/>
      <c r="G820" s="9000"/>
      <c r="H820" s="1415"/>
      <c r="I820" s="569" t="s">
        <v>1518</v>
      </c>
      <c r="J820" s="494"/>
      <c r="K820" s="1415"/>
      <c r="L820" s="131"/>
      <c r="M820" s="263"/>
      <c r="N820" s="256"/>
      <c r="O820" s="1544"/>
      <c r="P820" s="1544"/>
    </row>
    <row r="821" spans="1:16" s="1555" customFormat="1" ht="0.75" hidden="1" customHeight="1">
      <c r="A821" s="1700"/>
      <c r="B821" s="1700"/>
      <c r="C821" s="293" t="s">
        <v>1527</v>
      </c>
      <c r="D821" s="9028"/>
      <c r="E821" s="8837"/>
      <c r="F821" s="8972"/>
      <c r="G821" s="329"/>
      <c r="H821" s="1415"/>
      <c r="I821" s="569"/>
      <c r="J821" s="494"/>
      <c r="K821" s="1415"/>
      <c r="L821" s="131"/>
      <c r="M821" s="263"/>
      <c r="N821" s="256"/>
      <c r="O821" s="1544"/>
      <c r="P821" s="1544"/>
    </row>
    <row r="822" spans="1:16" s="1555" customFormat="1" ht="18.75" hidden="1" customHeight="1">
      <c r="A822" s="1700" t="s">
        <v>261</v>
      </c>
      <c r="B822" s="1700" t="s">
        <v>262</v>
      </c>
      <c r="C822" s="293"/>
      <c r="D822" s="9028"/>
      <c r="E822" s="8837"/>
      <c r="F822" s="8972" t="str">
        <f>INDEX(PT_DIFFERENTIATION_VTAR,MATCH(A822,PT_DIFFERENTIATION_VTAR_ID,0))</f>
        <v>Тарифы на услуги по передаче тепловой энергии</v>
      </c>
      <c r="G822" s="9000" t="str">
        <f>INDEX(PT_DIFFERENTIATION_NTAR,MATCH(B822,PT_DIFFERENTIATION_NTAR_ID,0))</f>
        <v/>
      </c>
      <c r="H822" s="1781"/>
      <c r="I822" s="1658"/>
      <c r="J822" s="1693"/>
      <c r="K822" s="1698"/>
      <c r="L822" s="1781" t="s">
        <v>769</v>
      </c>
      <c r="M822" s="263"/>
      <c r="N822" s="256"/>
      <c r="O822" s="1544"/>
      <c r="P822" s="1544"/>
    </row>
    <row r="823" spans="1:16" s="1555" customFormat="1" ht="18.75" hidden="1" customHeight="1">
      <c r="A823" s="1700"/>
      <c r="B823" s="1700"/>
      <c r="C823" s="293" t="s">
        <v>1519</v>
      </c>
      <c r="D823" s="9028"/>
      <c r="E823" s="8837"/>
      <c r="F823" s="8972"/>
      <c r="G823" s="9000"/>
      <c r="H823" s="1415"/>
      <c r="I823" s="569" t="s">
        <v>1518</v>
      </c>
      <c r="J823" s="494"/>
      <c r="K823" s="1415"/>
      <c r="L823" s="131"/>
      <c r="M823" s="263"/>
      <c r="N823" s="256"/>
      <c r="O823" s="1544"/>
      <c r="P823" s="1544"/>
    </row>
    <row r="824" spans="1:16" s="1555" customFormat="1" ht="0.75" hidden="1" customHeight="1">
      <c r="A824" s="1700"/>
      <c r="B824" s="1700"/>
      <c r="C824" s="293" t="s">
        <v>1527</v>
      </c>
      <c r="D824" s="9028"/>
      <c r="E824" s="8837"/>
      <c r="F824" s="8972"/>
      <c r="G824" s="329"/>
      <c r="H824" s="1415"/>
      <c r="I824" s="569"/>
      <c r="J824" s="494"/>
      <c r="K824" s="1415"/>
      <c r="L824" s="131"/>
      <c r="M824" s="263"/>
      <c r="N824" s="256"/>
      <c r="O824" s="1544"/>
      <c r="P824" s="1544"/>
    </row>
    <row r="825" spans="1:16" s="1555" customFormat="1" ht="18.75" hidden="1" customHeight="1">
      <c r="A825" s="1700" t="s">
        <v>267</v>
      </c>
      <c r="B825" s="1700" t="s">
        <v>268</v>
      </c>
      <c r="C825" s="293"/>
      <c r="D825" s="9028"/>
      <c r="E825" s="8837"/>
      <c r="F825" s="8972" t="str">
        <f>INDEX(PT_DIFFERENTIATION_VTAR,MATCH(A825,PT_DIFFERENTIATION_VTAR_ID,0))</f>
        <v>Тарифы на услуги по передаче теплоносителя</v>
      </c>
      <c r="G825" s="9000" t="str">
        <f>INDEX(PT_DIFFERENTIATION_NTAR,MATCH(B825,PT_DIFFERENTIATION_NTAR_ID,0))</f>
        <v/>
      </c>
      <c r="H825" s="1781"/>
      <c r="I825" s="1658"/>
      <c r="J825" s="1693"/>
      <c r="K825" s="1698"/>
      <c r="L825" s="1781" t="s">
        <v>769</v>
      </c>
      <c r="M825" s="263"/>
      <c r="N825" s="256"/>
      <c r="O825" s="1544"/>
      <c r="P825" s="1544"/>
    </row>
    <row r="826" spans="1:16" s="1555" customFormat="1" ht="18.75" hidden="1" customHeight="1">
      <c r="A826" s="1700"/>
      <c r="B826" s="1700"/>
      <c r="C826" s="293" t="s">
        <v>1519</v>
      </c>
      <c r="D826" s="9028"/>
      <c r="E826" s="8837"/>
      <c r="F826" s="8972"/>
      <c r="G826" s="9000"/>
      <c r="H826" s="1415"/>
      <c r="I826" s="569" t="s">
        <v>1518</v>
      </c>
      <c r="J826" s="494"/>
      <c r="K826" s="1415"/>
      <c r="L826" s="131"/>
      <c r="M826" s="263"/>
      <c r="N826" s="256"/>
      <c r="O826" s="1544"/>
      <c r="P826" s="1544"/>
    </row>
    <row r="827" spans="1:16" s="1555" customFormat="1" ht="0.75" hidden="1" customHeight="1">
      <c r="A827" s="1700"/>
      <c r="B827" s="1700"/>
      <c r="C827" s="293" t="s">
        <v>1527</v>
      </c>
      <c r="D827" s="9028"/>
      <c r="E827" s="8837"/>
      <c r="F827" s="8972"/>
      <c r="G827" s="329"/>
      <c r="H827" s="1415"/>
      <c r="I827" s="569"/>
      <c r="J827" s="494"/>
      <c r="K827" s="1415"/>
      <c r="L827" s="131"/>
      <c r="M827" s="263"/>
      <c r="N827" s="256"/>
      <c r="O827" s="1544"/>
      <c r="P827" s="1544"/>
    </row>
    <row r="828" spans="1:16" s="1555" customFormat="1" ht="18.75" hidden="1" customHeight="1">
      <c r="A828" s="1700" t="s">
        <v>273</v>
      </c>
      <c r="B828" s="1700" t="s">
        <v>274</v>
      </c>
      <c r="C828" s="293"/>
      <c r="D828" s="9028"/>
      <c r="E828" s="8837"/>
      <c r="F828" s="8972" t="str">
        <f>INDEX(PT_DIFFERENTIATION_VTAR,MATCH(A828,PT_DIFFERENTIATION_VTAR_ID,0))</f>
        <v>Плата за услуги по поддержанию резервной тепловой мощности при отсутствии потребления тепловой энергии</v>
      </c>
      <c r="G828" s="9000" t="str">
        <f>INDEX(PT_DIFFERENTIATION_NTAR,MATCH(B828,PT_DIFFERENTIATION_NTAR_ID,0))</f>
        <v/>
      </c>
      <c r="H828" s="1781"/>
      <c r="I828" s="1658"/>
      <c r="J828" s="1693"/>
      <c r="K828" s="1698"/>
      <c r="L828" s="1781" t="s">
        <v>769</v>
      </c>
      <c r="M828" s="263"/>
      <c r="N828" s="256"/>
      <c r="O828" s="1544"/>
      <c r="P828" s="1544"/>
    </row>
    <row r="829" spans="1:16" s="1555" customFormat="1" ht="18.75" hidden="1" customHeight="1">
      <c r="A829" s="1700"/>
      <c r="B829" s="1700"/>
      <c r="C829" s="293" t="s">
        <v>1519</v>
      </c>
      <c r="D829" s="9028"/>
      <c r="E829" s="8837"/>
      <c r="F829" s="8972"/>
      <c r="G829" s="9000"/>
      <c r="H829" s="1415"/>
      <c r="I829" s="569" t="s">
        <v>1518</v>
      </c>
      <c r="J829" s="494"/>
      <c r="K829" s="1415"/>
      <c r="L829" s="131"/>
      <c r="M829" s="263"/>
      <c r="N829" s="256"/>
      <c r="O829" s="1544"/>
      <c r="P829" s="1544"/>
    </row>
    <row r="830" spans="1:16" s="1555" customFormat="1" ht="0.75" hidden="1" customHeight="1">
      <c r="A830" s="1700"/>
      <c r="B830" s="1700"/>
      <c r="C830" s="293" t="s">
        <v>1527</v>
      </c>
      <c r="D830" s="9028"/>
      <c r="E830" s="8837"/>
      <c r="F830" s="8972"/>
      <c r="G830" s="329"/>
      <c r="H830" s="1415"/>
      <c r="I830" s="569"/>
      <c r="J830" s="494"/>
      <c r="K830" s="1415"/>
      <c r="L830" s="131"/>
      <c r="M830" s="263"/>
      <c r="N830" s="256"/>
      <c r="O830" s="1544"/>
      <c r="P830" s="1544"/>
    </row>
    <row r="831" spans="1:16" s="1555" customFormat="1" ht="18.75" hidden="1" customHeight="1">
      <c r="A831" s="1700" t="s">
        <v>279</v>
      </c>
      <c r="B831" s="1700" t="s">
        <v>280</v>
      </c>
      <c r="C831" s="293"/>
      <c r="D831" s="9028"/>
      <c r="E831" s="8837"/>
      <c r="F831" s="8972" t="str">
        <f>INDEX(PT_DIFFERENTIATION_VTAR,MATCH(A831,PT_DIFFERENTIATION_VTAR_ID,0))</f>
        <v>Плата за подключение (технологическое присоединение) к системе теплоснабжения</v>
      </c>
      <c r="G831" s="9000" t="str">
        <f>INDEX(PT_DIFFERENTIATION_NTAR,MATCH(B831,PT_DIFFERENTIATION_NTAR_ID,0))</f>
        <v/>
      </c>
      <c r="H831" s="1781"/>
      <c r="I831" s="1658"/>
      <c r="J831" s="1693"/>
      <c r="K831" s="1698"/>
      <c r="L831" s="1781" t="s">
        <v>769</v>
      </c>
      <c r="M831" s="263"/>
      <c r="N831" s="256"/>
      <c r="O831" s="1544"/>
      <c r="P831" s="1544"/>
    </row>
    <row r="832" spans="1:16" s="1555" customFormat="1" ht="18.75" hidden="1" customHeight="1">
      <c r="A832" s="1700"/>
      <c r="B832" s="1700"/>
      <c r="C832" s="293" t="s">
        <v>1519</v>
      </c>
      <c r="D832" s="9028"/>
      <c r="E832" s="8837"/>
      <c r="F832" s="8972"/>
      <c r="G832" s="9000"/>
      <c r="H832" s="1415"/>
      <c r="I832" s="569" t="s">
        <v>1518</v>
      </c>
      <c r="J832" s="494"/>
      <c r="K832" s="1415"/>
      <c r="L832" s="131"/>
      <c r="M832" s="263"/>
      <c r="N832" s="256"/>
      <c r="O832" s="1544"/>
      <c r="P832" s="1544"/>
    </row>
    <row r="833" spans="1:16" s="1555" customFormat="1" ht="0.75" hidden="1" customHeight="1">
      <c r="A833" s="1700"/>
      <c r="B833" s="1700"/>
      <c r="C833" s="293" t="s">
        <v>1527</v>
      </c>
      <c r="D833" s="9028"/>
      <c r="E833" s="8837"/>
      <c r="F833" s="8972"/>
      <c r="G833" s="329"/>
      <c r="H833" s="1415"/>
      <c r="I833" s="569"/>
      <c r="J833" s="494"/>
      <c r="K833" s="1415"/>
      <c r="L833" s="131"/>
      <c r="M833" s="263"/>
      <c r="N833" s="256"/>
      <c r="O833" s="1544"/>
      <c r="P833" s="1544"/>
    </row>
    <row r="834" spans="1:16" s="1555" customFormat="1" ht="18.75" hidden="1" customHeight="1">
      <c r="A834" s="1700" t="s">
        <v>293</v>
      </c>
      <c r="B834" s="1700" t="s">
        <v>294</v>
      </c>
      <c r="C834" s="293"/>
      <c r="D834" s="9028"/>
      <c r="E834" s="8837"/>
      <c r="F834" s="8972" t="str">
        <f>INDEX(PT_DIFFERENTIATION_VTAR,MATCH(A834,PT_DIFFERENTIATION_VTAR_ID,0))</f>
        <v>Тариф на питьевую воду (питьевое водоснабжение)</v>
      </c>
      <c r="G834" s="9000" t="str">
        <f>INDEX(PT_DIFFERENTIATION_NTAR,MATCH(B834,PT_DIFFERENTIATION_NTAR_ID,0))</f>
        <v/>
      </c>
      <c r="H834" s="1781"/>
      <c r="I834" s="1658"/>
      <c r="J834" s="1693"/>
      <c r="K834" s="1698"/>
      <c r="L834" s="1781" t="s">
        <v>769</v>
      </c>
      <c r="M834" s="263"/>
      <c r="N834" s="256"/>
      <c r="O834" s="1544"/>
      <c r="P834" s="1544"/>
    </row>
    <row r="835" spans="1:16" s="1555" customFormat="1" ht="18.75" hidden="1" customHeight="1">
      <c r="A835" s="1700"/>
      <c r="B835" s="1700"/>
      <c r="C835" s="293" t="s">
        <v>1519</v>
      </c>
      <c r="D835" s="9028"/>
      <c r="E835" s="8837"/>
      <c r="F835" s="8972"/>
      <c r="G835" s="9000"/>
      <c r="H835" s="1415"/>
      <c r="I835" s="569" t="s">
        <v>1518</v>
      </c>
      <c r="J835" s="494"/>
      <c r="K835" s="1415"/>
      <c r="L835" s="131"/>
      <c r="M835" s="263"/>
      <c r="N835" s="256"/>
      <c r="O835" s="1544"/>
      <c r="P835" s="1544"/>
    </row>
    <row r="836" spans="1:16" s="1555" customFormat="1" ht="0.75" hidden="1" customHeight="1">
      <c r="A836" s="1700"/>
      <c r="B836" s="1700"/>
      <c r="C836" s="293" t="s">
        <v>1527</v>
      </c>
      <c r="D836" s="9028"/>
      <c r="E836" s="8837"/>
      <c r="F836" s="8972"/>
      <c r="G836" s="329"/>
      <c r="H836" s="1415"/>
      <c r="I836" s="569"/>
      <c r="J836" s="494"/>
      <c r="K836" s="1415"/>
      <c r="L836" s="131"/>
      <c r="M836" s="263"/>
      <c r="N836" s="256"/>
      <c r="O836" s="1544"/>
      <c r="P836" s="1544"/>
    </row>
    <row r="837" spans="1:16" s="1555" customFormat="1" ht="18.75" hidden="1" customHeight="1">
      <c r="A837" s="1700" t="s">
        <v>298</v>
      </c>
      <c r="B837" s="1700" t="s">
        <v>299</v>
      </c>
      <c r="C837" s="293"/>
      <c r="D837" s="9028"/>
      <c r="E837" s="8837"/>
      <c r="F837" s="8972" t="str">
        <f>INDEX(PT_DIFFERENTIATION_VTAR,MATCH(A837,PT_DIFFERENTIATION_VTAR_ID,0))</f>
        <v>Тариф на техническую воду</v>
      </c>
      <c r="G837" s="9000" t="str">
        <f>INDEX(PT_DIFFERENTIATION_NTAR,MATCH(B837,PT_DIFFERENTIATION_NTAR_ID,0))</f>
        <v/>
      </c>
      <c r="H837" s="1781"/>
      <c r="I837" s="1658"/>
      <c r="J837" s="1693"/>
      <c r="K837" s="1698"/>
      <c r="L837" s="1781" t="s">
        <v>769</v>
      </c>
      <c r="M837" s="263"/>
      <c r="N837" s="256"/>
      <c r="O837" s="1544"/>
      <c r="P837" s="1544"/>
    </row>
    <row r="838" spans="1:16" s="1555" customFormat="1" ht="18.75" hidden="1" customHeight="1">
      <c r="A838" s="1700"/>
      <c r="B838" s="1700"/>
      <c r="C838" s="293" t="s">
        <v>1519</v>
      </c>
      <c r="D838" s="9028"/>
      <c r="E838" s="8837"/>
      <c r="F838" s="8972"/>
      <c r="G838" s="9000"/>
      <c r="H838" s="1415"/>
      <c r="I838" s="569" t="s">
        <v>1518</v>
      </c>
      <c r="J838" s="494"/>
      <c r="K838" s="1415"/>
      <c r="L838" s="131"/>
      <c r="M838" s="263"/>
      <c r="N838" s="256"/>
      <c r="O838" s="1544"/>
      <c r="P838" s="1544"/>
    </row>
    <row r="839" spans="1:16" s="1555" customFormat="1" ht="0.75" hidden="1" customHeight="1">
      <c r="A839" s="1700"/>
      <c r="B839" s="1700"/>
      <c r="C839" s="293" t="s">
        <v>1527</v>
      </c>
      <c r="D839" s="9028"/>
      <c r="E839" s="8837"/>
      <c r="F839" s="8972"/>
      <c r="G839" s="329"/>
      <c r="H839" s="1415"/>
      <c r="I839" s="569"/>
      <c r="J839" s="494"/>
      <c r="K839" s="1415"/>
      <c r="L839" s="131"/>
      <c r="M839" s="263"/>
      <c r="N839" s="256"/>
      <c r="O839" s="1544"/>
      <c r="P839" s="1544"/>
    </row>
    <row r="840" spans="1:16" s="1555" customFormat="1" ht="18.75" hidden="1" customHeight="1">
      <c r="A840" s="1700" t="s">
        <v>303</v>
      </c>
      <c r="B840" s="1700" t="s">
        <v>304</v>
      </c>
      <c r="C840" s="293"/>
      <c r="D840" s="9028"/>
      <c r="E840" s="8837"/>
      <c r="F840" s="8972" t="str">
        <f>INDEX(PT_DIFFERENTIATION_VTAR,MATCH(A840,PT_DIFFERENTIATION_VTAR_ID,0))</f>
        <v>Тариф на транспортировку воды</v>
      </c>
      <c r="G840" s="9000" t="str">
        <f>INDEX(PT_DIFFERENTIATION_NTAR,MATCH(B840,PT_DIFFERENTIATION_NTAR_ID,0))</f>
        <v/>
      </c>
      <c r="H840" s="1781"/>
      <c r="I840" s="1658"/>
      <c r="J840" s="1693"/>
      <c r="K840" s="1698"/>
      <c r="L840" s="1781" t="s">
        <v>769</v>
      </c>
      <c r="M840" s="263"/>
      <c r="N840" s="256"/>
      <c r="O840" s="1544"/>
      <c r="P840" s="1544"/>
    </row>
    <row r="841" spans="1:16" s="1555" customFormat="1" ht="18.75" hidden="1" customHeight="1">
      <c r="A841" s="1700"/>
      <c r="B841" s="1700"/>
      <c r="C841" s="293" t="s">
        <v>1519</v>
      </c>
      <c r="D841" s="9028"/>
      <c r="E841" s="8837"/>
      <c r="F841" s="8972"/>
      <c r="G841" s="9000"/>
      <c r="H841" s="1415"/>
      <c r="I841" s="569" t="s">
        <v>1518</v>
      </c>
      <c r="J841" s="494"/>
      <c r="K841" s="1415"/>
      <c r="L841" s="131"/>
      <c r="M841" s="263"/>
      <c r="N841" s="256"/>
      <c r="O841" s="1544"/>
      <c r="P841" s="1544"/>
    </row>
    <row r="842" spans="1:16" s="1555" customFormat="1" ht="0.75" hidden="1" customHeight="1">
      <c r="A842" s="1700"/>
      <c r="B842" s="1700"/>
      <c r="C842" s="293" t="s">
        <v>1527</v>
      </c>
      <c r="D842" s="9028"/>
      <c r="E842" s="8837"/>
      <c r="F842" s="8972"/>
      <c r="G842" s="329"/>
      <c r="H842" s="1415"/>
      <c r="I842" s="569"/>
      <c r="J842" s="494"/>
      <c r="K842" s="1415"/>
      <c r="L842" s="131"/>
      <c r="M842" s="263"/>
      <c r="N842" s="256"/>
      <c r="O842" s="1544"/>
      <c r="P842" s="1544"/>
    </row>
    <row r="843" spans="1:16" s="1555" customFormat="1" ht="18.75" customHeight="1">
      <c r="A843" s="1700" t="s">
        <v>310</v>
      </c>
      <c r="B843" s="1700" t="s">
        <v>311</v>
      </c>
      <c r="C843" s="293"/>
      <c r="D843" s="9028"/>
      <c r="E843" s="8837"/>
      <c r="F843" s="8972" t="str">
        <f>INDEX(PT_DIFFERENTIATION_VTAR,MATCH(A843,PT_DIFFERENTIATION_VTAR_ID,0))</f>
        <v>Тариф на подвоз воды</v>
      </c>
      <c r="G843" s="9000" t="str">
        <f>INDEX(PT_DIFFERENTIATION_NTAR,MATCH(B843,PT_DIFFERENTIATION_NTAR_ID,0))</f>
        <v>Подвоз воды потребителям поселка Малостепновского</v>
      </c>
      <c r="H843" s="1781"/>
      <c r="I843" s="1658">
        <v>45292</v>
      </c>
      <c r="J843" s="1693">
        <v>45657</v>
      </c>
      <c r="K843" s="1698">
        <v>0</v>
      </c>
      <c r="L843" s="1781" t="s">
        <v>769</v>
      </c>
      <c r="M843" s="263"/>
      <c r="N843" s="256"/>
      <c r="O843" s="1544"/>
      <c r="P843" s="1544"/>
    </row>
    <row r="844" spans="1:16" s="1555" customFormat="1" ht="18.75" customHeight="1">
      <c r="A844" s="1700"/>
      <c r="B844" s="1700"/>
      <c r="C844" s="293" t="s">
        <v>1519</v>
      </c>
      <c r="D844" s="9028"/>
      <c r="E844" s="8837"/>
      <c r="F844" s="8972"/>
      <c r="G844" s="9000"/>
      <c r="H844" s="1415"/>
      <c r="I844" s="569" t="s">
        <v>1518</v>
      </c>
      <c r="J844" s="494"/>
      <c r="K844" s="1415"/>
      <c r="L844" s="131"/>
      <c r="M844" s="263"/>
      <c r="N844" s="256"/>
      <c r="O844" s="1544"/>
      <c r="P844" s="1544"/>
    </row>
    <row r="845" spans="1:16" s="1555" customFormat="1" ht="18.75" customHeight="1">
      <c r="A845" s="1742" t="s">
        <v>310</v>
      </c>
      <c r="B845" s="1742" t="s">
        <v>317</v>
      </c>
      <c r="C845" s="1607"/>
      <c r="D845" s="9029"/>
      <c r="E845" s="9030"/>
      <c r="F845" s="9030"/>
      <c r="G845" s="9000" t="str">
        <f>INDEX(PT_DIFFERENTIATION_NTAR,MATCH(B845,PT_DIFFERENTIATION_NTAR_ID,0))</f>
        <v>Подвоз воды потребителям хутора Репьевая</v>
      </c>
      <c r="H845" s="1809"/>
      <c r="I845" s="1658">
        <v>45292</v>
      </c>
      <c r="J845" s="1693">
        <v>45657</v>
      </c>
      <c r="K845" s="1698">
        <v>0</v>
      </c>
      <c r="L845" s="1809" t="s">
        <v>769</v>
      </c>
      <c r="M845" s="1794"/>
      <c r="N845" s="537"/>
      <c r="O845" s="1544"/>
      <c r="P845" s="1544"/>
    </row>
    <row r="846" spans="1:16" s="1555" customFormat="1" ht="18.75" customHeight="1">
      <c r="A846" s="1742"/>
      <c r="B846" s="1742"/>
      <c r="C846" s="1607" t="s">
        <v>1519</v>
      </c>
      <c r="D846" s="9029"/>
      <c r="E846" s="9030"/>
      <c r="F846" s="9030"/>
      <c r="G846" s="9000"/>
      <c r="H846" s="8359"/>
      <c r="I846" s="8360" t="s">
        <v>1518</v>
      </c>
      <c r="J846" s="8361"/>
      <c r="K846" s="8362"/>
      <c r="L846" s="8363"/>
      <c r="M846" s="1794"/>
      <c r="N846" s="537"/>
      <c r="O846" s="1544"/>
      <c r="P846" s="1544"/>
    </row>
    <row r="847" spans="1:16" s="1555" customFormat="1" ht="18.75" customHeight="1">
      <c r="A847" s="1742" t="s">
        <v>310</v>
      </c>
      <c r="B847" s="1742" t="s">
        <v>322</v>
      </c>
      <c r="C847" s="1607"/>
      <c r="D847" s="9029"/>
      <c r="E847" s="9030"/>
      <c r="F847" s="9030"/>
      <c r="G847" s="9000" t="str">
        <f>INDEX(PT_DIFFERENTIATION_NTAR,MATCH(B847,PT_DIFFERENTIATION_NTAR_ID,0))</f>
        <v>Подвоз воды потребителям хутора Красный Чонгарец</v>
      </c>
      <c r="H847" s="1809"/>
      <c r="I847" s="1658">
        <v>45292</v>
      </c>
      <c r="J847" s="1693">
        <v>45657</v>
      </c>
      <c r="K847" s="1698">
        <v>0</v>
      </c>
      <c r="L847" s="1809" t="s">
        <v>769</v>
      </c>
      <c r="M847" s="1794"/>
      <c r="N847" s="537"/>
      <c r="O847" s="1544"/>
      <c r="P847" s="1544"/>
    </row>
    <row r="848" spans="1:16" s="1555" customFormat="1" ht="18.75" customHeight="1">
      <c r="A848" s="1742"/>
      <c r="B848" s="1742"/>
      <c r="C848" s="1607" t="s">
        <v>1519</v>
      </c>
      <c r="D848" s="9029"/>
      <c r="E848" s="9030"/>
      <c r="F848" s="9030"/>
      <c r="G848" s="9000"/>
      <c r="H848" s="8364"/>
      <c r="I848" s="8365" t="s">
        <v>1518</v>
      </c>
      <c r="J848" s="8366"/>
      <c r="K848" s="8367"/>
      <c r="L848" s="8368"/>
      <c r="M848" s="1794"/>
      <c r="N848" s="537"/>
      <c r="O848" s="1544"/>
      <c r="P848" s="1544"/>
    </row>
    <row r="849" spans="1:16" s="1555" customFormat="1" ht="18.75" customHeight="1">
      <c r="A849" s="1742" t="s">
        <v>310</v>
      </c>
      <c r="B849" s="1742" t="s">
        <v>327</v>
      </c>
      <c r="C849" s="1607"/>
      <c r="D849" s="9029"/>
      <c r="E849" s="9030"/>
      <c r="F849" s="9030"/>
      <c r="G849" s="9000" t="str">
        <f>INDEX(PT_DIFFERENTIATION_NTAR,MATCH(B849,PT_DIFFERENTIATION_NTAR_ID,0))</f>
        <v>Подвоз воды потребителям села Киан-Подгорного</v>
      </c>
      <c r="H849" s="1809"/>
      <c r="I849" s="1658">
        <v>45292</v>
      </c>
      <c r="J849" s="1693">
        <v>45657</v>
      </c>
      <c r="K849" s="1698">
        <v>0</v>
      </c>
      <c r="L849" s="1809" t="s">
        <v>769</v>
      </c>
      <c r="M849" s="1794"/>
      <c r="N849" s="537"/>
      <c r="O849" s="1544"/>
      <c r="P849" s="1544"/>
    </row>
    <row r="850" spans="1:16" s="1555" customFormat="1" ht="18.75" customHeight="1">
      <c r="A850" s="1742"/>
      <c r="B850" s="1742"/>
      <c r="C850" s="1607" t="s">
        <v>1519</v>
      </c>
      <c r="D850" s="9029"/>
      <c r="E850" s="9030"/>
      <c r="F850" s="9030"/>
      <c r="G850" s="9000"/>
      <c r="H850" s="8369"/>
      <c r="I850" s="8370" t="s">
        <v>1518</v>
      </c>
      <c r="J850" s="8371"/>
      <c r="K850" s="8372"/>
      <c r="L850" s="8373"/>
      <c r="M850" s="1794"/>
      <c r="N850" s="537"/>
      <c r="O850" s="1544"/>
      <c r="P850" s="1544"/>
    </row>
    <row r="851" spans="1:16" s="1555" customFormat="1" ht="18.75" customHeight="1">
      <c r="A851" s="1742" t="s">
        <v>310</v>
      </c>
      <c r="B851" s="1742" t="s">
        <v>332</v>
      </c>
      <c r="C851" s="1607"/>
      <c r="D851" s="9029"/>
      <c r="E851" s="9030"/>
      <c r="F851" s="9030"/>
      <c r="G851" s="9000" t="str">
        <f>INDEX(PT_DIFFERENTIATION_NTAR,MATCH(B851,PT_DIFFERENTIATION_NTAR_ID,0))</f>
        <v>Подвоз воды потребителям села Водораздел</v>
      </c>
      <c r="H851" s="1809"/>
      <c r="I851" s="1658">
        <v>45292</v>
      </c>
      <c r="J851" s="1693">
        <v>45657</v>
      </c>
      <c r="K851" s="1698">
        <v>0</v>
      </c>
      <c r="L851" s="1809" t="s">
        <v>769</v>
      </c>
      <c r="M851" s="1794"/>
      <c r="N851" s="537"/>
      <c r="O851" s="1544"/>
      <c r="P851" s="1544"/>
    </row>
    <row r="852" spans="1:16" s="1555" customFormat="1" ht="18.75" customHeight="1">
      <c r="A852" s="1742"/>
      <c r="B852" s="1742"/>
      <c r="C852" s="1607" t="s">
        <v>1519</v>
      </c>
      <c r="D852" s="9029"/>
      <c r="E852" s="9030"/>
      <c r="F852" s="9030"/>
      <c r="G852" s="9000"/>
      <c r="H852" s="8374"/>
      <c r="I852" s="8375" t="s">
        <v>1518</v>
      </c>
      <c r="J852" s="8376"/>
      <c r="K852" s="8377"/>
      <c r="L852" s="8378"/>
      <c r="M852" s="1794"/>
      <c r="N852" s="537"/>
      <c r="O852" s="1544"/>
      <c r="P852" s="1544"/>
    </row>
    <row r="853" spans="1:16" s="1555" customFormat="1" ht="18.75" customHeight="1">
      <c r="A853" s="1742" t="s">
        <v>310</v>
      </c>
      <c r="B853" s="1742" t="s">
        <v>337</v>
      </c>
      <c r="C853" s="1607"/>
      <c r="D853" s="9029"/>
      <c r="E853" s="9030"/>
      <c r="F853" s="9030"/>
      <c r="G853" s="9000" t="str">
        <f>INDEX(PT_DIFFERENTIATION_NTAR,MATCH(B853,PT_DIFFERENTIATION_NTAR_ID,0))</f>
        <v>Подвоз воды потребителям хутора Павловка</v>
      </c>
      <c r="H853" s="1809"/>
      <c r="I853" s="1658">
        <v>45292</v>
      </c>
      <c r="J853" s="1693">
        <v>45657</v>
      </c>
      <c r="K853" s="1698">
        <v>0</v>
      </c>
      <c r="L853" s="1809" t="s">
        <v>769</v>
      </c>
      <c r="M853" s="1794"/>
      <c r="N853" s="537"/>
      <c r="O853" s="1544"/>
      <c r="P853" s="1544"/>
    </row>
    <row r="854" spans="1:16" s="1555" customFormat="1" ht="18.75" customHeight="1">
      <c r="A854" s="1742"/>
      <c r="B854" s="1742"/>
      <c r="C854" s="1607" t="s">
        <v>1519</v>
      </c>
      <c r="D854" s="9029"/>
      <c r="E854" s="9030"/>
      <c r="F854" s="9030"/>
      <c r="G854" s="9000"/>
      <c r="H854" s="8379"/>
      <c r="I854" s="8380" t="s">
        <v>1518</v>
      </c>
      <c r="J854" s="8381"/>
      <c r="K854" s="8382"/>
      <c r="L854" s="8383"/>
      <c r="M854" s="1794"/>
      <c r="N854" s="537"/>
      <c r="O854" s="1544"/>
      <c r="P854" s="1544"/>
    </row>
    <row r="855" spans="1:16" s="1555" customFormat="1" ht="18.75" customHeight="1">
      <c r="A855" s="1742" t="s">
        <v>310</v>
      </c>
      <c r="B855" s="1742" t="s">
        <v>342</v>
      </c>
      <c r="C855" s="1607"/>
      <c r="D855" s="9029"/>
      <c r="E855" s="9030"/>
      <c r="F855" s="9030"/>
      <c r="G855" s="9000" t="str">
        <f>INDEX(PT_DIFFERENTIATION_NTAR,MATCH(B855,PT_DIFFERENTIATION_NTAR_ID,0))</f>
        <v>Подвоз воды потребителям хутора Весёлого</v>
      </c>
      <c r="H855" s="1809"/>
      <c r="I855" s="1658">
        <v>45292</v>
      </c>
      <c r="J855" s="1693">
        <v>45657</v>
      </c>
      <c r="K855" s="1698">
        <v>0</v>
      </c>
      <c r="L855" s="1809" t="s">
        <v>769</v>
      </c>
      <c r="M855" s="1794"/>
      <c r="N855" s="537"/>
      <c r="O855" s="1544"/>
      <c r="P855" s="1544"/>
    </row>
    <row r="856" spans="1:16" s="1555" customFormat="1" ht="18.75" customHeight="1">
      <c r="A856" s="1742"/>
      <c r="B856" s="1742"/>
      <c r="C856" s="1607" t="s">
        <v>1519</v>
      </c>
      <c r="D856" s="9029"/>
      <c r="E856" s="9030"/>
      <c r="F856" s="9030"/>
      <c r="G856" s="9000"/>
      <c r="H856" s="8384"/>
      <c r="I856" s="8385" t="s">
        <v>1518</v>
      </c>
      <c r="J856" s="8386"/>
      <c r="K856" s="8387"/>
      <c r="L856" s="8388"/>
      <c r="M856" s="1794"/>
      <c r="N856" s="537"/>
      <c r="O856" s="1544"/>
      <c r="P856" s="1544"/>
    </row>
    <row r="857" spans="1:16" s="1555" customFormat="1" ht="18.75" customHeight="1">
      <c r="A857" s="1742" t="s">
        <v>310</v>
      </c>
      <c r="B857" s="1742" t="s">
        <v>347</v>
      </c>
      <c r="C857" s="1607"/>
      <c r="D857" s="9029"/>
      <c r="E857" s="9030"/>
      <c r="F857" s="9030"/>
      <c r="G857" s="9000" t="str">
        <f>INDEX(PT_DIFFERENTIATION_NTAR,MATCH(B857,PT_DIFFERENTIATION_NTAR_ID,0))</f>
        <v>Подвоз воды потребителям поселка Вишнёвого</v>
      </c>
      <c r="H857" s="1809"/>
      <c r="I857" s="1658">
        <v>45292</v>
      </c>
      <c r="J857" s="1693">
        <v>45657</v>
      </c>
      <c r="K857" s="1698">
        <v>0</v>
      </c>
      <c r="L857" s="1809" t="s">
        <v>769</v>
      </c>
      <c r="M857" s="1794"/>
      <c r="N857" s="537"/>
      <c r="O857" s="1544"/>
      <c r="P857" s="1544"/>
    </row>
    <row r="858" spans="1:16" s="1555" customFormat="1" ht="18.75" customHeight="1">
      <c r="A858" s="1742"/>
      <c r="B858" s="1742"/>
      <c r="C858" s="1607" t="s">
        <v>1519</v>
      </c>
      <c r="D858" s="9029"/>
      <c r="E858" s="9030"/>
      <c r="F858" s="9030"/>
      <c r="G858" s="9000"/>
      <c r="H858" s="8389"/>
      <c r="I858" s="8390" t="s">
        <v>1518</v>
      </c>
      <c r="J858" s="8391"/>
      <c r="K858" s="8392"/>
      <c r="L858" s="8393"/>
      <c r="M858" s="1794"/>
      <c r="N858" s="537"/>
      <c r="O858" s="1544"/>
      <c r="P858" s="1544"/>
    </row>
    <row r="859" spans="1:16" s="1555" customFormat="1" ht="18.75" customHeight="1">
      <c r="A859" s="1742" t="s">
        <v>310</v>
      </c>
      <c r="B859" s="1742" t="s">
        <v>352</v>
      </c>
      <c r="C859" s="1607"/>
      <c r="D859" s="9029"/>
      <c r="E859" s="9030"/>
      <c r="F859" s="9030"/>
      <c r="G859" s="9000" t="str">
        <f>INDEX(PT_DIFFERENTIATION_NTAR,MATCH(B859,PT_DIFFERENTIATION_NTAR_ID,0))</f>
        <v>Подвоз воды потребителям поселка Степного</v>
      </c>
      <c r="H859" s="1809"/>
      <c r="I859" s="1658">
        <v>45292</v>
      </c>
      <c r="J859" s="1693">
        <v>45657</v>
      </c>
      <c r="K859" s="1698">
        <v>0</v>
      </c>
      <c r="L859" s="1809" t="s">
        <v>769</v>
      </c>
      <c r="M859" s="1794"/>
      <c r="N859" s="537"/>
      <c r="O859" s="1544"/>
      <c r="P859" s="1544"/>
    </row>
    <row r="860" spans="1:16" s="1555" customFormat="1" ht="18.75" customHeight="1">
      <c r="A860" s="1742"/>
      <c r="B860" s="1742"/>
      <c r="C860" s="1607" t="s">
        <v>1519</v>
      </c>
      <c r="D860" s="9029"/>
      <c r="E860" s="9030"/>
      <c r="F860" s="9030"/>
      <c r="G860" s="9000"/>
      <c r="H860" s="8394"/>
      <c r="I860" s="8395" t="s">
        <v>1518</v>
      </c>
      <c r="J860" s="8396"/>
      <c r="K860" s="8397"/>
      <c r="L860" s="8398"/>
      <c r="M860" s="1794"/>
      <c r="N860" s="537"/>
      <c r="O860" s="1544"/>
      <c r="P860" s="1544"/>
    </row>
    <row r="861" spans="1:16" s="1555" customFormat="1" ht="18.75" customHeight="1">
      <c r="A861" s="1742" t="s">
        <v>310</v>
      </c>
      <c r="B861" s="1742" t="s">
        <v>357</v>
      </c>
      <c r="C861" s="1607"/>
      <c r="D861" s="9029"/>
      <c r="E861" s="9030"/>
      <c r="F861" s="9030"/>
      <c r="G861" s="9000" t="str">
        <f>INDEX(PT_DIFFERENTIATION_NTAR,MATCH(B861,PT_DIFFERENTIATION_NTAR_ID,0))</f>
        <v>Подвоз воды потребителям поселка Лугового</v>
      </c>
      <c r="H861" s="1809"/>
      <c r="I861" s="1658">
        <v>45292</v>
      </c>
      <c r="J861" s="1693">
        <v>45657</v>
      </c>
      <c r="K861" s="1698">
        <v>0</v>
      </c>
      <c r="L861" s="1809" t="s">
        <v>769</v>
      </c>
      <c r="M861" s="1794"/>
      <c r="N861" s="537"/>
      <c r="O861" s="1544"/>
      <c r="P861" s="1544"/>
    </row>
    <row r="862" spans="1:16" s="1555" customFormat="1" ht="18.75" customHeight="1">
      <c r="A862" s="1742"/>
      <c r="B862" s="1742"/>
      <c r="C862" s="1607" t="s">
        <v>1519</v>
      </c>
      <c r="D862" s="9029"/>
      <c r="E862" s="9030"/>
      <c r="F862" s="9030"/>
      <c r="G862" s="9000"/>
      <c r="H862" s="8399"/>
      <c r="I862" s="8400" t="s">
        <v>1518</v>
      </c>
      <c r="J862" s="8401"/>
      <c r="K862" s="8402"/>
      <c r="L862" s="8403"/>
      <c r="M862" s="1794"/>
      <c r="N862" s="537"/>
      <c r="O862" s="1544"/>
      <c r="P862" s="1544"/>
    </row>
    <row r="863" spans="1:16" s="1555" customFormat="1" ht="18.75" customHeight="1">
      <c r="A863" s="1742" t="s">
        <v>310</v>
      </c>
      <c r="B863" s="1742" t="s">
        <v>362</v>
      </c>
      <c r="C863" s="1607"/>
      <c r="D863" s="9029"/>
      <c r="E863" s="9030"/>
      <c r="F863" s="9030"/>
      <c r="G863" s="9000" t="str">
        <f>INDEX(PT_DIFFERENTIATION_NTAR,MATCH(B863,PT_DIFFERENTIATION_NTAR_ID,0))</f>
        <v>Подвоз воды потребителям поселка Правобережного</v>
      </c>
      <c r="H863" s="1809"/>
      <c r="I863" s="1658">
        <v>45292</v>
      </c>
      <c r="J863" s="1693">
        <v>45657</v>
      </c>
      <c r="K863" s="1698">
        <v>0</v>
      </c>
      <c r="L863" s="1809" t="s">
        <v>769</v>
      </c>
      <c r="M863" s="1794"/>
      <c r="N863" s="537"/>
      <c r="O863" s="1544"/>
      <c r="P863" s="1544"/>
    </row>
    <row r="864" spans="1:16" s="1555" customFormat="1" ht="18.75" customHeight="1">
      <c r="A864" s="1742"/>
      <c r="B864" s="1742"/>
      <c r="C864" s="1607" t="s">
        <v>1519</v>
      </c>
      <c r="D864" s="9029"/>
      <c r="E864" s="9030"/>
      <c r="F864" s="9030"/>
      <c r="G864" s="9000"/>
      <c r="H864" s="8404"/>
      <c r="I864" s="8405" t="s">
        <v>1518</v>
      </c>
      <c r="J864" s="8406"/>
      <c r="K864" s="8407"/>
      <c r="L864" s="8408"/>
      <c r="M864" s="1794"/>
      <c r="N864" s="537"/>
      <c r="O864" s="1544"/>
      <c r="P864" s="1544"/>
    </row>
    <row r="865" spans="1:16" s="1555" customFormat="1" ht="18.75" customHeight="1">
      <c r="A865" s="1742" t="s">
        <v>310</v>
      </c>
      <c r="B865" s="1742" t="s">
        <v>367</v>
      </c>
      <c r="C865" s="1607"/>
      <c r="D865" s="9029"/>
      <c r="E865" s="9030"/>
      <c r="F865" s="9030"/>
      <c r="G865" s="9000" t="str">
        <f>INDEX(PT_DIFFERENTIATION_NTAR,MATCH(B865,PT_DIFFERENTIATION_NTAR_ID,0))</f>
        <v>Подвоз воды потребителям хутора Добровольного</v>
      </c>
      <c r="H865" s="1809"/>
      <c r="I865" s="1658">
        <v>45292</v>
      </c>
      <c r="J865" s="1693">
        <v>45657</v>
      </c>
      <c r="K865" s="1698">
        <v>0</v>
      </c>
      <c r="L865" s="1809" t="s">
        <v>769</v>
      </c>
      <c r="M865" s="1794"/>
      <c r="N865" s="537"/>
      <c r="O865" s="1544"/>
      <c r="P865" s="1544"/>
    </row>
    <row r="866" spans="1:16" s="1555" customFormat="1" ht="18.75" customHeight="1">
      <c r="A866" s="1742"/>
      <c r="B866" s="1742"/>
      <c r="C866" s="1607" t="s">
        <v>1519</v>
      </c>
      <c r="D866" s="9029"/>
      <c r="E866" s="9030"/>
      <c r="F866" s="9030"/>
      <c r="G866" s="9000"/>
      <c r="H866" s="8409"/>
      <c r="I866" s="8410" t="s">
        <v>1518</v>
      </c>
      <c r="J866" s="8411"/>
      <c r="K866" s="8412"/>
      <c r="L866" s="8413"/>
      <c r="M866" s="1794"/>
      <c r="N866" s="537"/>
      <c r="O866" s="1544"/>
      <c r="P866" s="1544"/>
    </row>
    <row r="867" spans="1:16" s="1555" customFormat="1" ht="18.75" customHeight="1">
      <c r="A867" s="1742" t="s">
        <v>310</v>
      </c>
      <c r="B867" s="1742" t="s">
        <v>372</v>
      </c>
      <c r="C867" s="1607"/>
      <c r="D867" s="9029"/>
      <c r="E867" s="9030"/>
      <c r="F867" s="9030"/>
      <c r="G867" s="9000" t="str">
        <f>INDEX(PT_DIFFERENTIATION_NTAR,MATCH(B867,PT_DIFFERENTIATION_NTAR_ID,0))</f>
        <v>Подвоз воды потребителям хутора Среднего</v>
      </c>
      <c r="H867" s="1809"/>
      <c r="I867" s="1658">
        <v>45292</v>
      </c>
      <c r="J867" s="1693">
        <v>45657</v>
      </c>
      <c r="K867" s="1698">
        <v>0</v>
      </c>
      <c r="L867" s="1809" t="s">
        <v>769</v>
      </c>
      <c r="M867" s="1794"/>
      <c r="N867" s="537"/>
      <c r="O867" s="1544"/>
      <c r="P867" s="1544"/>
    </row>
    <row r="868" spans="1:16" s="1555" customFormat="1" ht="18.75" customHeight="1">
      <c r="A868" s="1742"/>
      <c r="B868" s="1742"/>
      <c r="C868" s="1607" t="s">
        <v>1519</v>
      </c>
      <c r="D868" s="9029"/>
      <c r="E868" s="9030"/>
      <c r="F868" s="9030"/>
      <c r="G868" s="9000"/>
      <c r="H868" s="8414"/>
      <c r="I868" s="8415" t="s">
        <v>1518</v>
      </c>
      <c r="J868" s="8416"/>
      <c r="K868" s="8417"/>
      <c r="L868" s="8418"/>
      <c r="M868" s="1794"/>
      <c r="N868" s="537"/>
      <c r="O868" s="1544"/>
      <c r="P868" s="1544"/>
    </row>
    <row r="869" spans="1:16" s="1555" customFormat="1" ht="18.75" customHeight="1">
      <c r="A869" s="1742" t="s">
        <v>310</v>
      </c>
      <c r="B869" s="1742" t="s">
        <v>377</v>
      </c>
      <c r="C869" s="1607"/>
      <c r="D869" s="9029"/>
      <c r="E869" s="9030"/>
      <c r="F869" s="9030"/>
      <c r="G869" s="9000" t="str">
        <f>INDEX(PT_DIFFERENTIATION_NTAR,MATCH(B869,PT_DIFFERENTIATION_NTAR_ID,0))</f>
        <v xml:space="preserve">Подвоз воды потребителям поселка Новобалтийского </v>
      </c>
      <c r="H869" s="1809"/>
      <c r="I869" s="1658">
        <v>45292</v>
      </c>
      <c r="J869" s="1693">
        <v>45657</v>
      </c>
      <c r="K869" s="1698">
        <v>0</v>
      </c>
      <c r="L869" s="1809" t="s">
        <v>769</v>
      </c>
      <c r="M869" s="1794"/>
      <c r="N869" s="537"/>
      <c r="O869" s="1544"/>
      <c r="P869" s="1544"/>
    </row>
    <row r="870" spans="1:16" s="1555" customFormat="1" ht="18.75" customHeight="1">
      <c r="A870" s="1742"/>
      <c r="B870" s="1742"/>
      <c r="C870" s="1607" t="s">
        <v>1519</v>
      </c>
      <c r="D870" s="9029"/>
      <c r="E870" s="9030"/>
      <c r="F870" s="9030"/>
      <c r="G870" s="9000"/>
      <c r="H870" s="8419"/>
      <c r="I870" s="8420" t="s">
        <v>1518</v>
      </c>
      <c r="J870" s="8421"/>
      <c r="K870" s="8422"/>
      <c r="L870" s="8423"/>
      <c r="M870" s="1794"/>
      <c r="N870" s="537"/>
      <c r="O870" s="1544"/>
      <c r="P870" s="1544"/>
    </row>
    <row r="871" spans="1:16" s="1555" customFormat="1" ht="18.75" customHeight="1">
      <c r="A871" s="1742" t="s">
        <v>310</v>
      </c>
      <c r="B871" s="1742" t="s">
        <v>382</v>
      </c>
      <c r="C871" s="1607"/>
      <c r="D871" s="9029"/>
      <c r="E871" s="9030"/>
      <c r="F871" s="9030"/>
      <c r="G871" s="9000" t="str">
        <f>INDEX(PT_DIFFERENTIATION_NTAR,MATCH(B871,PT_DIFFERENTIATION_NTAR_ID,0))</f>
        <v>Подвоз воды потребителям хутора Берёзкина</v>
      </c>
      <c r="H871" s="1809"/>
      <c r="I871" s="1658">
        <v>45292</v>
      </c>
      <c r="J871" s="1693">
        <v>45657</v>
      </c>
      <c r="K871" s="1698">
        <v>0</v>
      </c>
      <c r="L871" s="1809" t="s">
        <v>769</v>
      </c>
      <c r="M871" s="1794"/>
      <c r="N871" s="537"/>
      <c r="O871" s="1544"/>
      <c r="P871" s="1544"/>
    </row>
    <row r="872" spans="1:16" s="1555" customFormat="1" ht="18.75" customHeight="1">
      <c r="A872" s="1742"/>
      <c r="B872" s="1742"/>
      <c r="C872" s="1607" t="s">
        <v>1519</v>
      </c>
      <c r="D872" s="9029"/>
      <c r="E872" s="9030"/>
      <c r="F872" s="9030"/>
      <c r="G872" s="9000"/>
      <c r="H872" s="8424"/>
      <c r="I872" s="8425" t="s">
        <v>1518</v>
      </c>
      <c r="J872" s="8426"/>
      <c r="K872" s="8427"/>
      <c r="L872" s="8428"/>
      <c r="M872" s="1794"/>
      <c r="N872" s="537"/>
      <c r="O872" s="1544"/>
      <c r="P872" s="1544"/>
    </row>
    <row r="873" spans="1:16" s="1555" customFormat="1" ht="18.75" customHeight="1">
      <c r="A873" s="1742" t="s">
        <v>310</v>
      </c>
      <c r="B873" s="1742" t="s">
        <v>387</v>
      </c>
      <c r="C873" s="1607"/>
      <c r="D873" s="9029"/>
      <c r="E873" s="9030"/>
      <c r="F873" s="9030"/>
      <c r="G873" s="9000" t="str">
        <f>INDEX(PT_DIFFERENTIATION_NTAR,MATCH(B873,PT_DIFFERENTIATION_NTAR_ID,0))</f>
        <v>Подвоз воды потребителям поселка Бурунного</v>
      </c>
      <c r="H873" s="1809"/>
      <c r="I873" s="1658">
        <v>45292</v>
      </c>
      <c r="J873" s="1693">
        <v>45657</v>
      </c>
      <c r="K873" s="1698">
        <v>0</v>
      </c>
      <c r="L873" s="1809" t="s">
        <v>769</v>
      </c>
      <c r="M873" s="1794"/>
      <c r="N873" s="537"/>
      <c r="O873" s="1544"/>
      <c r="P873" s="1544"/>
    </row>
    <row r="874" spans="1:16" s="1555" customFormat="1" ht="18.75" customHeight="1">
      <c r="A874" s="1742"/>
      <c r="B874" s="1742"/>
      <c r="C874" s="1607" t="s">
        <v>1519</v>
      </c>
      <c r="D874" s="9029"/>
      <c r="E874" s="9030"/>
      <c r="F874" s="9030"/>
      <c r="G874" s="9000"/>
      <c r="H874" s="8429"/>
      <c r="I874" s="8430" t="s">
        <v>1518</v>
      </c>
      <c r="J874" s="8431"/>
      <c r="K874" s="8432"/>
      <c r="L874" s="8433"/>
      <c r="M874" s="1794"/>
      <c r="N874" s="537"/>
      <c r="O874" s="1544"/>
      <c r="P874" s="1544"/>
    </row>
    <row r="875" spans="1:16" s="1555" customFormat="1" ht="18.75" customHeight="1">
      <c r="A875" s="1742" t="s">
        <v>310</v>
      </c>
      <c r="B875" s="1742" t="s">
        <v>392</v>
      </c>
      <c r="C875" s="1607"/>
      <c r="D875" s="9029"/>
      <c r="E875" s="9030"/>
      <c r="F875" s="9030"/>
      <c r="G875" s="9000" t="str">
        <f>INDEX(PT_DIFFERENTIATION_NTAR,MATCH(B875,PT_DIFFERENTIATION_NTAR_ID,0))</f>
        <v>Подвоз воды потребителям поселка Мирного</v>
      </c>
      <c r="H875" s="1809"/>
      <c r="I875" s="1658">
        <v>45292</v>
      </c>
      <c r="J875" s="1693">
        <v>45657</v>
      </c>
      <c r="K875" s="1698">
        <v>0</v>
      </c>
      <c r="L875" s="1809" t="s">
        <v>769</v>
      </c>
      <c r="M875" s="1794"/>
      <c r="N875" s="537"/>
      <c r="O875" s="1544"/>
      <c r="P875" s="1544"/>
    </row>
    <row r="876" spans="1:16" s="1555" customFormat="1" ht="18.75" customHeight="1">
      <c r="A876" s="1742"/>
      <c r="B876" s="1742"/>
      <c r="C876" s="1607" t="s">
        <v>1519</v>
      </c>
      <c r="D876" s="9029"/>
      <c r="E876" s="9030"/>
      <c r="F876" s="9030"/>
      <c r="G876" s="9000"/>
      <c r="H876" s="8434"/>
      <c r="I876" s="8435" t="s">
        <v>1518</v>
      </c>
      <c r="J876" s="8436"/>
      <c r="K876" s="8437"/>
      <c r="L876" s="8438"/>
      <c r="M876" s="1794"/>
      <c r="N876" s="537"/>
      <c r="O876" s="1544"/>
      <c r="P876" s="1544"/>
    </row>
    <row r="877" spans="1:16" s="1555" customFormat="1" ht="18.75" customHeight="1">
      <c r="A877" s="1742" t="s">
        <v>310</v>
      </c>
      <c r="B877" s="1742" t="s">
        <v>397</v>
      </c>
      <c r="C877" s="1607"/>
      <c r="D877" s="9029"/>
      <c r="E877" s="9030"/>
      <c r="F877" s="9030"/>
      <c r="G877" s="9000" t="str">
        <f>INDEX(PT_DIFFERENTIATION_NTAR,MATCH(B877,PT_DIFFERENTIATION_NTAR_ID,0))</f>
        <v>Подвоз воды потребителям поселка Ага-Батыр</v>
      </c>
      <c r="H877" s="1809"/>
      <c r="I877" s="1658">
        <v>45292</v>
      </c>
      <c r="J877" s="1693">
        <v>45657</v>
      </c>
      <c r="K877" s="1698">
        <v>0</v>
      </c>
      <c r="L877" s="1809" t="s">
        <v>769</v>
      </c>
      <c r="M877" s="1794"/>
      <c r="N877" s="537"/>
      <c r="O877" s="1544"/>
      <c r="P877" s="1544"/>
    </row>
    <row r="878" spans="1:16" s="1555" customFormat="1" ht="18.75" customHeight="1">
      <c r="A878" s="1742"/>
      <c r="B878" s="1742"/>
      <c r="C878" s="1607" t="s">
        <v>1519</v>
      </c>
      <c r="D878" s="9029"/>
      <c r="E878" s="9030"/>
      <c r="F878" s="9030"/>
      <c r="G878" s="9000"/>
      <c r="H878" s="8439"/>
      <c r="I878" s="8440" t="s">
        <v>1518</v>
      </c>
      <c r="J878" s="8441"/>
      <c r="K878" s="8442"/>
      <c r="L878" s="8443"/>
      <c r="M878" s="1794"/>
      <c r="N878" s="537"/>
      <c r="O878" s="1544"/>
      <c r="P878" s="1544"/>
    </row>
    <row r="879" spans="1:16" s="1555" customFormat="1" ht="18.75" customHeight="1">
      <c r="A879" s="1742" t="s">
        <v>310</v>
      </c>
      <c r="B879" s="1742" t="s">
        <v>402</v>
      </c>
      <c r="C879" s="1607"/>
      <c r="D879" s="9029"/>
      <c r="E879" s="9030"/>
      <c r="F879" s="9030"/>
      <c r="G879" s="9000" t="str">
        <f>INDEX(PT_DIFFERENTIATION_NTAR,MATCH(B879,PT_DIFFERENTIATION_NTAR_ID,0))</f>
        <v>Подвоз воды потребителям хутора Кировского</v>
      </c>
      <c r="H879" s="1809"/>
      <c r="I879" s="1658">
        <v>45292</v>
      </c>
      <c r="J879" s="1693">
        <v>45657</v>
      </c>
      <c r="K879" s="1698">
        <v>0</v>
      </c>
      <c r="L879" s="1809" t="s">
        <v>769</v>
      </c>
      <c r="M879" s="1794"/>
      <c r="N879" s="537"/>
      <c r="O879" s="1544"/>
      <c r="P879" s="1544"/>
    </row>
    <row r="880" spans="1:16" s="1555" customFormat="1" ht="18.75" customHeight="1">
      <c r="A880" s="1742"/>
      <c r="B880" s="1742"/>
      <c r="C880" s="1607" t="s">
        <v>1519</v>
      </c>
      <c r="D880" s="9029"/>
      <c r="E880" s="9030"/>
      <c r="F880" s="9030"/>
      <c r="G880" s="9000"/>
      <c r="H880" s="8444"/>
      <c r="I880" s="8445" t="s">
        <v>1518</v>
      </c>
      <c r="J880" s="8446"/>
      <c r="K880" s="8447"/>
      <c r="L880" s="8448"/>
      <c r="M880" s="1794"/>
      <c r="N880" s="537"/>
      <c r="O880" s="1544"/>
      <c r="P880" s="1544"/>
    </row>
    <row r="881" spans="1:16" s="1555" customFormat="1" ht="18.75" customHeight="1">
      <c r="A881" s="1742" t="s">
        <v>310</v>
      </c>
      <c r="B881" s="1742" t="s">
        <v>407</v>
      </c>
      <c r="C881" s="1607"/>
      <c r="D881" s="9029"/>
      <c r="E881" s="9030"/>
      <c r="F881" s="9030"/>
      <c r="G881" s="9000" t="str">
        <f>INDEX(PT_DIFFERENTIATION_NTAR,MATCH(B881,PT_DIFFERENTIATION_NTAR_ID,0))</f>
        <v>Подвоз воды потребителям хутора Моздокского</v>
      </c>
      <c r="H881" s="1809"/>
      <c r="I881" s="1658">
        <v>45292</v>
      </c>
      <c r="J881" s="1693">
        <v>45657</v>
      </c>
      <c r="K881" s="1698">
        <v>0</v>
      </c>
      <c r="L881" s="1809" t="s">
        <v>769</v>
      </c>
      <c r="M881" s="1794"/>
      <c r="N881" s="537"/>
      <c r="O881" s="1544"/>
      <c r="P881" s="1544"/>
    </row>
    <row r="882" spans="1:16" s="1555" customFormat="1" ht="18.75" customHeight="1">
      <c r="A882" s="1742"/>
      <c r="B882" s="1742"/>
      <c r="C882" s="1607" t="s">
        <v>1519</v>
      </c>
      <c r="D882" s="9029"/>
      <c r="E882" s="9030"/>
      <c r="F882" s="9030"/>
      <c r="G882" s="9000"/>
      <c r="H882" s="8449"/>
      <c r="I882" s="8450" t="s">
        <v>1518</v>
      </c>
      <c r="J882" s="8451"/>
      <c r="K882" s="8452"/>
      <c r="L882" s="8453"/>
      <c r="M882" s="1794"/>
      <c r="N882" s="537"/>
      <c r="O882" s="1544"/>
      <c r="P882" s="1544"/>
    </row>
    <row r="883" spans="1:16" s="1555" customFormat="1" ht="18.75" customHeight="1">
      <c r="A883" s="1742" t="s">
        <v>310</v>
      </c>
      <c r="B883" s="1742" t="s">
        <v>412</v>
      </c>
      <c r="C883" s="1607"/>
      <c r="D883" s="9029"/>
      <c r="E883" s="9030"/>
      <c r="F883" s="9030"/>
      <c r="G883" s="9000" t="str">
        <f>INDEX(PT_DIFFERENTIATION_NTAR,MATCH(B883,PT_DIFFERENTIATION_NTAR_ID,0))</f>
        <v>Подвоз воды потребителям поселка Южанин</v>
      </c>
      <c r="H883" s="1809"/>
      <c r="I883" s="1658">
        <v>45292</v>
      </c>
      <c r="J883" s="1693">
        <v>45657</v>
      </c>
      <c r="K883" s="1698">
        <v>0</v>
      </c>
      <c r="L883" s="1809" t="s">
        <v>769</v>
      </c>
      <c r="M883" s="1794"/>
      <c r="N883" s="537"/>
      <c r="O883" s="1544"/>
      <c r="P883" s="1544"/>
    </row>
    <row r="884" spans="1:16" s="1555" customFormat="1" ht="18.75" customHeight="1">
      <c r="A884" s="1742"/>
      <c r="B884" s="1742"/>
      <c r="C884" s="1607" t="s">
        <v>1519</v>
      </c>
      <c r="D884" s="9029"/>
      <c r="E884" s="9030"/>
      <c r="F884" s="9030"/>
      <c r="G884" s="9000"/>
      <c r="H884" s="8454"/>
      <c r="I884" s="8455" t="s">
        <v>1518</v>
      </c>
      <c r="J884" s="8456"/>
      <c r="K884" s="8457"/>
      <c r="L884" s="8458"/>
      <c r="M884" s="1794"/>
      <c r="N884" s="537"/>
      <c r="O884" s="1544"/>
      <c r="P884" s="1544"/>
    </row>
    <row r="885" spans="1:16" s="1555" customFormat="1" ht="18.75" customHeight="1">
      <c r="A885" s="1742" t="s">
        <v>310</v>
      </c>
      <c r="B885" s="1742" t="s">
        <v>418</v>
      </c>
      <c r="C885" s="1607"/>
      <c r="D885" s="9029"/>
      <c r="E885" s="9030"/>
      <c r="F885" s="9030"/>
      <c r="G885" s="9000" t="str">
        <f>INDEX(PT_DIFFERENTIATION_NTAR,MATCH(B885,PT_DIFFERENTIATION_NTAR_ID,0))</f>
        <v>Подвоз воды потребителям поселка Совхозного</v>
      </c>
      <c r="H885" s="1809"/>
      <c r="I885" s="1658">
        <v>45292</v>
      </c>
      <c r="J885" s="1693">
        <v>45657</v>
      </c>
      <c r="K885" s="1698">
        <v>0</v>
      </c>
      <c r="L885" s="1809" t="s">
        <v>769</v>
      </c>
      <c r="M885" s="1794"/>
      <c r="N885" s="537"/>
      <c r="O885" s="1544"/>
      <c r="P885" s="1544"/>
    </row>
    <row r="886" spans="1:16" s="1555" customFormat="1" ht="18.75" customHeight="1">
      <c r="A886" s="1742"/>
      <c r="B886" s="1742"/>
      <c r="C886" s="1607" t="s">
        <v>1519</v>
      </c>
      <c r="D886" s="9029"/>
      <c r="E886" s="9030"/>
      <c r="F886" s="9030"/>
      <c r="G886" s="9000"/>
      <c r="H886" s="8459"/>
      <c r="I886" s="8460" t="s">
        <v>1518</v>
      </c>
      <c r="J886" s="8461"/>
      <c r="K886" s="8462"/>
      <c r="L886" s="8463"/>
      <c r="M886" s="1794"/>
      <c r="N886" s="537"/>
      <c r="O886" s="1544"/>
      <c r="P886" s="1544"/>
    </row>
    <row r="887" spans="1:16" s="1555" customFormat="1" ht="18.75" customHeight="1">
      <c r="A887" s="1742" t="s">
        <v>310</v>
      </c>
      <c r="B887" s="1742" t="s">
        <v>424</v>
      </c>
      <c r="C887" s="1607"/>
      <c r="D887" s="9029"/>
      <c r="E887" s="9030"/>
      <c r="F887" s="9030"/>
      <c r="G887" s="9000" t="str">
        <f>INDEX(PT_DIFFERENTIATION_NTAR,MATCH(B887,PT_DIFFERENTIATION_NTAR_ID,0))</f>
        <v>Подвоз воды потребителям поселка Песчаного</v>
      </c>
      <c r="H887" s="1809"/>
      <c r="I887" s="1658">
        <v>45292</v>
      </c>
      <c r="J887" s="1693">
        <v>45657</v>
      </c>
      <c r="K887" s="1698">
        <v>0</v>
      </c>
      <c r="L887" s="1809" t="s">
        <v>769</v>
      </c>
      <c r="M887" s="1794"/>
      <c r="N887" s="537"/>
      <c r="O887" s="1544"/>
      <c r="P887" s="1544"/>
    </row>
    <row r="888" spans="1:16" s="1555" customFormat="1" ht="18.75" customHeight="1">
      <c r="A888" s="1742"/>
      <c r="B888" s="1742"/>
      <c r="C888" s="1607" t="s">
        <v>1519</v>
      </c>
      <c r="D888" s="9029"/>
      <c r="E888" s="9030"/>
      <c r="F888" s="9030"/>
      <c r="G888" s="9000"/>
      <c r="H888" s="8464"/>
      <c r="I888" s="8465" t="s">
        <v>1518</v>
      </c>
      <c r="J888" s="8466"/>
      <c r="K888" s="8467"/>
      <c r="L888" s="8468"/>
      <c r="M888" s="1794"/>
      <c r="N888" s="537"/>
      <c r="O888" s="1544"/>
      <c r="P888" s="1544"/>
    </row>
    <row r="889" spans="1:16" s="1555" customFormat="1" ht="18.75" customHeight="1">
      <c r="A889" s="1742" t="s">
        <v>310</v>
      </c>
      <c r="B889" s="1742" t="s">
        <v>429</v>
      </c>
      <c r="C889" s="1607"/>
      <c r="D889" s="9029"/>
      <c r="E889" s="9030"/>
      <c r="F889" s="9030"/>
      <c r="G889" s="9000" t="str">
        <f>INDEX(PT_DIFFERENTIATION_NTAR,MATCH(B889,PT_DIFFERENTIATION_NTAR_ID,0))</f>
        <v>Подвоз воды потребителям аула Али-Кую</v>
      </c>
      <c r="H889" s="1809"/>
      <c r="I889" s="1658">
        <v>45292</v>
      </c>
      <c r="J889" s="1693">
        <v>45657</v>
      </c>
      <c r="K889" s="1698">
        <v>0</v>
      </c>
      <c r="L889" s="1809" t="s">
        <v>769</v>
      </c>
      <c r="M889" s="1794"/>
      <c r="N889" s="537"/>
      <c r="O889" s="1544"/>
      <c r="P889" s="1544"/>
    </row>
    <row r="890" spans="1:16" s="1555" customFormat="1" ht="18.75" customHeight="1">
      <c r="A890" s="1742"/>
      <c r="B890" s="1742"/>
      <c r="C890" s="1607" t="s">
        <v>1519</v>
      </c>
      <c r="D890" s="9029"/>
      <c r="E890" s="9030"/>
      <c r="F890" s="9030"/>
      <c r="G890" s="9000"/>
      <c r="H890" s="8469"/>
      <c r="I890" s="8470" t="s">
        <v>1518</v>
      </c>
      <c r="J890" s="8471"/>
      <c r="K890" s="8472"/>
      <c r="L890" s="8473"/>
      <c r="M890" s="1794"/>
      <c r="N890" s="537"/>
      <c r="O890" s="1544"/>
      <c r="P890" s="1544"/>
    </row>
    <row r="891" spans="1:16" s="1555" customFormat="1" ht="18.75" customHeight="1">
      <c r="A891" s="1742" t="s">
        <v>310</v>
      </c>
      <c r="B891" s="1742" t="s">
        <v>435</v>
      </c>
      <c r="C891" s="1607"/>
      <c r="D891" s="9029"/>
      <c r="E891" s="9030"/>
      <c r="F891" s="9030"/>
      <c r="G891" s="9000" t="str">
        <f>INDEX(PT_DIFFERENTIATION_NTAR,MATCH(B891,PT_DIFFERENTIATION_NTAR_ID,0))</f>
        <v>Подвоз воды потребителям села Серноводского</v>
      </c>
      <c r="H891" s="1809"/>
      <c r="I891" s="1658">
        <v>45292</v>
      </c>
      <c r="J891" s="1693">
        <v>45657</v>
      </c>
      <c r="K891" s="1698">
        <v>0</v>
      </c>
      <c r="L891" s="1809" t="s">
        <v>769</v>
      </c>
      <c r="M891" s="1794"/>
      <c r="N891" s="537"/>
      <c r="O891" s="1544"/>
      <c r="P891" s="1544"/>
    </row>
    <row r="892" spans="1:16" s="1555" customFormat="1" ht="18.75" customHeight="1">
      <c r="A892" s="1742"/>
      <c r="B892" s="1742"/>
      <c r="C892" s="1607" t="s">
        <v>1519</v>
      </c>
      <c r="D892" s="9029"/>
      <c r="E892" s="9030"/>
      <c r="F892" s="9030"/>
      <c r="G892" s="9000"/>
      <c r="H892" s="8474"/>
      <c r="I892" s="8475" t="s">
        <v>1518</v>
      </c>
      <c r="J892" s="8476"/>
      <c r="K892" s="8477"/>
      <c r="L892" s="8478"/>
      <c r="M892" s="1794"/>
      <c r="N892" s="537"/>
      <c r="O892" s="1544"/>
      <c r="P892" s="1544"/>
    </row>
    <row r="893" spans="1:16" s="1555" customFormat="1" ht="18.75" customHeight="1">
      <c r="A893" s="1742" t="s">
        <v>310</v>
      </c>
      <c r="B893" s="1742" t="s">
        <v>441</v>
      </c>
      <c r="C893" s="1607"/>
      <c r="D893" s="9029"/>
      <c r="E893" s="9030"/>
      <c r="F893" s="9030"/>
      <c r="G893" s="9000" t="str">
        <f>INDEX(PT_DIFFERENTIATION_NTAR,MATCH(B893,PT_DIFFERENTIATION_NTAR_ID,0))</f>
        <v>Подвоз воды потребителям хутора Медведева</v>
      </c>
      <c r="H893" s="1809"/>
      <c r="I893" s="1658">
        <v>45292</v>
      </c>
      <c r="J893" s="1693">
        <v>45657</v>
      </c>
      <c r="K893" s="1698">
        <v>0</v>
      </c>
      <c r="L893" s="1809" t="s">
        <v>769</v>
      </c>
      <c r="M893" s="1794"/>
      <c r="N893" s="537"/>
      <c r="O893" s="1544"/>
      <c r="P893" s="1544"/>
    </row>
    <row r="894" spans="1:16" s="1555" customFormat="1" ht="18.75" customHeight="1">
      <c r="A894" s="1742"/>
      <c r="B894" s="1742"/>
      <c r="C894" s="1607" t="s">
        <v>1519</v>
      </c>
      <c r="D894" s="9029"/>
      <c r="E894" s="9030"/>
      <c r="F894" s="9030"/>
      <c r="G894" s="9000"/>
      <c r="H894" s="8479"/>
      <c r="I894" s="8480" t="s">
        <v>1518</v>
      </c>
      <c r="J894" s="8481"/>
      <c r="K894" s="8482"/>
      <c r="L894" s="8483"/>
      <c r="M894" s="1794"/>
      <c r="N894" s="537"/>
      <c r="O894" s="1544"/>
      <c r="P894" s="1544"/>
    </row>
    <row r="895" spans="1:16" s="1555" customFormat="1" ht="18.75" customHeight="1">
      <c r="A895" s="1742" t="s">
        <v>310</v>
      </c>
      <c r="B895" s="1742" t="s">
        <v>447</v>
      </c>
      <c r="C895" s="1607"/>
      <c r="D895" s="9029"/>
      <c r="E895" s="9030"/>
      <c r="F895" s="9030"/>
      <c r="G895" s="9000" t="str">
        <f>INDEX(PT_DIFFERENTIATION_NTAR,MATCH(B895,PT_DIFFERENTIATION_NTAR_ID,0))</f>
        <v>Подвоз воды потребителям хутора Графского</v>
      </c>
      <c r="H895" s="1809"/>
      <c r="I895" s="1658">
        <v>45292</v>
      </c>
      <c r="J895" s="1693">
        <v>45657</v>
      </c>
      <c r="K895" s="1698">
        <v>0</v>
      </c>
      <c r="L895" s="1809" t="s">
        <v>769</v>
      </c>
      <c r="M895" s="1794"/>
      <c r="N895" s="537"/>
      <c r="O895" s="1544"/>
      <c r="P895" s="1544"/>
    </row>
    <row r="896" spans="1:16" s="1555" customFormat="1" ht="18.75" customHeight="1">
      <c r="A896" s="1742"/>
      <c r="B896" s="1742"/>
      <c r="C896" s="1607" t="s">
        <v>1519</v>
      </c>
      <c r="D896" s="9029"/>
      <c r="E896" s="9030"/>
      <c r="F896" s="9030"/>
      <c r="G896" s="9000"/>
      <c r="H896" s="8484"/>
      <c r="I896" s="8485" t="s">
        <v>1518</v>
      </c>
      <c r="J896" s="8486"/>
      <c r="K896" s="8487"/>
      <c r="L896" s="8488"/>
      <c r="M896" s="1794"/>
      <c r="N896" s="537"/>
      <c r="O896" s="1544"/>
      <c r="P896" s="1544"/>
    </row>
    <row r="897" spans="1:16" s="1555" customFormat="1" ht="18.75" customHeight="1">
      <c r="A897" s="1742" t="s">
        <v>310</v>
      </c>
      <c r="B897" s="1742" t="s">
        <v>453</v>
      </c>
      <c r="C897" s="1607"/>
      <c r="D897" s="9029"/>
      <c r="E897" s="9030"/>
      <c r="F897" s="9030"/>
      <c r="G897" s="9000" t="str">
        <f>INDEX(PT_DIFFERENTIATION_NTAR,MATCH(B897,PT_DIFFERENTIATION_NTAR_ID,0))</f>
        <v>Подвоз воды потребителям хутора Бугулова</v>
      </c>
      <c r="H897" s="1809"/>
      <c r="I897" s="1658">
        <v>45292</v>
      </c>
      <c r="J897" s="1693">
        <v>45657</v>
      </c>
      <c r="K897" s="1698">
        <v>0</v>
      </c>
      <c r="L897" s="1809" t="s">
        <v>769</v>
      </c>
      <c r="M897" s="1794"/>
      <c r="N897" s="537"/>
      <c r="O897" s="1544"/>
      <c r="P897" s="1544"/>
    </row>
    <row r="898" spans="1:16" s="1555" customFormat="1" ht="18.75" customHeight="1">
      <c r="A898" s="1742"/>
      <c r="B898" s="1742"/>
      <c r="C898" s="1607" t="s">
        <v>1519</v>
      </c>
      <c r="D898" s="9029"/>
      <c r="E898" s="9030"/>
      <c r="F898" s="9030"/>
      <c r="G898" s="9000"/>
      <c r="H898" s="8489"/>
      <c r="I898" s="8490" t="s">
        <v>1518</v>
      </c>
      <c r="J898" s="8491"/>
      <c r="K898" s="8492"/>
      <c r="L898" s="8493"/>
      <c r="M898" s="1794"/>
      <c r="N898" s="537"/>
      <c r="O898" s="1544"/>
      <c r="P898" s="1544"/>
    </row>
    <row r="899" spans="1:16" s="1555" customFormat="1" ht="18.75" customHeight="1">
      <c r="A899" s="1742" t="s">
        <v>310</v>
      </c>
      <c r="B899" s="1742" t="s">
        <v>459</v>
      </c>
      <c r="C899" s="1607"/>
      <c r="D899" s="9029"/>
      <c r="E899" s="9030"/>
      <c r="F899" s="9030"/>
      <c r="G899" s="9000" t="str">
        <f>INDEX(PT_DIFFERENTIATION_NTAR,MATCH(B899,PT_DIFFERENTIATION_NTAR_ID,0))</f>
        <v>Подвоз воды потребителям хутора Горного</v>
      </c>
      <c r="H899" s="1809"/>
      <c r="I899" s="1658">
        <v>45292</v>
      </c>
      <c r="J899" s="1693">
        <v>45657</v>
      </c>
      <c r="K899" s="1698">
        <v>0</v>
      </c>
      <c r="L899" s="1809" t="s">
        <v>769</v>
      </c>
      <c r="M899" s="1794"/>
      <c r="N899" s="537"/>
      <c r="O899" s="1544"/>
      <c r="P899" s="1544"/>
    </row>
    <row r="900" spans="1:16" s="1555" customFormat="1" ht="18.75" customHeight="1">
      <c r="A900" s="1742"/>
      <c r="B900" s="1742"/>
      <c r="C900" s="1607" t="s">
        <v>1519</v>
      </c>
      <c r="D900" s="9029"/>
      <c r="E900" s="9030"/>
      <c r="F900" s="9030"/>
      <c r="G900" s="9000"/>
      <c r="H900" s="8494"/>
      <c r="I900" s="8495" t="s">
        <v>1518</v>
      </c>
      <c r="J900" s="8496"/>
      <c r="K900" s="8497"/>
      <c r="L900" s="8498"/>
      <c r="M900" s="1794"/>
      <c r="N900" s="537"/>
      <c r="O900" s="1544"/>
      <c r="P900" s="1544"/>
    </row>
    <row r="901" spans="1:16" s="1555" customFormat="1" ht="18.75" customHeight="1">
      <c r="A901" s="1742" t="s">
        <v>310</v>
      </c>
      <c r="B901" s="1742" t="s">
        <v>465</v>
      </c>
      <c r="C901" s="1607"/>
      <c r="D901" s="9029"/>
      <c r="E901" s="9030"/>
      <c r="F901" s="9030"/>
      <c r="G901" s="9000" t="str">
        <f>INDEX(PT_DIFFERENTIATION_NTAR,MATCH(B901,PT_DIFFERENTIATION_NTAR_ID,0))</f>
        <v>Подвоз воды потребителям села Падинского</v>
      </c>
      <c r="H901" s="1809"/>
      <c r="I901" s="1658">
        <v>45292</v>
      </c>
      <c r="J901" s="1693">
        <v>45657</v>
      </c>
      <c r="K901" s="1698">
        <v>0</v>
      </c>
      <c r="L901" s="1809" t="s">
        <v>769</v>
      </c>
      <c r="M901" s="1794"/>
      <c r="N901" s="537"/>
      <c r="O901" s="1544"/>
      <c r="P901" s="1544"/>
    </row>
    <row r="902" spans="1:16" s="1555" customFormat="1" ht="18.75" customHeight="1">
      <c r="A902" s="1742"/>
      <c r="B902" s="1742"/>
      <c r="C902" s="1607" t="s">
        <v>1519</v>
      </c>
      <c r="D902" s="9029"/>
      <c r="E902" s="9030"/>
      <c r="F902" s="9030"/>
      <c r="G902" s="9000"/>
      <c r="H902" s="8499"/>
      <c r="I902" s="8500" t="s">
        <v>1518</v>
      </c>
      <c r="J902" s="8501"/>
      <c r="K902" s="8502"/>
      <c r="L902" s="8503"/>
      <c r="M902" s="1794"/>
      <c r="N902" s="537"/>
      <c r="O902" s="1544"/>
      <c r="P902" s="1544"/>
    </row>
    <row r="903" spans="1:16" s="1555" customFormat="1" ht="18.75" customHeight="1">
      <c r="A903" s="1742" t="s">
        <v>310</v>
      </c>
      <c r="B903" s="1742" t="s">
        <v>471</v>
      </c>
      <c r="C903" s="1607"/>
      <c r="D903" s="9029"/>
      <c r="E903" s="9030"/>
      <c r="F903" s="9030"/>
      <c r="G903" s="9000" t="str">
        <f>INDEX(PT_DIFFERENTIATION_NTAR,MATCH(B903,PT_DIFFERENTIATION_NTAR_ID,0))</f>
        <v>Подвоз воды потребителям поселка Садовая Долина</v>
      </c>
      <c r="H903" s="1809"/>
      <c r="I903" s="1658">
        <v>45292</v>
      </c>
      <c r="J903" s="1693">
        <v>45657</v>
      </c>
      <c r="K903" s="1698">
        <v>0</v>
      </c>
      <c r="L903" s="1809" t="s">
        <v>769</v>
      </c>
      <c r="M903" s="1794"/>
      <c r="N903" s="537"/>
      <c r="O903" s="1544"/>
      <c r="P903" s="1544"/>
    </row>
    <row r="904" spans="1:16" s="1555" customFormat="1" ht="18.75" customHeight="1">
      <c r="A904" s="1742"/>
      <c r="B904" s="1742"/>
      <c r="C904" s="1607" t="s">
        <v>1519</v>
      </c>
      <c r="D904" s="9029"/>
      <c r="E904" s="9030"/>
      <c r="F904" s="9030"/>
      <c r="G904" s="9000"/>
      <c r="H904" s="8504"/>
      <c r="I904" s="8505" t="s">
        <v>1518</v>
      </c>
      <c r="J904" s="8506"/>
      <c r="K904" s="8507"/>
      <c r="L904" s="8508"/>
      <c r="M904" s="1794"/>
      <c r="N904" s="537"/>
      <c r="O904" s="1544"/>
      <c r="P904" s="1544"/>
    </row>
    <row r="905" spans="1:16" s="1555" customFormat="1" ht="18.75" customHeight="1">
      <c r="A905" s="1742" t="s">
        <v>310</v>
      </c>
      <c r="B905" s="1742" t="s">
        <v>477</v>
      </c>
      <c r="C905" s="1607"/>
      <c r="D905" s="9029"/>
      <c r="E905" s="9030"/>
      <c r="F905" s="9030"/>
      <c r="G905" s="9000" t="str">
        <f>INDEX(PT_DIFFERENTIATION_NTAR,MATCH(B905,PT_DIFFERENTIATION_NTAR_ID,0))</f>
        <v>Подвоз воды потребителям хутора Новоборгустанского</v>
      </c>
      <c r="H905" s="1809"/>
      <c r="I905" s="1658">
        <v>45292</v>
      </c>
      <c r="J905" s="1693">
        <v>45657</v>
      </c>
      <c r="K905" s="1698">
        <v>0</v>
      </c>
      <c r="L905" s="1809" t="s">
        <v>769</v>
      </c>
      <c r="M905" s="1794"/>
      <c r="N905" s="537"/>
      <c r="O905" s="1544"/>
      <c r="P905" s="1544"/>
    </row>
    <row r="906" spans="1:16" s="1555" customFormat="1" ht="18.75" customHeight="1">
      <c r="A906" s="1742"/>
      <c r="B906" s="1742"/>
      <c r="C906" s="1607" t="s">
        <v>1519</v>
      </c>
      <c r="D906" s="9029"/>
      <c r="E906" s="9030"/>
      <c r="F906" s="9030"/>
      <c r="G906" s="9000"/>
      <c r="H906" s="8509"/>
      <c r="I906" s="8510" t="s">
        <v>1518</v>
      </c>
      <c r="J906" s="8511"/>
      <c r="K906" s="8512"/>
      <c r="L906" s="8513"/>
      <c r="M906" s="1794"/>
      <c r="N906" s="537"/>
      <c r="O906" s="1544"/>
      <c r="P906" s="1544"/>
    </row>
    <row r="907" spans="1:16" s="1555" customFormat="1" ht="18.75" customHeight="1">
      <c r="A907" s="1742" t="s">
        <v>310</v>
      </c>
      <c r="B907" s="1742" t="s">
        <v>483</v>
      </c>
      <c r="C907" s="1607"/>
      <c r="D907" s="9029"/>
      <c r="E907" s="9030"/>
      <c r="F907" s="9030"/>
      <c r="G907" s="9000" t="str">
        <f>INDEX(PT_DIFFERENTIATION_NTAR,MATCH(B907,PT_DIFFERENTIATION_NTAR_ID,0))</f>
        <v>Подвоз воды потребителям поселка Боргустанские Горы</v>
      </c>
      <c r="H907" s="1809"/>
      <c r="I907" s="1658">
        <v>45292</v>
      </c>
      <c r="J907" s="1693">
        <v>45657</v>
      </c>
      <c r="K907" s="1698">
        <v>0</v>
      </c>
      <c r="L907" s="1809" t="s">
        <v>769</v>
      </c>
      <c r="M907" s="1794"/>
      <c r="N907" s="537"/>
      <c r="O907" s="1544"/>
      <c r="P907" s="1544"/>
    </row>
    <row r="908" spans="1:16" s="1555" customFormat="1" ht="18.75" customHeight="1">
      <c r="A908" s="1742"/>
      <c r="B908" s="1742"/>
      <c r="C908" s="1607" t="s">
        <v>1519</v>
      </c>
      <c r="D908" s="9029"/>
      <c r="E908" s="9030"/>
      <c r="F908" s="9030"/>
      <c r="G908" s="9000"/>
      <c r="H908" s="8514"/>
      <c r="I908" s="8515" t="s">
        <v>1518</v>
      </c>
      <c r="J908" s="8516"/>
      <c r="K908" s="8517"/>
      <c r="L908" s="8518"/>
      <c r="M908" s="1794"/>
      <c r="N908" s="537"/>
      <c r="O908" s="1544"/>
      <c r="P908" s="1544"/>
    </row>
    <row r="909" spans="1:16" s="1555" customFormat="1" ht="18.75" customHeight="1">
      <c r="A909" s="1742" t="s">
        <v>310</v>
      </c>
      <c r="B909" s="1742" t="s">
        <v>489</v>
      </c>
      <c r="C909" s="1607"/>
      <c r="D909" s="9029"/>
      <c r="E909" s="9030"/>
      <c r="F909" s="9030"/>
      <c r="G909" s="9000" t="str">
        <f>INDEX(PT_DIFFERENTIATION_NTAR,MATCH(B909,PT_DIFFERENTIATION_NTAR_ID,0))</f>
        <v>Подвоз воды потребителям хутора Коммаяка</v>
      </c>
      <c r="H909" s="1809"/>
      <c r="I909" s="1658">
        <v>45292</v>
      </c>
      <c r="J909" s="1693">
        <v>45657</v>
      </c>
      <c r="K909" s="1698">
        <v>0</v>
      </c>
      <c r="L909" s="1809" t="s">
        <v>769</v>
      </c>
      <c r="M909" s="1794"/>
      <c r="N909" s="537"/>
      <c r="O909" s="1544"/>
      <c r="P909" s="1544"/>
    </row>
    <row r="910" spans="1:16" s="1555" customFormat="1" ht="18.75" customHeight="1">
      <c r="A910" s="1742"/>
      <c r="B910" s="1742"/>
      <c r="C910" s="1607" t="s">
        <v>1519</v>
      </c>
      <c r="D910" s="9029"/>
      <c r="E910" s="9030"/>
      <c r="F910" s="9030"/>
      <c r="G910" s="9000"/>
      <c r="H910" s="8519"/>
      <c r="I910" s="8520" t="s">
        <v>1518</v>
      </c>
      <c r="J910" s="8521"/>
      <c r="K910" s="8522"/>
      <c r="L910" s="8523"/>
      <c r="M910" s="1794"/>
      <c r="N910" s="537"/>
      <c r="O910" s="1544"/>
      <c r="P910" s="1544"/>
    </row>
    <row r="911" spans="1:16" s="1555" customFormat="1" ht="18.75" customHeight="1">
      <c r="A911" s="1742" t="s">
        <v>310</v>
      </c>
      <c r="B911" s="1742" t="s">
        <v>495</v>
      </c>
      <c r="C911" s="1607"/>
      <c r="D911" s="9029"/>
      <c r="E911" s="9030"/>
      <c r="F911" s="9030"/>
      <c r="G911" s="9000" t="str">
        <f>INDEX(PT_DIFFERENTIATION_NTAR,MATCH(B911,PT_DIFFERENTIATION_NTAR_ID,0))</f>
        <v>Подвоз воды потребителям хутора Садового</v>
      </c>
      <c r="H911" s="1809"/>
      <c r="I911" s="1658">
        <v>45292</v>
      </c>
      <c r="J911" s="1693">
        <v>45657</v>
      </c>
      <c r="K911" s="1698">
        <v>0</v>
      </c>
      <c r="L911" s="1809" t="s">
        <v>769</v>
      </c>
      <c r="M911" s="1794"/>
      <c r="N911" s="537"/>
      <c r="O911" s="1544"/>
      <c r="P911" s="1544"/>
    </row>
    <row r="912" spans="1:16" s="1555" customFormat="1" ht="18.75" customHeight="1">
      <c r="A912" s="1742"/>
      <c r="B912" s="1742"/>
      <c r="C912" s="1607" t="s">
        <v>1519</v>
      </c>
      <c r="D912" s="9029"/>
      <c r="E912" s="9030"/>
      <c r="F912" s="9030"/>
      <c r="G912" s="9000"/>
      <c r="H912" s="8524"/>
      <c r="I912" s="8525" t="s">
        <v>1518</v>
      </c>
      <c r="J912" s="8526"/>
      <c r="K912" s="8527"/>
      <c r="L912" s="8528"/>
      <c r="M912" s="1794"/>
      <c r="N912" s="537"/>
      <c r="O912" s="1544"/>
      <c r="P912" s="1544"/>
    </row>
    <row r="913" spans="1:16" s="1555" customFormat="1" ht="18.75" customHeight="1">
      <c r="A913" s="1742" t="s">
        <v>310</v>
      </c>
      <c r="B913" s="1742" t="s">
        <v>501</v>
      </c>
      <c r="C913" s="1607"/>
      <c r="D913" s="9029"/>
      <c r="E913" s="9030"/>
      <c r="F913" s="9030"/>
      <c r="G913" s="9000" t="str">
        <f>INDEX(PT_DIFFERENTIATION_NTAR,MATCH(B913,PT_DIFFERENTIATION_NTAR_ID,0))</f>
        <v>Подвоз воды потребителям хутора Кофанова</v>
      </c>
      <c r="H913" s="1809"/>
      <c r="I913" s="1658">
        <v>45292</v>
      </c>
      <c r="J913" s="1693">
        <v>45657</v>
      </c>
      <c r="K913" s="1698">
        <v>0</v>
      </c>
      <c r="L913" s="1809" t="s">
        <v>769</v>
      </c>
      <c r="M913" s="1794"/>
      <c r="N913" s="537"/>
      <c r="O913" s="1544"/>
      <c r="P913" s="1544"/>
    </row>
    <row r="914" spans="1:16" s="1555" customFormat="1" ht="18.75" customHeight="1">
      <c r="A914" s="1742"/>
      <c r="B914" s="1742"/>
      <c r="C914" s="1607" t="s">
        <v>1519</v>
      </c>
      <c r="D914" s="9029"/>
      <c r="E914" s="9030"/>
      <c r="F914" s="9030"/>
      <c r="G914" s="9000"/>
      <c r="H914" s="8529"/>
      <c r="I914" s="8530" t="s">
        <v>1518</v>
      </c>
      <c r="J914" s="8531"/>
      <c r="K914" s="8532"/>
      <c r="L914" s="8533"/>
      <c r="M914" s="1794"/>
      <c r="N914" s="537"/>
      <c r="O914" s="1544"/>
      <c r="P914" s="1544"/>
    </row>
    <row r="915" spans="1:16" s="1555" customFormat="1" ht="18.75" customHeight="1">
      <c r="A915" s="1742" t="s">
        <v>310</v>
      </c>
      <c r="B915" s="1742" t="s">
        <v>506</v>
      </c>
      <c r="C915" s="1607"/>
      <c r="D915" s="9029"/>
      <c r="E915" s="9030"/>
      <c r="F915" s="9030"/>
      <c r="G915" s="9000" t="str">
        <f>INDEX(PT_DIFFERENTIATION_NTAR,MATCH(B915,PT_DIFFERENTIATION_NTAR_ID,0))</f>
        <v>Подвоз воды потребителям хутора Холодногорского</v>
      </c>
      <c r="H915" s="1809"/>
      <c r="I915" s="1658">
        <v>45292</v>
      </c>
      <c r="J915" s="1693">
        <v>45657</v>
      </c>
      <c r="K915" s="1698">
        <v>0</v>
      </c>
      <c r="L915" s="1809" t="s">
        <v>769</v>
      </c>
      <c r="M915" s="1794"/>
      <c r="N915" s="537"/>
      <c r="O915" s="1544"/>
      <c r="P915" s="1544"/>
    </row>
    <row r="916" spans="1:16" s="1555" customFormat="1" ht="18.75" customHeight="1">
      <c r="A916" s="1742"/>
      <c r="B916" s="1742"/>
      <c r="C916" s="1607" t="s">
        <v>1519</v>
      </c>
      <c r="D916" s="9029"/>
      <c r="E916" s="9030"/>
      <c r="F916" s="9030"/>
      <c r="G916" s="9000"/>
      <c r="H916" s="8534"/>
      <c r="I916" s="8535" t="s">
        <v>1518</v>
      </c>
      <c r="J916" s="8536"/>
      <c r="K916" s="8537"/>
      <c r="L916" s="8538"/>
      <c r="M916" s="1794"/>
      <c r="N916" s="537"/>
      <c r="O916" s="1544"/>
      <c r="P916" s="1544"/>
    </row>
    <row r="917" spans="1:16" s="1555" customFormat="1" ht="18.75" customHeight="1">
      <c r="A917" s="1742" t="s">
        <v>310</v>
      </c>
      <c r="B917" s="1742" t="s">
        <v>512</v>
      </c>
      <c r="C917" s="1607"/>
      <c r="D917" s="9029"/>
      <c r="E917" s="9030"/>
      <c r="F917" s="9030"/>
      <c r="G917" s="9000" t="str">
        <f>INDEX(PT_DIFFERENTIATION_NTAR,MATCH(B917,PT_DIFFERENTIATION_NTAR_ID,0))</f>
        <v>Подвоз воды потребителям хутора Гремучего</v>
      </c>
      <c r="H917" s="1809"/>
      <c r="I917" s="1658">
        <v>45292</v>
      </c>
      <c r="J917" s="1693">
        <v>45657</v>
      </c>
      <c r="K917" s="1698">
        <v>0</v>
      </c>
      <c r="L917" s="1809" t="s">
        <v>769</v>
      </c>
      <c r="M917" s="1794"/>
      <c r="N917" s="537"/>
      <c r="O917" s="1544"/>
      <c r="P917" s="1544"/>
    </row>
    <row r="918" spans="1:16" s="1555" customFormat="1" ht="18.75" customHeight="1">
      <c r="A918" s="1742"/>
      <c r="B918" s="1742"/>
      <c r="C918" s="1607" t="s">
        <v>1519</v>
      </c>
      <c r="D918" s="9029"/>
      <c r="E918" s="9030"/>
      <c r="F918" s="9030"/>
      <c r="G918" s="9000"/>
      <c r="H918" s="8539"/>
      <c r="I918" s="8540" t="s">
        <v>1518</v>
      </c>
      <c r="J918" s="8541"/>
      <c r="K918" s="8542"/>
      <c r="L918" s="8543"/>
      <c r="M918" s="1794"/>
      <c r="N918" s="537"/>
      <c r="O918" s="1544"/>
      <c r="P918" s="1544"/>
    </row>
    <row r="919" spans="1:16" s="1555" customFormat="1" ht="18.75" customHeight="1">
      <c r="A919" s="1742" t="s">
        <v>310</v>
      </c>
      <c r="B919" s="1742" t="s">
        <v>518</v>
      </c>
      <c r="C919" s="1607"/>
      <c r="D919" s="9029"/>
      <c r="E919" s="9030"/>
      <c r="F919" s="9030"/>
      <c r="G919" s="9000" t="str">
        <f>INDEX(PT_DIFFERENTIATION_NTAR,MATCH(B919,PT_DIFFERENTIATION_NTAR_ID,0))</f>
        <v>Подвоз воды потребителям поселка Верхнедубовского</v>
      </c>
      <c r="H919" s="1809"/>
      <c r="I919" s="1658">
        <v>45292</v>
      </c>
      <c r="J919" s="1693">
        <v>45657</v>
      </c>
      <c r="K919" s="1698">
        <v>0</v>
      </c>
      <c r="L919" s="1809" t="s">
        <v>769</v>
      </c>
      <c r="M919" s="1794"/>
      <c r="N919" s="537"/>
      <c r="O919" s="1544"/>
      <c r="P919" s="1544"/>
    </row>
    <row r="920" spans="1:16" s="1555" customFormat="1" ht="18.75" customHeight="1">
      <c r="A920" s="1742"/>
      <c r="B920" s="1742"/>
      <c r="C920" s="1607" t="s">
        <v>1519</v>
      </c>
      <c r="D920" s="9029"/>
      <c r="E920" s="9030"/>
      <c r="F920" s="9030"/>
      <c r="G920" s="9000"/>
      <c r="H920" s="8544"/>
      <c r="I920" s="8545" t="s">
        <v>1518</v>
      </c>
      <c r="J920" s="8546"/>
      <c r="K920" s="8547"/>
      <c r="L920" s="8548"/>
      <c r="M920" s="1794"/>
      <c r="N920" s="537"/>
      <c r="O920" s="1544"/>
      <c r="P920" s="1544"/>
    </row>
    <row r="921" spans="1:16" s="1555" customFormat="1" ht="18.75" customHeight="1">
      <c r="A921" s="1742" t="s">
        <v>310</v>
      </c>
      <c r="B921" s="1742" t="s">
        <v>524</v>
      </c>
      <c r="C921" s="1607"/>
      <c r="D921" s="9029"/>
      <c r="E921" s="9030"/>
      <c r="F921" s="9030"/>
      <c r="G921" s="9000" t="str">
        <f>INDEX(PT_DIFFERENTIATION_NTAR,MATCH(B921,PT_DIFFERENTIATION_NTAR_ID,0))</f>
        <v>Подвоз воды потребителям хутора Богатого</v>
      </c>
      <c r="H921" s="1809"/>
      <c r="I921" s="1658">
        <v>45292</v>
      </c>
      <c r="J921" s="1693">
        <v>45657</v>
      </c>
      <c r="K921" s="1698">
        <v>0</v>
      </c>
      <c r="L921" s="1809" t="s">
        <v>769</v>
      </c>
      <c r="M921" s="1794"/>
      <c r="N921" s="537"/>
      <c r="O921" s="1544"/>
      <c r="P921" s="1544"/>
    </row>
    <row r="922" spans="1:16" s="1555" customFormat="1" ht="18.75" customHeight="1">
      <c r="A922" s="1742"/>
      <c r="B922" s="1742"/>
      <c r="C922" s="1607" t="s">
        <v>1519</v>
      </c>
      <c r="D922" s="9029"/>
      <c r="E922" s="9030"/>
      <c r="F922" s="9030"/>
      <c r="G922" s="9000"/>
      <c r="H922" s="8549"/>
      <c r="I922" s="8550" t="s">
        <v>1518</v>
      </c>
      <c r="J922" s="8551"/>
      <c r="K922" s="8552"/>
      <c r="L922" s="8553"/>
      <c r="M922" s="1794"/>
      <c r="N922" s="537"/>
      <c r="O922" s="1544"/>
      <c r="P922" s="1544"/>
    </row>
    <row r="923" spans="1:16" s="1555" customFormat="1" ht="18.75" customHeight="1">
      <c r="A923" s="1742" t="s">
        <v>310</v>
      </c>
      <c r="B923" s="1742" t="s">
        <v>530</v>
      </c>
      <c r="C923" s="1607"/>
      <c r="D923" s="9029"/>
      <c r="E923" s="9030"/>
      <c r="F923" s="9030"/>
      <c r="G923" s="9000" t="str">
        <f>INDEX(PT_DIFFERENTIATION_NTAR,MATCH(B923,PT_DIFFERENTIATION_NTAR_ID,0))</f>
        <v>Подвоз воды потребителям хутора Верхнеегорлыкского</v>
      </c>
      <c r="H923" s="1809"/>
      <c r="I923" s="1658">
        <v>45292</v>
      </c>
      <c r="J923" s="1693">
        <v>45657</v>
      </c>
      <c r="K923" s="1698">
        <v>0</v>
      </c>
      <c r="L923" s="1809" t="s">
        <v>769</v>
      </c>
      <c r="M923" s="1794"/>
      <c r="N923" s="537"/>
      <c r="O923" s="1544"/>
      <c r="P923" s="1544"/>
    </row>
    <row r="924" spans="1:16" s="1555" customFormat="1" ht="18.75" customHeight="1">
      <c r="A924" s="1742"/>
      <c r="B924" s="1742"/>
      <c r="C924" s="1607" t="s">
        <v>1519</v>
      </c>
      <c r="D924" s="9029"/>
      <c r="E924" s="9030"/>
      <c r="F924" s="9030"/>
      <c r="G924" s="9000"/>
      <c r="H924" s="8554"/>
      <c r="I924" s="8555" t="s">
        <v>1518</v>
      </c>
      <c r="J924" s="8556"/>
      <c r="K924" s="8557"/>
      <c r="L924" s="8558"/>
      <c r="M924" s="1794"/>
      <c r="N924" s="537"/>
      <c r="O924" s="1544"/>
      <c r="P924" s="1544"/>
    </row>
    <row r="925" spans="1:16" s="1555" customFormat="1" ht="18.75" customHeight="1">
      <c r="A925" s="1742" t="s">
        <v>310</v>
      </c>
      <c r="B925" s="1742" t="s">
        <v>535</v>
      </c>
      <c r="C925" s="1607"/>
      <c r="D925" s="9029"/>
      <c r="E925" s="9030"/>
      <c r="F925" s="9030"/>
      <c r="G925" s="9000" t="str">
        <f>INDEX(PT_DIFFERENTIATION_NTAR,MATCH(B925,PT_DIFFERENTIATION_NTAR_ID,0))</f>
        <v>Подвоз воды потребителям хутора Садового</v>
      </c>
      <c r="H925" s="1809"/>
      <c r="I925" s="1658">
        <v>45292</v>
      </c>
      <c r="J925" s="1693">
        <v>45657</v>
      </c>
      <c r="K925" s="1698">
        <v>0</v>
      </c>
      <c r="L925" s="1809" t="s">
        <v>769</v>
      </c>
      <c r="M925" s="1794"/>
      <c r="N925" s="537"/>
      <c r="O925" s="1544"/>
      <c r="P925" s="1544"/>
    </row>
    <row r="926" spans="1:16" s="1555" customFormat="1" ht="18.75" customHeight="1">
      <c r="A926" s="1742"/>
      <c r="B926" s="1742"/>
      <c r="C926" s="1607" t="s">
        <v>1519</v>
      </c>
      <c r="D926" s="9029"/>
      <c r="E926" s="9030"/>
      <c r="F926" s="9030"/>
      <c r="G926" s="9000"/>
      <c r="H926" s="8559"/>
      <c r="I926" s="8560" t="s">
        <v>1518</v>
      </c>
      <c r="J926" s="8561"/>
      <c r="K926" s="8562"/>
      <c r="L926" s="8563"/>
      <c r="M926" s="1794"/>
      <c r="N926" s="537"/>
      <c r="O926" s="1544"/>
      <c r="P926" s="1544"/>
    </row>
    <row r="927" spans="1:16" s="1555" customFormat="1" ht="18.75" customHeight="1">
      <c r="A927" s="1742" t="s">
        <v>310</v>
      </c>
      <c r="B927" s="1742" t="s">
        <v>541</v>
      </c>
      <c r="C927" s="1607"/>
      <c r="D927" s="9029"/>
      <c r="E927" s="9030"/>
      <c r="F927" s="9030"/>
      <c r="G927" s="9000" t="str">
        <f>INDEX(PT_DIFFERENTIATION_NTAR,MATCH(B927,PT_DIFFERENTIATION_NTAR_ID,0))</f>
        <v>Подвоз воды потребителям хутора Темнореченского</v>
      </c>
      <c r="H927" s="1809"/>
      <c r="I927" s="1658">
        <v>45292</v>
      </c>
      <c r="J927" s="1693">
        <v>45657</v>
      </c>
      <c r="K927" s="1698">
        <v>0</v>
      </c>
      <c r="L927" s="1809" t="s">
        <v>769</v>
      </c>
      <c r="M927" s="1794"/>
      <c r="N927" s="537"/>
      <c r="O927" s="1544"/>
      <c r="P927" s="1544"/>
    </row>
    <row r="928" spans="1:16" s="1555" customFormat="1" ht="18.75" customHeight="1">
      <c r="A928" s="1742"/>
      <c r="B928" s="1742"/>
      <c r="C928" s="1607" t="s">
        <v>1519</v>
      </c>
      <c r="D928" s="9029"/>
      <c r="E928" s="9030"/>
      <c r="F928" s="9030"/>
      <c r="G928" s="9000"/>
      <c r="H928" s="8564"/>
      <c r="I928" s="8565" t="s">
        <v>1518</v>
      </c>
      <c r="J928" s="8566"/>
      <c r="K928" s="8567"/>
      <c r="L928" s="8568"/>
      <c r="M928" s="1794"/>
      <c r="N928" s="537"/>
      <c r="O928" s="1544"/>
      <c r="P928" s="1544"/>
    </row>
    <row r="929" spans="1:16" s="1555" customFormat="1" ht="18.75" customHeight="1">
      <c r="A929" s="1742" t="s">
        <v>310</v>
      </c>
      <c r="B929" s="1742" t="s">
        <v>547</v>
      </c>
      <c r="C929" s="1607"/>
      <c r="D929" s="9029"/>
      <c r="E929" s="9030"/>
      <c r="F929" s="9030"/>
      <c r="G929" s="9000" t="str">
        <f>INDEX(PT_DIFFERENTIATION_NTAR,MATCH(B929,PT_DIFFERENTIATION_NTAR_ID,0))</f>
        <v>Подвоз воды потребителям хутора Рынок</v>
      </c>
      <c r="H929" s="1809"/>
      <c r="I929" s="1658">
        <v>45292</v>
      </c>
      <c r="J929" s="1693">
        <v>45657</v>
      </c>
      <c r="K929" s="1698">
        <v>0</v>
      </c>
      <c r="L929" s="1809" t="s">
        <v>769</v>
      </c>
      <c r="M929" s="1794"/>
      <c r="N929" s="537"/>
      <c r="O929" s="1544"/>
      <c r="P929" s="1544"/>
    </row>
    <row r="930" spans="1:16" s="1555" customFormat="1" ht="18.75" customHeight="1">
      <c r="A930" s="1742"/>
      <c r="B930" s="1742"/>
      <c r="C930" s="1607" t="s">
        <v>1519</v>
      </c>
      <c r="D930" s="9029"/>
      <c r="E930" s="9030"/>
      <c r="F930" s="9030"/>
      <c r="G930" s="9000"/>
      <c r="H930" s="8569"/>
      <c r="I930" s="8570" t="s">
        <v>1518</v>
      </c>
      <c r="J930" s="8571"/>
      <c r="K930" s="8572"/>
      <c r="L930" s="8573"/>
      <c r="M930" s="1794"/>
      <c r="N930" s="537"/>
      <c r="O930" s="1544"/>
      <c r="P930" s="1544"/>
    </row>
    <row r="931" spans="1:16" s="1555" customFormat="1" ht="18.75" customHeight="1">
      <c r="A931" s="1742" t="s">
        <v>310</v>
      </c>
      <c r="B931" s="1742" t="s">
        <v>553</v>
      </c>
      <c r="C931" s="1607"/>
      <c r="D931" s="9029"/>
      <c r="E931" s="9030"/>
      <c r="F931" s="9030"/>
      <c r="G931" s="9000" t="str">
        <f>INDEX(PT_DIFFERENTIATION_NTAR,MATCH(B931,PT_DIFFERENTIATION_NTAR_ID,0))</f>
        <v>Подвоз воды потребителям хутора Польского</v>
      </c>
      <c r="H931" s="1809"/>
      <c r="I931" s="1658">
        <v>45292</v>
      </c>
      <c r="J931" s="1693">
        <v>45657</v>
      </c>
      <c r="K931" s="1698">
        <v>0</v>
      </c>
      <c r="L931" s="1809" t="s">
        <v>769</v>
      </c>
      <c r="M931" s="1794"/>
      <c r="N931" s="537"/>
      <c r="O931" s="1544"/>
      <c r="P931" s="1544"/>
    </row>
    <row r="932" spans="1:16" s="1555" customFormat="1" ht="18.75" customHeight="1">
      <c r="A932" s="1742"/>
      <c r="B932" s="1742"/>
      <c r="C932" s="1607" t="s">
        <v>1519</v>
      </c>
      <c r="D932" s="9029"/>
      <c r="E932" s="9030"/>
      <c r="F932" s="9030"/>
      <c r="G932" s="9000"/>
      <c r="H932" s="8574"/>
      <c r="I932" s="8575" t="s">
        <v>1518</v>
      </c>
      <c r="J932" s="8576"/>
      <c r="K932" s="8577"/>
      <c r="L932" s="8578"/>
      <c r="M932" s="1794"/>
      <c r="N932" s="537"/>
      <c r="O932" s="1544"/>
      <c r="P932" s="1544"/>
    </row>
    <row r="933" spans="1:16" s="1555" customFormat="1" ht="18.75" customHeight="1">
      <c r="A933" s="1742" t="s">
        <v>310</v>
      </c>
      <c r="B933" s="1742" t="s">
        <v>559</v>
      </c>
      <c r="C933" s="1607"/>
      <c r="D933" s="9029"/>
      <c r="E933" s="9030"/>
      <c r="F933" s="9030"/>
      <c r="G933" s="9000" t="str">
        <f>INDEX(PT_DIFFERENTIATION_NTAR,MATCH(B933,PT_DIFFERENTIATION_NTAR_ID,0))</f>
        <v>Подвоз воды потребителям поселка Рогового</v>
      </c>
      <c r="H933" s="1809"/>
      <c r="I933" s="1658">
        <v>45292</v>
      </c>
      <c r="J933" s="1693">
        <v>45657</v>
      </c>
      <c r="K933" s="1698">
        <v>0</v>
      </c>
      <c r="L933" s="1809" t="s">
        <v>769</v>
      </c>
      <c r="M933" s="1794"/>
      <c r="N933" s="537"/>
      <c r="O933" s="1544"/>
      <c r="P933" s="1544"/>
    </row>
    <row r="934" spans="1:16" s="1555" customFormat="1" ht="18.75" customHeight="1">
      <c r="A934" s="1742"/>
      <c r="B934" s="1742"/>
      <c r="C934" s="1607" t="s">
        <v>1519</v>
      </c>
      <c r="D934" s="9029"/>
      <c r="E934" s="9030"/>
      <c r="F934" s="9030"/>
      <c r="G934" s="9000"/>
      <c r="H934" s="8579"/>
      <c r="I934" s="8580" t="s">
        <v>1518</v>
      </c>
      <c r="J934" s="8581"/>
      <c r="K934" s="8582"/>
      <c r="L934" s="8583"/>
      <c r="M934" s="1794"/>
      <c r="N934" s="537"/>
      <c r="O934" s="1544"/>
      <c r="P934" s="1544"/>
    </row>
    <row r="935" spans="1:16" s="1555" customFormat="1" ht="18.75" customHeight="1">
      <c r="A935" s="1742" t="s">
        <v>310</v>
      </c>
      <c r="B935" s="1742" t="s">
        <v>565</v>
      </c>
      <c r="C935" s="1607"/>
      <c r="D935" s="9029"/>
      <c r="E935" s="9030"/>
      <c r="F935" s="9030"/>
      <c r="G935" s="9000" t="str">
        <f>INDEX(PT_DIFFERENTIATION_NTAR,MATCH(B935,PT_DIFFERENTIATION_NTAR_ID,0))</f>
        <v>Подвоз воды потребителям поселка Приэтокского</v>
      </c>
      <c r="H935" s="1809"/>
      <c r="I935" s="1658">
        <v>45292</v>
      </c>
      <c r="J935" s="1693">
        <v>45657</v>
      </c>
      <c r="K935" s="1698">
        <v>0</v>
      </c>
      <c r="L935" s="1809" t="s">
        <v>769</v>
      </c>
      <c r="M935" s="1794"/>
      <c r="N935" s="537"/>
      <c r="O935" s="1544"/>
      <c r="P935" s="1544"/>
    </row>
    <row r="936" spans="1:16" s="1555" customFormat="1" ht="18.75" customHeight="1">
      <c r="A936" s="1742"/>
      <c r="B936" s="1742"/>
      <c r="C936" s="1607" t="s">
        <v>1519</v>
      </c>
      <c r="D936" s="9029"/>
      <c r="E936" s="9030"/>
      <c r="F936" s="9030"/>
      <c r="G936" s="9000"/>
      <c r="H936" s="8584"/>
      <c r="I936" s="8585" t="s">
        <v>1518</v>
      </c>
      <c r="J936" s="8586"/>
      <c r="K936" s="8587"/>
      <c r="L936" s="8588"/>
      <c r="M936" s="1794"/>
      <c r="N936" s="537"/>
      <c r="O936" s="1544"/>
      <c r="P936" s="1544"/>
    </row>
    <row r="937" spans="1:16" s="1555" customFormat="1" ht="18.75" customHeight="1">
      <c r="A937" s="1742" t="s">
        <v>310</v>
      </c>
      <c r="B937" s="1742" t="s">
        <v>571</v>
      </c>
      <c r="C937" s="1607"/>
      <c r="D937" s="9029"/>
      <c r="E937" s="9030"/>
      <c r="F937" s="9030"/>
      <c r="G937" s="9000" t="str">
        <f>INDEX(PT_DIFFERENTIATION_NTAR,MATCH(B937,PT_DIFFERENTIATION_NTAR_ID,0))</f>
        <v>Подвоз воды потребителям поселка Ореховая Роща</v>
      </c>
      <c r="H937" s="1809"/>
      <c r="I937" s="1658">
        <v>45292</v>
      </c>
      <c r="J937" s="1693">
        <v>45657</v>
      </c>
      <c r="K937" s="1698">
        <v>0</v>
      </c>
      <c r="L937" s="1809" t="s">
        <v>769</v>
      </c>
      <c r="M937" s="1794"/>
      <c r="N937" s="537"/>
      <c r="O937" s="1544"/>
      <c r="P937" s="1544"/>
    </row>
    <row r="938" spans="1:16" s="1555" customFormat="1" ht="18.75" customHeight="1">
      <c r="A938" s="1742"/>
      <c r="B938" s="1742"/>
      <c r="C938" s="1607" t="s">
        <v>1519</v>
      </c>
      <c r="D938" s="9029"/>
      <c r="E938" s="9030"/>
      <c r="F938" s="9030"/>
      <c r="G938" s="9000"/>
      <c r="H938" s="8589"/>
      <c r="I938" s="8590" t="s">
        <v>1518</v>
      </c>
      <c r="J938" s="8591"/>
      <c r="K938" s="8592"/>
      <c r="L938" s="8593"/>
      <c r="M938" s="1794"/>
      <c r="N938" s="537"/>
      <c r="O938" s="1544"/>
      <c r="P938" s="1544"/>
    </row>
    <row r="939" spans="1:16" s="1555" customFormat="1" ht="18.75" customHeight="1">
      <c r="A939" s="1742" t="s">
        <v>310</v>
      </c>
      <c r="B939" s="1742" t="s">
        <v>577</v>
      </c>
      <c r="C939" s="1607"/>
      <c r="D939" s="9029"/>
      <c r="E939" s="9030"/>
      <c r="F939" s="9030"/>
      <c r="G939" s="9000" t="str">
        <f>INDEX(PT_DIFFERENTIATION_NTAR,MATCH(B939,PT_DIFFERENTIATION_NTAR_ID,0))</f>
        <v>Подвоз воды потребителям хутора Беляева</v>
      </c>
      <c r="H939" s="1809"/>
      <c r="I939" s="1658">
        <v>45292</v>
      </c>
      <c r="J939" s="1693">
        <v>45657</v>
      </c>
      <c r="K939" s="1698">
        <v>0</v>
      </c>
      <c r="L939" s="1809" t="s">
        <v>769</v>
      </c>
      <c r="M939" s="1794"/>
      <c r="N939" s="537"/>
      <c r="O939" s="1544"/>
      <c r="P939" s="1544"/>
    </row>
    <row r="940" spans="1:16" s="1555" customFormat="1" ht="18.75" customHeight="1">
      <c r="A940" s="1742"/>
      <c r="B940" s="1742"/>
      <c r="C940" s="1607" t="s">
        <v>1519</v>
      </c>
      <c r="D940" s="9029"/>
      <c r="E940" s="9030"/>
      <c r="F940" s="9030"/>
      <c r="G940" s="9000"/>
      <c r="H940" s="8594"/>
      <c r="I940" s="8595" t="s">
        <v>1518</v>
      </c>
      <c r="J940" s="8596"/>
      <c r="K940" s="8597"/>
      <c r="L940" s="8598"/>
      <c r="M940" s="1794"/>
      <c r="N940" s="537"/>
      <c r="O940" s="1544"/>
      <c r="P940" s="1544"/>
    </row>
    <row r="941" spans="1:16" s="1555" customFormat="1" ht="18.75" customHeight="1">
      <c r="A941" s="1742" t="s">
        <v>310</v>
      </c>
      <c r="B941" s="1742" t="s">
        <v>583</v>
      </c>
      <c r="C941" s="1607"/>
      <c r="D941" s="9029"/>
      <c r="E941" s="9030"/>
      <c r="F941" s="9030"/>
      <c r="G941" s="9000" t="str">
        <f>INDEX(PT_DIFFERENTIATION_NTAR,MATCH(B941,PT_DIFFERENTIATION_NTAR_ID,0))</f>
        <v>Подвоз воды потребителям села Найдёновка</v>
      </c>
      <c r="H941" s="1809"/>
      <c r="I941" s="1658">
        <v>45292</v>
      </c>
      <c r="J941" s="1693">
        <v>45657</v>
      </c>
      <c r="K941" s="1698">
        <v>0</v>
      </c>
      <c r="L941" s="1809" t="s">
        <v>769</v>
      </c>
      <c r="M941" s="1794"/>
      <c r="N941" s="537"/>
      <c r="O941" s="1544"/>
      <c r="P941" s="1544"/>
    </row>
    <row r="942" spans="1:16" s="1555" customFormat="1" ht="18.75" customHeight="1">
      <c r="A942" s="1742"/>
      <c r="B942" s="1742"/>
      <c r="C942" s="1607" t="s">
        <v>1519</v>
      </c>
      <c r="D942" s="9029"/>
      <c r="E942" s="9030"/>
      <c r="F942" s="9030"/>
      <c r="G942" s="9000"/>
      <c r="H942" s="8599"/>
      <c r="I942" s="8600" t="s">
        <v>1518</v>
      </c>
      <c r="J942" s="8601"/>
      <c r="K942" s="8602"/>
      <c r="L942" s="8603"/>
      <c r="M942" s="1794"/>
      <c r="N942" s="537"/>
      <c r="O942" s="1544"/>
      <c r="P942" s="1544"/>
    </row>
    <row r="943" spans="1:16" s="1555" customFormat="1" ht="18.75" customHeight="1">
      <c r="A943" s="1742" t="s">
        <v>310</v>
      </c>
      <c r="B943" s="1742" t="s">
        <v>589</v>
      </c>
      <c r="C943" s="1607"/>
      <c r="D943" s="9029"/>
      <c r="E943" s="9030"/>
      <c r="F943" s="9030"/>
      <c r="G943" s="9000" t="str">
        <f>INDEX(PT_DIFFERENTIATION_NTAR,MATCH(B943,PT_DIFFERENTIATION_NTAR_ID,0))</f>
        <v>Подвоз воды потребителям села Подлужного</v>
      </c>
      <c r="H943" s="1809"/>
      <c r="I943" s="1658">
        <v>45292</v>
      </c>
      <c r="J943" s="1693">
        <v>45657</v>
      </c>
      <c r="K943" s="1698">
        <v>0</v>
      </c>
      <c r="L943" s="1809" t="s">
        <v>769</v>
      </c>
      <c r="M943" s="1794"/>
      <c r="N943" s="537"/>
      <c r="O943" s="1544"/>
      <c r="P943" s="1544"/>
    </row>
    <row r="944" spans="1:16" s="1555" customFormat="1" ht="18.75" customHeight="1">
      <c r="A944" s="1742"/>
      <c r="B944" s="1742"/>
      <c r="C944" s="1607" t="s">
        <v>1519</v>
      </c>
      <c r="D944" s="9029"/>
      <c r="E944" s="9030"/>
      <c r="F944" s="9030"/>
      <c r="G944" s="9000"/>
      <c r="H944" s="8604"/>
      <c r="I944" s="8605" t="s">
        <v>1518</v>
      </c>
      <c r="J944" s="8606"/>
      <c r="K944" s="8607"/>
      <c r="L944" s="8608"/>
      <c r="M944" s="1794"/>
      <c r="N944" s="537"/>
      <c r="O944" s="1544"/>
      <c r="P944" s="1544"/>
    </row>
    <row r="945" spans="1:16" s="1555" customFormat="1" ht="18.75" customHeight="1">
      <c r="A945" s="1742" t="s">
        <v>310</v>
      </c>
      <c r="B945" s="1742" t="s">
        <v>595</v>
      </c>
      <c r="C945" s="1607"/>
      <c r="D945" s="9029"/>
      <c r="E945" s="9030"/>
      <c r="F945" s="9030"/>
      <c r="G945" s="9000" t="str">
        <f>INDEX(PT_DIFFERENTIATION_NTAR,MATCH(B945,PT_DIFFERENTIATION_NTAR_ID,0))</f>
        <v>Подвоз воды потребителям хутора Красная Балка</v>
      </c>
      <c r="H945" s="1809"/>
      <c r="I945" s="1658">
        <v>45292</v>
      </c>
      <c r="J945" s="1693">
        <v>45657</v>
      </c>
      <c r="K945" s="1698">
        <v>0</v>
      </c>
      <c r="L945" s="1809" t="s">
        <v>769</v>
      </c>
      <c r="M945" s="1794"/>
      <c r="N945" s="537"/>
      <c r="O945" s="1544"/>
      <c r="P945" s="1544"/>
    </row>
    <row r="946" spans="1:16" s="1555" customFormat="1" ht="18.75" customHeight="1">
      <c r="A946" s="1742"/>
      <c r="B946" s="1742"/>
      <c r="C946" s="1607" t="s">
        <v>1519</v>
      </c>
      <c r="D946" s="9029"/>
      <c r="E946" s="9030"/>
      <c r="F946" s="9030"/>
      <c r="G946" s="9000"/>
      <c r="H946" s="8609"/>
      <c r="I946" s="8610" t="s">
        <v>1518</v>
      </c>
      <c r="J946" s="8611"/>
      <c r="K946" s="8612"/>
      <c r="L946" s="8613"/>
      <c r="M946" s="1794"/>
      <c r="N946" s="537"/>
      <c r="O946" s="1544"/>
      <c r="P946" s="1544"/>
    </row>
    <row r="947" spans="1:16" s="1555" customFormat="1" ht="18.75" customHeight="1">
      <c r="A947" s="1742" t="s">
        <v>310</v>
      </c>
      <c r="B947" s="1742" t="s">
        <v>601</v>
      </c>
      <c r="C947" s="1607"/>
      <c r="D947" s="9029"/>
      <c r="E947" s="9030"/>
      <c r="F947" s="9030"/>
      <c r="G947" s="9000" t="str">
        <f>INDEX(PT_DIFFERENTIATION_NTAR,MATCH(B947,PT_DIFFERENTIATION_NTAR_ID,0))</f>
        <v>Подвоз воды потребителям хутора Козлова</v>
      </c>
      <c r="H947" s="1809"/>
      <c r="I947" s="1658">
        <v>45292</v>
      </c>
      <c r="J947" s="1693">
        <v>45657</v>
      </c>
      <c r="K947" s="1698">
        <v>0</v>
      </c>
      <c r="L947" s="1809" t="s">
        <v>769</v>
      </c>
      <c r="M947" s="1794"/>
      <c r="N947" s="537"/>
      <c r="O947" s="1544"/>
      <c r="P947" s="1544"/>
    </row>
    <row r="948" spans="1:16" s="1555" customFormat="1" ht="18.75" customHeight="1">
      <c r="A948" s="1742"/>
      <c r="B948" s="1742"/>
      <c r="C948" s="1607" t="s">
        <v>1519</v>
      </c>
      <c r="D948" s="9029"/>
      <c r="E948" s="9030"/>
      <c r="F948" s="9030"/>
      <c r="G948" s="9000"/>
      <c r="H948" s="8614"/>
      <c r="I948" s="8615" t="s">
        <v>1518</v>
      </c>
      <c r="J948" s="8616"/>
      <c r="K948" s="8617"/>
      <c r="L948" s="8618"/>
      <c r="M948" s="1794"/>
      <c r="N948" s="537"/>
      <c r="O948" s="1544"/>
      <c r="P948" s="1544"/>
    </row>
    <row r="949" spans="1:16" s="1555" customFormat="1" ht="18.75" customHeight="1">
      <c r="A949" s="1742" t="s">
        <v>310</v>
      </c>
      <c r="B949" s="1742" t="s">
        <v>607</v>
      </c>
      <c r="C949" s="1607"/>
      <c r="D949" s="9029"/>
      <c r="E949" s="9030"/>
      <c r="F949" s="9030"/>
      <c r="G949" s="9000" t="str">
        <f>INDEX(PT_DIFFERENTIATION_NTAR,MATCH(B949,PT_DIFFERENTIATION_NTAR_ID,0))</f>
        <v>Подвоз воды потребителям села Тищенского</v>
      </c>
      <c r="H949" s="1809"/>
      <c r="I949" s="1658">
        <v>45292</v>
      </c>
      <c r="J949" s="1693">
        <v>45657</v>
      </c>
      <c r="K949" s="1698">
        <v>0</v>
      </c>
      <c r="L949" s="1809" t="s">
        <v>769</v>
      </c>
      <c r="M949" s="1794"/>
      <c r="N949" s="537"/>
      <c r="O949" s="1544"/>
      <c r="P949" s="1544"/>
    </row>
    <row r="950" spans="1:16" s="1555" customFormat="1" ht="18.75" customHeight="1">
      <c r="A950" s="1742"/>
      <c r="B950" s="1742"/>
      <c r="C950" s="1607" t="s">
        <v>1519</v>
      </c>
      <c r="D950" s="9029"/>
      <c r="E950" s="9030"/>
      <c r="F950" s="9030"/>
      <c r="G950" s="9000"/>
      <c r="H950" s="8619"/>
      <c r="I950" s="8620" t="s">
        <v>1518</v>
      </c>
      <c r="J950" s="8621"/>
      <c r="K950" s="8622"/>
      <c r="L950" s="8623"/>
      <c r="M950" s="1794"/>
      <c r="N950" s="537"/>
      <c r="O950" s="1544"/>
      <c r="P950" s="1544"/>
    </row>
    <row r="951" spans="1:16" s="1555" customFormat="1" ht="18.75" customHeight="1">
      <c r="A951" s="1742" t="s">
        <v>310</v>
      </c>
      <c r="B951" s="1742" t="s">
        <v>613</v>
      </c>
      <c r="C951" s="1607"/>
      <c r="D951" s="9029"/>
      <c r="E951" s="9030"/>
      <c r="F951" s="9030"/>
      <c r="G951" s="9000" t="str">
        <f>INDEX(PT_DIFFERENTIATION_NTAR,MATCH(B951,PT_DIFFERENTIATION_NTAR_ID,0))</f>
        <v>Подвоз воды потребителям хутора Вавилон</v>
      </c>
      <c r="H951" s="1809"/>
      <c r="I951" s="1658">
        <v>45292</v>
      </c>
      <c r="J951" s="1693">
        <v>45657</v>
      </c>
      <c r="K951" s="1698">
        <v>0</v>
      </c>
      <c r="L951" s="1809" t="s">
        <v>769</v>
      </c>
      <c r="M951" s="1794"/>
      <c r="N951" s="537"/>
      <c r="O951" s="1544"/>
      <c r="P951" s="1544"/>
    </row>
    <row r="952" spans="1:16" s="1555" customFormat="1" ht="18.75" customHeight="1">
      <c r="A952" s="1742"/>
      <c r="B952" s="1742"/>
      <c r="C952" s="1607" t="s">
        <v>1519</v>
      </c>
      <c r="D952" s="9029"/>
      <c r="E952" s="9030"/>
      <c r="F952" s="9030"/>
      <c r="G952" s="9000"/>
      <c r="H952" s="8624"/>
      <c r="I952" s="8625" t="s">
        <v>1518</v>
      </c>
      <c r="J952" s="8626"/>
      <c r="K952" s="8627"/>
      <c r="L952" s="8628"/>
      <c r="M952" s="1794"/>
      <c r="N952" s="537"/>
      <c r="O952" s="1544"/>
      <c r="P952" s="1544"/>
    </row>
    <row r="953" spans="1:16" s="1555" customFormat="1" ht="18.75" customHeight="1">
      <c r="A953" s="1742" t="s">
        <v>310</v>
      </c>
      <c r="B953" s="1742" t="s">
        <v>619</v>
      </c>
      <c r="C953" s="1607"/>
      <c r="D953" s="9029"/>
      <c r="E953" s="9030"/>
      <c r="F953" s="9030"/>
      <c r="G953" s="9000" t="str">
        <f>INDEX(PT_DIFFERENTIATION_NTAR,MATCH(B953,PT_DIFFERENTIATION_NTAR_ID,0))</f>
        <v>Подвоз воды потребителям хутора Липчанского</v>
      </c>
      <c r="H953" s="1809"/>
      <c r="I953" s="1658">
        <v>45292</v>
      </c>
      <c r="J953" s="1693">
        <v>45657</v>
      </c>
      <c r="K953" s="1698">
        <v>0</v>
      </c>
      <c r="L953" s="1809" t="s">
        <v>769</v>
      </c>
      <c r="M953" s="1794"/>
      <c r="N953" s="537"/>
      <c r="O953" s="1544"/>
      <c r="P953" s="1544"/>
    </row>
    <row r="954" spans="1:16" s="1555" customFormat="1" ht="18.75" customHeight="1">
      <c r="A954" s="1742"/>
      <c r="B954" s="1742"/>
      <c r="C954" s="1607" t="s">
        <v>1519</v>
      </c>
      <c r="D954" s="9029"/>
      <c r="E954" s="9030"/>
      <c r="F954" s="9030"/>
      <c r="G954" s="9000"/>
      <c r="H954" s="8629"/>
      <c r="I954" s="8630" t="s">
        <v>1518</v>
      </c>
      <c r="J954" s="8631"/>
      <c r="K954" s="8632"/>
      <c r="L954" s="8633"/>
      <c r="M954" s="1794"/>
      <c r="N954" s="537"/>
      <c r="O954" s="1544"/>
      <c r="P954" s="1544"/>
    </row>
    <row r="955" spans="1:16" s="1555" customFormat="1" ht="18.75" customHeight="1">
      <c r="A955" s="1742" t="s">
        <v>310</v>
      </c>
      <c r="B955" s="1742" t="s">
        <v>625</v>
      </c>
      <c r="C955" s="1607"/>
      <c r="D955" s="9029"/>
      <c r="E955" s="9030"/>
      <c r="F955" s="9030"/>
      <c r="G955" s="9000" t="str">
        <f>INDEX(PT_DIFFERENTIATION_NTAR,MATCH(B955,PT_DIFFERENTIATION_NTAR_ID,0))</f>
        <v>Подвоз воды потребителям поселка Высокогорного</v>
      </c>
      <c r="H955" s="1809"/>
      <c r="I955" s="1658">
        <v>45292</v>
      </c>
      <c r="J955" s="1693">
        <v>45657</v>
      </c>
      <c r="K955" s="1698">
        <v>0</v>
      </c>
      <c r="L955" s="1809" t="s">
        <v>769</v>
      </c>
      <c r="M955" s="1794"/>
      <c r="N955" s="537"/>
      <c r="O955" s="1544"/>
      <c r="P955" s="1544"/>
    </row>
    <row r="956" spans="1:16" s="1555" customFormat="1" ht="18.75" customHeight="1">
      <c r="A956" s="1742"/>
      <c r="B956" s="1742"/>
      <c r="C956" s="1607" t="s">
        <v>1519</v>
      </c>
      <c r="D956" s="9029"/>
      <c r="E956" s="9030"/>
      <c r="F956" s="9030"/>
      <c r="G956" s="9000"/>
      <c r="H956" s="8634"/>
      <c r="I956" s="8635" t="s">
        <v>1518</v>
      </c>
      <c r="J956" s="8636"/>
      <c r="K956" s="8637"/>
      <c r="L956" s="8638"/>
      <c r="M956" s="1794"/>
      <c r="N956" s="537"/>
      <c r="O956" s="1544"/>
      <c r="P956" s="1544"/>
    </row>
    <row r="957" spans="1:16" s="1555" customFormat="1" ht="18.75" customHeight="1">
      <c r="A957" s="1742" t="s">
        <v>310</v>
      </c>
      <c r="B957" s="1742" t="s">
        <v>631</v>
      </c>
      <c r="C957" s="1607"/>
      <c r="D957" s="9029"/>
      <c r="E957" s="9030"/>
      <c r="F957" s="9030"/>
      <c r="G957" s="9000" t="str">
        <f>INDEX(PT_DIFFERENTIATION_NTAR,MATCH(B957,PT_DIFFERENTIATION_NTAR_ID,0))</f>
        <v>Подвоз воды потребителям поселка Левоберезовского</v>
      </c>
      <c r="H957" s="1809"/>
      <c r="I957" s="1658">
        <v>45292</v>
      </c>
      <c r="J957" s="1693">
        <v>45657</v>
      </c>
      <c r="K957" s="1698">
        <v>0</v>
      </c>
      <c r="L957" s="1809" t="s">
        <v>769</v>
      </c>
      <c r="M957" s="1794"/>
      <c r="N957" s="537"/>
      <c r="O957" s="1544"/>
      <c r="P957" s="1544"/>
    </row>
    <row r="958" spans="1:16" s="1555" customFormat="1" ht="18.75" customHeight="1">
      <c r="A958" s="1742"/>
      <c r="B958" s="1742"/>
      <c r="C958" s="1607" t="s">
        <v>1519</v>
      </c>
      <c r="D958" s="9029"/>
      <c r="E958" s="9030"/>
      <c r="F958" s="9030"/>
      <c r="G958" s="9000"/>
      <c r="H958" s="8639"/>
      <c r="I958" s="8640" t="s">
        <v>1518</v>
      </c>
      <c r="J958" s="8641"/>
      <c r="K958" s="8642"/>
      <c r="L958" s="8643"/>
      <c r="M958" s="1794"/>
      <c r="N958" s="537"/>
      <c r="O958" s="1544"/>
      <c r="P958" s="1544"/>
    </row>
    <row r="959" spans="1:16" s="1555" customFormat="1" ht="18.75" customHeight="1">
      <c r="A959" s="1742" t="s">
        <v>310</v>
      </c>
      <c r="B959" s="1742" t="s">
        <v>637</v>
      </c>
      <c r="C959" s="1607"/>
      <c r="D959" s="9029"/>
      <c r="E959" s="9030"/>
      <c r="F959" s="9030"/>
      <c r="G959" s="9000" t="str">
        <f>INDEX(PT_DIFFERENTIATION_NTAR,MATCH(B959,PT_DIFFERENTIATION_NTAR_ID,0))</f>
        <v>Подвоз воды потребителям поселка Правоберезовского</v>
      </c>
      <c r="H959" s="1809"/>
      <c r="I959" s="1658">
        <v>45292</v>
      </c>
      <c r="J959" s="1693">
        <v>45657</v>
      </c>
      <c r="K959" s="1698">
        <v>0</v>
      </c>
      <c r="L959" s="1809" t="s">
        <v>769</v>
      </c>
      <c r="M959" s="1794"/>
      <c r="N959" s="537"/>
      <c r="O959" s="1544"/>
      <c r="P959" s="1544"/>
    </row>
    <row r="960" spans="1:16" s="1555" customFormat="1" ht="18.75" customHeight="1">
      <c r="A960" s="1742"/>
      <c r="B960" s="1742"/>
      <c r="C960" s="1607" t="s">
        <v>1519</v>
      </c>
      <c r="D960" s="9029"/>
      <c r="E960" s="9030"/>
      <c r="F960" s="9030"/>
      <c r="G960" s="9000"/>
      <c r="H960" s="8644"/>
      <c r="I960" s="8645" t="s">
        <v>1518</v>
      </c>
      <c r="J960" s="8646"/>
      <c r="K960" s="8647"/>
      <c r="L960" s="8648"/>
      <c r="M960" s="1794"/>
      <c r="N960" s="537"/>
      <c r="O960" s="1544"/>
      <c r="P960" s="1544"/>
    </row>
    <row r="961" spans="1:16" s="1555" customFormat="1" ht="18.75" customHeight="1">
      <c r="A961" s="1742" t="s">
        <v>310</v>
      </c>
      <c r="B961" s="1742" t="s">
        <v>643</v>
      </c>
      <c r="C961" s="1607"/>
      <c r="D961" s="9029"/>
      <c r="E961" s="9030"/>
      <c r="F961" s="9030"/>
      <c r="G961" s="9000" t="str">
        <f>INDEX(PT_DIFFERENTIATION_NTAR,MATCH(B961,PT_DIFFERENTIATION_NTAR_ID,0))</f>
        <v>Подвоз воды потребителям аула Бакрес</v>
      </c>
      <c r="H961" s="1809"/>
      <c r="I961" s="1658">
        <v>45292</v>
      </c>
      <c r="J961" s="1693">
        <v>45657</v>
      </c>
      <c r="K961" s="1698">
        <v>0</v>
      </c>
      <c r="L961" s="1809" t="s">
        <v>769</v>
      </c>
      <c r="M961" s="1794"/>
      <c r="N961" s="537"/>
      <c r="O961" s="1544"/>
      <c r="P961" s="1544"/>
    </row>
    <row r="962" spans="1:16" s="1555" customFormat="1" ht="18.75" customHeight="1">
      <c r="A962" s="1742"/>
      <c r="B962" s="1742"/>
      <c r="C962" s="1607" t="s">
        <v>1519</v>
      </c>
      <c r="D962" s="9029"/>
      <c r="E962" s="9030"/>
      <c r="F962" s="9030"/>
      <c r="G962" s="9000"/>
      <c r="H962" s="8649"/>
      <c r="I962" s="8650" t="s">
        <v>1518</v>
      </c>
      <c r="J962" s="8651"/>
      <c r="K962" s="8652"/>
      <c r="L962" s="8653"/>
      <c r="M962" s="1794"/>
      <c r="N962" s="537"/>
      <c r="O962" s="1544"/>
      <c r="P962" s="1544"/>
    </row>
    <row r="963" spans="1:16" s="1555" customFormat="1" ht="18.75" customHeight="1">
      <c r="A963" s="1742" t="s">
        <v>310</v>
      </c>
      <c r="B963" s="1742" t="s">
        <v>649</v>
      </c>
      <c r="C963" s="1607"/>
      <c r="D963" s="9029"/>
      <c r="E963" s="9030"/>
      <c r="F963" s="9030"/>
      <c r="G963" s="9000" t="str">
        <f>INDEX(PT_DIFFERENTIATION_NTAR,MATCH(B963,PT_DIFFERENTIATION_NTAR_ID,0))</f>
        <v>Подвоз воды потребителям аула Уллуби-Юрт</v>
      </c>
      <c r="H963" s="1809"/>
      <c r="I963" s="1658">
        <v>45292</v>
      </c>
      <c r="J963" s="1693">
        <v>45657</v>
      </c>
      <c r="K963" s="1698">
        <v>0</v>
      </c>
      <c r="L963" s="1809" t="s">
        <v>769</v>
      </c>
      <c r="M963" s="1794"/>
      <c r="N963" s="537"/>
      <c r="O963" s="1544"/>
      <c r="P963" s="1544"/>
    </row>
    <row r="964" spans="1:16" s="1555" customFormat="1" ht="18.75" customHeight="1">
      <c r="A964" s="1742"/>
      <c r="B964" s="1742"/>
      <c r="C964" s="1607" t="s">
        <v>1519</v>
      </c>
      <c r="D964" s="9029"/>
      <c r="E964" s="9030"/>
      <c r="F964" s="9030"/>
      <c r="G964" s="9000"/>
      <c r="H964" s="8654"/>
      <c r="I964" s="8655" t="s">
        <v>1518</v>
      </c>
      <c r="J964" s="8656"/>
      <c r="K964" s="8657"/>
      <c r="L964" s="8658"/>
      <c r="M964" s="1794"/>
      <c r="N964" s="537"/>
      <c r="O964" s="1544"/>
      <c r="P964" s="1544"/>
    </row>
    <row r="965" spans="1:16" s="1555" customFormat="1" ht="18.75" customHeight="1">
      <c r="A965" s="1742" t="s">
        <v>310</v>
      </c>
      <c r="B965" s="1742" t="s">
        <v>655</v>
      </c>
      <c r="C965" s="1607"/>
      <c r="D965" s="9029"/>
      <c r="E965" s="9030"/>
      <c r="F965" s="9030"/>
      <c r="G965" s="9000" t="str">
        <f>INDEX(PT_DIFFERENTIATION_NTAR,MATCH(B965,PT_DIFFERENTIATION_NTAR_ID,0))</f>
        <v>Подвоз воды потребителям аула Махач-Аул</v>
      </c>
      <c r="H965" s="1809"/>
      <c r="I965" s="1658">
        <v>45292</v>
      </c>
      <c r="J965" s="1693">
        <v>45657</v>
      </c>
      <c r="K965" s="1698">
        <v>0</v>
      </c>
      <c r="L965" s="1809" t="s">
        <v>769</v>
      </c>
      <c r="M965" s="1794"/>
      <c r="N965" s="537"/>
      <c r="O965" s="1544"/>
      <c r="P965" s="1544"/>
    </row>
    <row r="966" spans="1:16" s="1555" customFormat="1" ht="18.75" customHeight="1">
      <c r="A966" s="1742"/>
      <c r="B966" s="1742"/>
      <c r="C966" s="1607" t="s">
        <v>1519</v>
      </c>
      <c r="D966" s="9029"/>
      <c r="E966" s="9030"/>
      <c r="F966" s="9030"/>
      <c r="G966" s="9000"/>
      <c r="H966" s="8659"/>
      <c r="I966" s="8660" t="s">
        <v>1518</v>
      </c>
      <c r="J966" s="8661"/>
      <c r="K966" s="8662"/>
      <c r="L966" s="8663"/>
      <c r="M966" s="1794"/>
      <c r="N966" s="537"/>
      <c r="O966" s="1544"/>
      <c r="P966" s="1544"/>
    </row>
    <row r="967" spans="1:16" s="1555" customFormat="1" ht="18.75" customHeight="1">
      <c r="A967" s="1742" t="s">
        <v>310</v>
      </c>
      <c r="B967" s="1742" t="s">
        <v>661</v>
      </c>
      <c r="C967" s="1607"/>
      <c r="D967" s="9029"/>
      <c r="E967" s="9030"/>
      <c r="F967" s="9030"/>
      <c r="G967" s="9000" t="str">
        <f>INDEX(PT_DIFFERENTIATION_NTAR,MATCH(B967,PT_DIFFERENTIATION_NTAR_ID,0))</f>
        <v>Подвоз воды потребителям аула Уч-Тюбе</v>
      </c>
      <c r="H967" s="1809"/>
      <c r="I967" s="1658">
        <v>45292</v>
      </c>
      <c r="J967" s="1693">
        <v>45657</v>
      </c>
      <c r="K967" s="1698">
        <v>0</v>
      </c>
      <c r="L967" s="1809" t="s">
        <v>769</v>
      </c>
      <c r="M967" s="1794"/>
      <c r="N967" s="537"/>
      <c r="O967" s="1544"/>
      <c r="P967" s="1544"/>
    </row>
    <row r="968" spans="1:16" s="1555" customFormat="1" ht="18.75" customHeight="1">
      <c r="A968" s="1742"/>
      <c r="B968" s="1742"/>
      <c r="C968" s="1607" t="s">
        <v>1519</v>
      </c>
      <c r="D968" s="9029"/>
      <c r="E968" s="9030"/>
      <c r="F968" s="9030"/>
      <c r="G968" s="9000"/>
      <c r="H968" s="8664"/>
      <c r="I968" s="8665" t="s">
        <v>1518</v>
      </c>
      <c r="J968" s="8666"/>
      <c r="K968" s="8667"/>
      <c r="L968" s="8668"/>
      <c r="M968" s="1794"/>
      <c r="N968" s="537"/>
      <c r="O968" s="1544"/>
      <c r="P968" s="1544"/>
    </row>
    <row r="969" spans="1:16" s="1555" customFormat="1" ht="18.75" customHeight="1">
      <c r="A969" s="1742" t="s">
        <v>310</v>
      </c>
      <c r="B969" s="1742" t="s">
        <v>666</v>
      </c>
      <c r="C969" s="1607"/>
      <c r="D969" s="9029"/>
      <c r="E969" s="9030"/>
      <c r="F969" s="9030"/>
      <c r="G969" s="9000" t="str">
        <f>INDEX(PT_DIFFERENTIATION_NTAR,MATCH(B969,PT_DIFFERENTIATION_NTAR_ID,0))</f>
        <v>Подвоз воды потребителям аула Кунай</v>
      </c>
      <c r="H969" s="1809"/>
      <c r="I969" s="1658">
        <v>45292</v>
      </c>
      <c r="J969" s="1693">
        <v>45657</v>
      </c>
      <c r="K969" s="1698">
        <v>0</v>
      </c>
      <c r="L969" s="1809" t="s">
        <v>769</v>
      </c>
      <c r="M969" s="1794"/>
      <c r="N969" s="537"/>
      <c r="O969" s="1544"/>
      <c r="P969" s="1544"/>
    </row>
    <row r="970" spans="1:16" s="1555" customFormat="1" ht="18.75" customHeight="1">
      <c r="A970" s="1742"/>
      <c r="B970" s="1742"/>
      <c r="C970" s="1607" t="s">
        <v>1519</v>
      </c>
      <c r="D970" s="9029"/>
      <c r="E970" s="9030"/>
      <c r="F970" s="9030"/>
      <c r="G970" s="9000"/>
      <c r="H970" s="8669"/>
      <c r="I970" s="8670" t="s">
        <v>1518</v>
      </c>
      <c r="J970" s="8671"/>
      <c r="K970" s="8672"/>
      <c r="L970" s="8673"/>
      <c r="M970" s="1794"/>
      <c r="N970" s="537"/>
      <c r="O970" s="1544"/>
      <c r="P970" s="1544"/>
    </row>
    <row r="971" spans="1:16" s="1555" customFormat="1" ht="18.75" customHeight="1">
      <c r="A971" s="1742" t="s">
        <v>310</v>
      </c>
      <c r="B971" s="1742" t="s">
        <v>672</v>
      </c>
      <c r="C971" s="1607"/>
      <c r="D971" s="9029"/>
      <c r="E971" s="9030"/>
      <c r="F971" s="9030"/>
      <c r="G971" s="9000" t="str">
        <f>INDEX(PT_DIFFERENTIATION_NTAR,MATCH(B971,PT_DIFFERENTIATION_NTAR_ID,0))</f>
        <v>Подвоз воды потребителям аула Артезиан-Мангит</v>
      </c>
      <c r="H971" s="1809"/>
      <c r="I971" s="1658">
        <v>45292</v>
      </c>
      <c r="J971" s="1693">
        <v>45657</v>
      </c>
      <c r="K971" s="1698">
        <v>0</v>
      </c>
      <c r="L971" s="1809" t="s">
        <v>769</v>
      </c>
      <c r="M971" s="1794"/>
      <c r="N971" s="537"/>
      <c r="O971" s="1544"/>
      <c r="P971" s="1544"/>
    </row>
    <row r="972" spans="1:16" s="1555" customFormat="1" ht="18.75" customHeight="1">
      <c r="A972" s="1742"/>
      <c r="B972" s="1742"/>
      <c r="C972" s="1607" t="s">
        <v>1519</v>
      </c>
      <c r="D972" s="9029"/>
      <c r="E972" s="9030"/>
      <c r="F972" s="9030"/>
      <c r="G972" s="9000"/>
      <c r="H972" s="8674"/>
      <c r="I972" s="8675" t="s">
        <v>1518</v>
      </c>
      <c r="J972" s="8676"/>
      <c r="K972" s="8677"/>
      <c r="L972" s="8678"/>
      <c r="M972" s="1794"/>
      <c r="N972" s="537"/>
      <c r="O972" s="1544"/>
      <c r="P972" s="1544"/>
    </row>
    <row r="973" spans="1:16" s="1555" customFormat="1" ht="18.75" customHeight="1">
      <c r="A973" s="1742" t="s">
        <v>310</v>
      </c>
      <c r="B973" s="1742" t="s">
        <v>678</v>
      </c>
      <c r="C973" s="1607"/>
      <c r="D973" s="9029"/>
      <c r="E973" s="9030"/>
      <c r="F973" s="9030"/>
      <c r="G973" s="9000" t="str">
        <f>INDEX(PT_DIFFERENTIATION_NTAR,MATCH(B973,PT_DIFFERENTIATION_NTAR_ID,0))</f>
        <v>Подвоз воды потребителям аула Кок-Бас</v>
      </c>
      <c r="H973" s="1809"/>
      <c r="I973" s="1658">
        <v>45292</v>
      </c>
      <c r="J973" s="1693">
        <v>45657</v>
      </c>
      <c r="K973" s="1698">
        <v>0</v>
      </c>
      <c r="L973" s="1809" t="s">
        <v>769</v>
      </c>
      <c r="M973" s="1794"/>
      <c r="N973" s="537"/>
      <c r="O973" s="1544"/>
      <c r="P973" s="1544"/>
    </row>
    <row r="974" spans="1:16" s="1555" customFormat="1" ht="18.75" customHeight="1">
      <c r="A974" s="1742"/>
      <c r="B974" s="1742"/>
      <c r="C974" s="1607" t="s">
        <v>1519</v>
      </c>
      <c r="D974" s="9029"/>
      <c r="E974" s="9030"/>
      <c r="F974" s="9030"/>
      <c r="G974" s="9000"/>
      <c r="H974" s="8679"/>
      <c r="I974" s="8680" t="s">
        <v>1518</v>
      </c>
      <c r="J974" s="8681"/>
      <c r="K974" s="8682"/>
      <c r="L974" s="8683"/>
      <c r="M974" s="1794"/>
      <c r="N974" s="537"/>
      <c r="O974" s="1544"/>
      <c r="P974" s="1544"/>
    </row>
    <row r="975" spans="1:16" s="1555" customFormat="1" ht="18.75" customHeight="1">
      <c r="A975" s="1742" t="s">
        <v>310</v>
      </c>
      <c r="B975" s="1742" t="s">
        <v>684</v>
      </c>
      <c r="C975" s="1607"/>
      <c r="D975" s="9029"/>
      <c r="E975" s="9030"/>
      <c r="F975" s="9030"/>
      <c r="G975" s="9000" t="str">
        <f>INDEX(PT_DIFFERENTIATION_NTAR,MATCH(B975,PT_DIFFERENTIATION_NTAR_ID,0))</f>
        <v>Подвоз воды потребителям села Ачикулак</v>
      </c>
      <c r="H975" s="1809"/>
      <c r="I975" s="1658">
        <v>45292</v>
      </c>
      <c r="J975" s="1693">
        <v>45657</v>
      </c>
      <c r="K975" s="1698">
        <v>0</v>
      </c>
      <c r="L975" s="1809" t="s">
        <v>769</v>
      </c>
      <c r="M975" s="1794"/>
      <c r="N975" s="537"/>
      <c r="O975" s="1544"/>
      <c r="P975" s="1544"/>
    </row>
    <row r="976" spans="1:16" s="1555" customFormat="1" ht="18.75" customHeight="1">
      <c r="A976" s="1742"/>
      <c r="B976" s="1742"/>
      <c r="C976" s="1607" t="s">
        <v>1519</v>
      </c>
      <c r="D976" s="9029"/>
      <c r="E976" s="9030"/>
      <c r="F976" s="9030"/>
      <c r="G976" s="9000"/>
      <c r="H976" s="8684"/>
      <c r="I976" s="8685" t="s">
        <v>1518</v>
      </c>
      <c r="J976" s="8686"/>
      <c r="K976" s="8687"/>
      <c r="L976" s="8688"/>
      <c r="M976" s="1794"/>
      <c r="N976" s="537"/>
      <c r="O976" s="1544"/>
      <c r="P976" s="1544"/>
    </row>
    <row r="977" spans="1:16" s="1555" customFormat="1" ht="18.75" customHeight="1">
      <c r="A977" s="1742" t="s">
        <v>310</v>
      </c>
      <c r="B977" s="1742" t="s">
        <v>690</v>
      </c>
      <c r="C977" s="1607"/>
      <c r="D977" s="9029"/>
      <c r="E977" s="9030"/>
      <c r="F977" s="9030"/>
      <c r="G977" s="9000" t="str">
        <f>INDEX(PT_DIFFERENTIATION_NTAR,MATCH(B977,PT_DIFFERENTIATION_NTAR_ID,0))</f>
        <v>Подвоз воды потребителям хутора Ганькин</v>
      </c>
      <c r="H977" s="1809"/>
      <c r="I977" s="1658">
        <v>45292</v>
      </c>
      <c r="J977" s="1693">
        <v>45657</v>
      </c>
      <c r="K977" s="1698">
        <v>0</v>
      </c>
      <c r="L977" s="1809" t="s">
        <v>769</v>
      </c>
      <c r="M977" s="1794"/>
      <c r="N977" s="537"/>
      <c r="O977" s="1544"/>
      <c r="P977" s="1544"/>
    </row>
    <row r="978" spans="1:16" s="1555" customFormat="1" ht="18.75" customHeight="1">
      <c r="A978" s="1742"/>
      <c r="B978" s="1742"/>
      <c r="C978" s="1607" t="s">
        <v>1519</v>
      </c>
      <c r="D978" s="9029"/>
      <c r="E978" s="9030"/>
      <c r="F978" s="9030"/>
      <c r="G978" s="9000"/>
      <c r="H978" s="8689"/>
      <c r="I978" s="8690" t="s">
        <v>1518</v>
      </c>
      <c r="J978" s="8691"/>
      <c r="K978" s="8692"/>
      <c r="L978" s="8693"/>
      <c r="M978" s="1794"/>
      <c r="N978" s="537"/>
      <c r="O978" s="1544"/>
      <c r="P978" s="1544"/>
    </row>
    <row r="979" spans="1:16" s="1555" customFormat="1" ht="18.75" customHeight="1">
      <c r="A979" s="1742" t="s">
        <v>310</v>
      </c>
      <c r="B979" s="1742" t="s">
        <v>696</v>
      </c>
      <c r="C979" s="1607"/>
      <c r="D979" s="9029"/>
      <c r="E979" s="9030"/>
      <c r="F979" s="9030"/>
      <c r="G979" s="9000" t="str">
        <f>INDEX(PT_DIFFERENTIATION_NTAR,MATCH(B979,PT_DIFFERENTIATION_NTAR_ID,0))</f>
        <v>Подвоз воды потребителям хутора Сычёвского</v>
      </c>
      <c r="H979" s="1809"/>
      <c r="I979" s="1658">
        <v>45292</v>
      </c>
      <c r="J979" s="1693">
        <v>45657</v>
      </c>
      <c r="K979" s="1698">
        <v>0</v>
      </c>
      <c r="L979" s="1809" t="s">
        <v>769</v>
      </c>
      <c r="M979" s="1794"/>
      <c r="N979" s="537"/>
      <c r="O979" s="1544"/>
      <c r="P979" s="1544"/>
    </row>
    <row r="980" spans="1:16" s="1555" customFormat="1" ht="18.75" customHeight="1">
      <c r="A980" s="1742"/>
      <c r="B980" s="1742"/>
      <c r="C980" s="1607" t="s">
        <v>1519</v>
      </c>
      <c r="D980" s="9029"/>
      <c r="E980" s="9030"/>
      <c r="F980" s="9030"/>
      <c r="G980" s="9000"/>
      <c r="H980" s="8694"/>
      <c r="I980" s="8695" t="s">
        <v>1518</v>
      </c>
      <c r="J980" s="8696"/>
      <c r="K980" s="8697"/>
      <c r="L980" s="8698"/>
      <c r="M980" s="1794"/>
      <c r="N980" s="537"/>
      <c r="O980" s="1544"/>
      <c r="P980" s="1544"/>
    </row>
    <row r="981" spans="1:16" s="1555" customFormat="1" ht="18.75" customHeight="1">
      <c r="A981" s="1742" t="s">
        <v>310</v>
      </c>
      <c r="B981" s="1742" t="s">
        <v>702</v>
      </c>
      <c r="C981" s="1607"/>
      <c r="D981" s="9029"/>
      <c r="E981" s="9030"/>
      <c r="F981" s="9030"/>
      <c r="G981" s="9000" t="str">
        <f>INDEX(PT_DIFFERENTIATION_NTAR,MATCH(B981,PT_DIFFERENTIATION_NTAR_ID,0))</f>
        <v>Подвоз воды потребителям села Величаевского</v>
      </c>
      <c r="H981" s="1809"/>
      <c r="I981" s="1658">
        <v>45292</v>
      </c>
      <c r="J981" s="1693">
        <v>45657</v>
      </c>
      <c r="K981" s="1698">
        <v>0</v>
      </c>
      <c r="L981" s="1809" t="s">
        <v>769</v>
      </c>
      <c r="M981" s="1794"/>
      <c r="N981" s="537"/>
      <c r="O981" s="1544"/>
      <c r="P981" s="1544"/>
    </row>
    <row r="982" spans="1:16" s="1555" customFormat="1" ht="18.75" customHeight="1">
      <c r="A982" s="1742"/>
      <c r="B982" s="1742"/>
      <c r="C982" s="1607" t="s">
        <v>1519</v>
      </c>
      <c r="D982" s="9029"/>
      <c r="E982" s="9030"/>
      <c r="F982" s="9030"/>
      <c r="G982" s="9000"/>
      <c r="H982" s="8699"/>
      <c r="I982" s="8700" t="s">
        <v>1518</v>
      </c>
      <c r="J982" s="8701"/>
      <c r="K982" s="8702"/>
      <c r="L982" s="8703"/>
      <c r="M982" s="1794"/>
      <c r="N982" s="537"/>
      <c r="O982" s="1544"/>
      <c r="P982" s="1544"/>
    </row>
    <row r="983" spans="1:16" s="1555" customFormat="1" ht="0.75" customHeight="1">
      <c r="A983" s="1700"/>
      <c r="B983" s="1700"/>
      <c r="C983" s="293" t="s">
        <v>1527</v>
      </c>
      <c r="D983" s="9028"/>
      <c r="E983" s="8837"/>
      <c r="F983" s="8972"/>
      <c r="G983" s="329"/>
      <c r="H983" s="1415"/>
      <c r="I983" s="569"/>
      <c r="J983" s="494"/>
      <c r="K983" s="1415"/>
      <c r="L983" s="131"/>
      <c r="M983" s="263"/>
      <c r="N983" s="256"/>
      <c r="O983" s="1544"/>
      <c r="P983" s="1544"/>
    </row>
    <row r="984" spans="1:16" s="1555" customFormat="1" ht="18.75" hidden="1" customHeight="1">
      <c r="A984" s="1700" t="s">
        <v>708</v>
      </c>
      <c r="B984" s="1700" t="s">
        <v>709</v>
      </c>
      <c r="C984" s="293"/>
      <c r="D984" s="9028"/>
      <c r="E984" s="8837"/>
      <c r="F984" s="8972" t="str">
        <f>INDEX(PT_DIFFERENTIATION_VTAR,MATCH(A984,PT_DIFFERENTIATION_VTAR_ID,0))</f>
        <v>Тариф на подключение (технологическое присоединение) к централизованной системе холодного водоснабжения</v>
      </c>
      <c r="G984" s="9000" t="str">
        <f>INDEX(PT_DIFFERENTIATION_NTAR,MATCH(B984,PT_DIFFERENTIATION_NTAR_ID,0))</f>
        <v/>
      </c>
      <c r="H984" s="1781"/>
      <c r="I984" s="1658"/>
      <c r="J984" s="1693"/>
      <c r="K984" s="1698"/>
      <c r="L984" s="1781" t="s">
        <v>769</v>
      </c>
      <c r="M984" s="263"/>
      <c r="N984" s="256"/>
      <c r="O984" s="1544"/>
      <c r="P984" s="1544"/>
    </row>
    <row r="985" spans="1:16" s="1555" customFormat="1" ht="18.75" hidden="1" customHeight="1">
      <c r="A985" s="1700"/>
      <c r="B985" s="1700"/>
      <c r="C985" s="293" t="s">
        <v>1519</v>
      </c>
      <c r="D985" s="9028"/>
      <c r="E985" s="8837"/>
      <c r="F985" s="8972"/>
      <c r="G985" s="9000"/>
      <c r="H985" s="1415"/>
      <c r="I985" s="569" t="s">
        <v>1518</v>
      </c>
      <c r="J985" s="494"/>
      <c r="K985" s="1415"/>
      <c r="L985" s="131"/>
      <c r="M985" s="263"/>
      <c r="N985" s="256"/>
      <c r="O985" s="1544"/>
      <c r="P985" s="1544"/>
    </row>
    <row r="986" spans="1:16" s="1555" customFormat="1" ht="0.75" hidden="1" customHeight="1">
      <c r="A986" s="1700"/>
      <c r="B986" s="1700"/>
      <c r="C986" s="293" t="s">
        <v>1527</v>
      </c>
      <c r="D986" s="9028"/>
      <c r="E986" s="8837"/>
      <c r="F986" s="8972"/>
      <c r="G986" s="329"/>
      <c r="H986" s="1415"/>
      <c r="I986" s="569"/>
      <c r="J986" s="494"/>
      <c r="K986" s="1415"/>
      <c r="L986" s="131"/>
      <c r="M986" s="263"/>
      <c r="N986" s="256"/>
      <c r="O986" s="1544"/>
      <c r="P986" s="1544"/>
    </row>
    <row r="987" spans="1:16" s="1555" customFormat="1" ht="18.75" hidden="1" customHeight="1">
      <c r="A987" s="1700" t="s">
        <v>713</v>
      </c>
      <c r="B987" s="1700" t="s">
        <v>714</v>
      </c>
      <c r="C987" s="293"/>
      <c r="D987" s="9028"/>
      <c r="E987" s="8837"/>
      <c r="F987" s="8972" t="str">
        <f>INDEX(PT_DIFFERENTIATION_VTAR,MATCH(A987,PT_DIFFERENTIATION_VTAR_ID,0))</f>
        <v>Тариф на горячую воду (горячее водоснабжение)</v>
      </c>
      <c r="G987" s="9000" t="str">
        <f>INDEX(PT_DIFFERENTIATION_NTAR,MATCH(B987,PT_DIFFERENTIATION_NTAR_ID,0))</f>
        <v/>
      </c>
      <c r="H987" s="1781"/>
      <c r="I987" s="1658"/>
      <c r="J987" s="1693"/>
      <c r="K987" s="1698"/>
      <c r="L987" s="1781" t="s">
        <v>769</v>
      </c>
      <c r="M987" s="263"/>
      <c r="N987" s="256"/>
      <c r="O987" s="1544"/>
      <c r="P987" s="1544"/>
    </row>
    <row r="988" spans="1:16" s="1555" customFormat="1" ht="18.75" hidden="1" customHeight="1">
      <c r="A988" s="1700"/>
      <c r="B988" s="1700"/>
      <c r="C988" s="293" t="s">
        <v>1519</v>
      </c>
      <c r="D988" s="9028"/>
      <c r="E988" s="8837"/>
      <c r="F988" s="8972"/>
      <c r="G988" s="9000"/>
      <c r="H988" s="1415"/>
      <c r="I988" s="569" t="s">
        <v>1518</v>
      </c>
      <c r="J988" s="494"/>
      <c r="K988" s="1415"/>
      <c r="L988" s="131"/>
      <c r="M988" s="263"/>
      <c r="N988" s="256"/>
      <c r="O988" s="1544"/>
      <c r="P988" s="1544"/>
    </row>
    <row r="989" spans="1:16" s="1555" customFormat="1" ht="0.75" hidden="1" customHeight="1">
      <c r="A989" s="1700"/>
      <c r="B989" s="1700"/>
      <c r="C989" s="293" t="s">
        <v>1527</v>
      </c>
      <c r="D989" s="9028"/>
      <c r="E989" s="8837"/>
      <c r="F989" s="8972"/>
      <c r="G989" s="329"/>
      <c r="H989" s="1415"/>
      <c r="I989" s="569"/>
      <c r="J989" s="494"/>
      <c r="K989" s="1415"/>
      <c r="L989" s="131"/>
      <c r="M989" s="263"/>
      <c r="N989" s="256"/>
      <c r="O989" s="1544"/>
      <c r="P989" s="1544"/>
    </row>
    <row r="990" spans="1:16" s="1555" customFormat="1" ht="18.75" hidden="1" customHeight="1">
      <c r="A990" s="1700" t="s">
        <v>718</v>
      </c>
      <c r="B990" s="1700" t="s">
        <v>719</v>
      </c>
      <c r="C990" s="293"/>
      <c r="D990" s="9028"/>
      <c r="E990" s="8837"/>
      <c r="F990" s="8972" t="str">
        <f>INDEX(PT_DIFFERENTIATION_VTAR,MATCH(A990,PT_DIFFERENTIATION_VTAR_ID,0))</f>
        <v>Тариф на транспортировку горячей воды</v>
      </c>
      <c r="G990" s="9000" t="str">
        <f>INDEX(PT_DIFFERENTIATION_NTAR,MATCH(B990,PT_DIFFERENTIATION_NTAR_ID,0))</f>
        <v/>
      </c>
      <c r="H990" s="1781"/>
      <c r="I990" s="1658"/>
      <c r="J990" s="1693"/>
      <c r="K990" s="1698"/>
      <c r="L990" s="1781" t="s">
        <v>769</v>
      </c>
      <c r="M990" s="263"/>
      <c r="N990" s="256"/>
      <c r="O990" s="1544"/>
      <c r="P990" s="1544"/>
    </row>
    <row r="991" spans="1:16" s="1555" customFormat="1" ht="18.75" hidden="1" customHeight="1">
      <c r="A991" s="1700"/>
      <c r="B991" s="1700"/>
      <c r="C991" s="293" t="s">
        <v>1519</v>
      </c>
      <c r="D991" s="9028"/>
      <c r="E991" s="8837"/>
      <c r="F991" s="8972"/>
      <c r="G991" s="9000"/>
      <c r="H991" s="1415"/>
      <c r="I991" s="569" t="s">
        <v>1518</v>
      </c>
      <c r="J991" s="494"/>
      <c r="K991" s="1415"/>
      <c r="L991" s="131"/>
      <c r="M991" s="263"/>
      <c r="N991" s="256"/>
      <c r="O991" s="1544"/>
      <c r="P991" s="1544"/>
    </row>
    <row r="992" spans="1:16" s="1555" customFormat="1" ht="0.75" hidden="1" customHeight="1">
      <c r="A992" s="1700"/>
      <c r="B992" s="1700"/>
      <c r="C992" s="293" t="s">
        <v>1527</v>
      </c>
      <c r="D992" s="9028"/>
      <c r="E992" s="8837"/>
      <c r="F992" s="8972"/>
      <c r="G992" s="329"/>
      <c r="H992" s="1415"/>
      <c r="I992" s="569"/>
      <c r="J992" s="494"/>
      <c r="K992" s="1415"/>
      <c r="L992" s="131"/>
      <c r="M992" s="263"/>
      <c r="N992" s="256"/>
      <c r="O992" s="1544"/>
      <c r="P992" s="1544"/>
    </row>
    <row r="993" spans="1:16" s="1555" customFormat="1" ht="18.75" hidden="1" customHeight="1">
      <c r="A993" s="1700" t="s">
        <v>723</v>
      </c>
      <c r="B993" s="1700" t="s">
        <v>724</v>
      </c>
      <c r="C993" s="293"/>
      <c r="D993" s="9028"/>
      <c r="E993" s="8837"/>
      <c r="F993" s="8972" t="str">
        <f>INDEX(PT_DIFFERENTIATION_VTAR,MATCH(A993,PT_DIFFERENTIATION_VTAR_ID,0))</f>
        <v>Тариф на подключение (технологическое присоединение) к централизованной системе горячего водоснабжения</v>
      </c>
      <c r="G993" s="9000" t="str">
        <f>INDEX(PT_DIFFERENTIATION_NTAR,MATCH(B993,PT_DIFFERENTIATION_NTAR_ID,0))</f>
        <v/>
      </c>
      <c r="H993" s="1781"/>
      <c r="I993" s="1658"/>
      <c r="J993" s="1693"/>
      <c r="K993" s="1698"/>
      <c r="L993" s="1781" t="s">
        <v>769</v>
      </c>
      <c r="M993" s="263"/>
      <c r="N993" s="256"/>
      <c r="O993" s="1544"/>
      <c r="P993" s="1544"/>
    </row>
    <row r="994" spans="1:16" s="1555" customFormat="1" ht="18.75" hidden="1" customHeight="1">
      <c r="A994" s="1700"/>
      <c r="B994" s="1700"/>
      <c r="C994" s="293" t="s">
        <v>1519</v>
      </c>
      <c r="D994" s="9028"/>
      <c r="E994" s="8837"/>
      <c r="F994" s="8972"/>
      <c r="G994" s="9000"/>
      <c r="H994" s="1415"/>
      <c r="I994" s="569" t="s">
        <v>1518</v>
      </c>
      <c r="J994" s="494"/>
      <c r="K994" s="1415"/>
      <c r="L994" s="131"/>
      <c r="M994" s="263"/>
      <c r="N994" s="256"/>
      <c r="O994" s="1544"/>
      <c r="P994" s="1544"/>
    </row>
    <row r="995" spans="1:16" s="1555" customFormat="1" ht="0.75" hidden="1" customHeight="1">
      <c r="A995" s="1700"/>
      <c r="B995" s="1700"/>
      <c r="C995" s="293" t="s">
        <v>1527</v>
      </c>
      <c r="D995" s="9028"/>
      <c r="E995" s="8837"/>
      <c r="F995" s="8972"/>
      <c r="G995" s="329"/>
      <c r="H995" s="1415"/>
      <c r="I995" s="569"/>
      <c r="J995" s="494"/>
      <c r="K995" s="1415"/>
      <c r="L995" s="131"/>
      <c r="M995" s="263"/>
      <c r="N995" s="256"/>
      <c r="O995" s="1544"/>
      <c r="P995" s="1544"/>
    </row>
    <row r="996" spans="1:16" s="1555" customFormat="1" ht="18.75" hidden="1" customHeight="1">
      <c r="A996" s="1700" t="s">
        <v>728</v>
      </c>
      <c r="B996" s="1700" t="s">
        <v>729</v>
      </c>
      <c r="C996" s="293"/>
      <c r="D996" s="9028"/>
      <c r="E996" s="8837"/>
      <c r="F996" s="8972" t="str">
        <f>INDEX(PT_DIFFERENTIATION_VTAR,MATCH(A996,PT_DIFFERENTIATION_VTAR_ID,0))</f>
        <v>Тариф на водоотведение</v>
      </c>
      <c r="G996" s="9000" t="str">
        <f>INDEX(PT_DIFFERENTIATION_NTAR,MATCH(B996,PT_DIFFERENTIATION_NTAR_ID,0))</f>
        <v/>
      </c>
      <c r="H996" s="1781"/>
      <c r="I996" s="1658"/>
      <c r="J996" s="1693"/>
      <c r="K996" s="1698"/>
      <c r="L996" s="1781" t="s">
        <v>769</v>
      </c>
      <c r="M996" s="263"/>
      <c r="N996" s="256"/>
      <c r="O996" s="1544"/>
      <c r="P996" s="1544"/>
    </row>
    <row r="997" spans="1:16" s="1555" customFormat="1" ht="18.75" hidden="1" customHeight="1">
      <c r="A997" s="1700"/>
      <c r="B997" s="1700"/>
      <c r="C997" s="293" t="s">
        <v>1519</v>
      </c>
      <c r="D997" s="9028"/>
      <c r="E997" s="8837"/>
      <c r="F997" s="8972"/>
      <c r="G997" s="9000"/>
      <c r="H997" s="1415"/>
      <c r="I997" s="569" t="s">
        <v>1518</v>
      </c>
      <c r="J997" s="494"/>
      <c r="K997" s="1415"/>
      <c r="L997" s="131"/>
      <c r="M997" s="263"/>
      <c r="N997" s="256"/>
      <c r="O997" s="1544"/>
      <c r="P997" s="1544"/>
    </row>
    <row r="998" spans="1:16" s="1555" customFormat="1" ht="0.75" hidden="1" customHeight="1">
      <c r="A998" s="1700"/>
      <c r="B998" s="1700"/>
      <c r="C998" s="293" t="s">
        <v>1527</v>
      </c>
      <c r="D998" s="9028"/>
      <c r="E998" s="8837"/>
      <c r="F998" s="8972"/>
      <c r="G998" s="329"/>
      <c r="H998" s="1415"/>
      <c r="I998" s="569"/>
      <c r="J998" s="494"/>
      <c r="K998" s="1415"/>
      <c r="L998" s="131"/>
      <c r="M998" s="263"/>
      <c r="N998" s="256"/>
      <c r="O998" s="1544"/>
      <c r="P998" s="1544"/>
    </row>
    <row r="999" spans="1:16" s="1555" customFormat="1" ht="18.75" hidden="1" customHeight="1">
      <c r="A999" s="1700" t="s">
        <v>733</v>
      </c>
      <c r="B999" s="1700" t="s">
        <v>734</v>
      </c>
      <c r="C999" s="293"/>
      <c r="D999" s="9028"/>
      <c r="E999" s="8837"/>
      <c r="F999" s="8972" t="str">
        <f>INDEX(PT_DIFFERENTIATION_VTAR,MATCH(A999,PT_DIFFERENTIATION_VTAR_ID,0))</f>
        <v>Тариф на транспортировку сточных вод</v>
      </c>
      <c r="G999" s="9000" t="str">
        <f>INDEX(PT_DIFFERENTIATION_NTAR,MATCH(B999,PT_DIFFERENTIATION_NTAR_ID,0))</f>
        <v/>
      </c>
      <c r="H999" s="1781"/>
      <c r="I999" s="1658"/>
      <c r="J999" s="1693"/>
      <c r="K999" s="1698"/>
      <c r="L999" s="1781" t="s">
        <v>769</v>
      </c>
      <c r="M999" s="263"/>
      <c r="N999" s="256"/>
      <c r="O999" s="1544"/>
      <c r="P999" s="1544"/>
    </row>
    <row r="1000" spans="1:16" s="1555" customFormat="1" ht="18.75" hidden="1" customHeight="1">
      <c r="A1000" s="1700"/>
      <c r="B1000" s="1700"/>
      <c r="C1000" s="293" t="s">
        <v>1519</v>
      </c>
      <c r="D1000" s="9028"/>
      <c r="E1000" s="8837"/>
      <c r="F1000" s="8972"/>
      <c r="G1000" s="9000"/>
      <c r="H1000" s="1415"/>
      <c r="I1000" s="569" t="s">
        <v>1518</v>
      </c>
      <c r="J1000" s="494"/>
      <c r="K1000" s="1415"/>
      <c r="L1000" s="131"/>
      <c r="M1000" s="263"/>
      <c r="N1000" s="256"/>
      <c r="O1000" s="1544"/>
      <c r="P1000" s="1544"/>
    </row>
    <row r="1001" spans="1:16" s="1555" customFormat="1" ht="0.75" hidden="1" customHeight="1">
      <c r="A1001" s="1700"/>
      <c r="B1001" s="1700"/>
      <c r="C1001" s="293" t="s">
        <v>1527</v>
      </c>
      <c r="D1001" s="9028"/>
      <c r="E1001" s="8837"/>
      <c r="F1001" s="8972"/>
      <c r="G1001" s="329"/>
      <c r="H1001" s="1415"/>
      <c r="I1001" s="569"/>
      <c r="J1001" s="494"/>
      <c r="K1001" s="1415"/>
      <c r="L1001" s="131"/>
      <c r="M1001" s="263"/>
      <c r="N1001" s="256"/>
      <c r="O1001" s="1544"/>
      <c r="P1001" s="1544"/>
    </row>
    <row r="1002" spans="1:16" s="1555" customFormat="1" ht="18.75" hidden="1" customHeight="1">
      <c r="A1002" s="1700" t="s">
        <v>738</v>
      </c>
      <c r="B1002" s="1700" t="s">
        <v>739</v>
      </c>
      <c r="C1002" s="293"/>
      <c r="D1002" s="9028"/>
      <c r="E1002" s="8837"/>
      <c r="F1002" s="8972" t="str">
        <f>INDEX(PT_DIFFERENTIATION_VTAR,MATCH(A1002,PT_DIFFERENTIATION_VTAR_ID,0))</f>
        <v>Тариф на подключение (технологическое присоединение) к централизованной системе водоотведения</v>
      </c>
      <c r="G1002" s="9000" t="str">
        <f>INDEX(PT_DIFFERENTIATION_NTAR,MATCH(B1002,PT_DIFFERENTIATION_NTAR_ID,0))</f>
        <v/>
      </c>
      <c r="H1002" s="1781"/>
      <c r="I1002" s="1658"/>
      <c r="J1002" s="1693"/>
      <c r="K1002" s="1698"/>
      <c r="L1002" s="1781" t="s">
        <v>769</v>
      </c>
      <c r="M1002" s="263"/>
      <c r="N1002" s="256"/>
      <c r="O1002" s="1544"/>
      <c r="P1002" s="1544"/>
    </row>
    <row r="1003" spans="1:16" s="1555" customFormat="1" ht="18.75" hidden="1" customHeight="1">
      <c r="A1003" s="1700"/>
      <c r="B1003" s="1700"/>
      <c r="C1003" s="293" t="s">
        <v>1519</v>
      </c>
      <c r="D1003" s="9028"/>
      <c r="E1003" s="8837"/>
      <c r="F1003" s="8972"/>
      <c r="G1003" s="9000"/>
      <c r="H1003" s="1415"/>
      <c r="I1003" s="569" t="s">
        <v>1518</v>
      </c>
      <c r="J1003" s="494"/>
      <c r="K1003" s="1415"/>
      <c r="L1003" s="131"/>
      <c r="M1003" s="263"/>
      <c r="N1003" s="256"/>
      <c r="O1003" s="1544"/>
      <c r="P1003" s="1544"/>
    </row>
    <row r="1004" spans="1:16" s="1555" customFormat="1" ht="0.75" customHeight="1">
      <c r="A1004" s="1700"/>
      <c r="B1004" s="1700"/>
      <c r="C1004" s="293" t="s">
        <v>1527</v>
      </c>
      <c r="D1004" s="9028"/>
      <c r="E1004" s="8837"/>
      <c r="F1004" s="8972"/>
      <c r="G1004" s="329"/>
      <c r="H1004" s="1415"/>
      <c r="I1004" s="569"/>
      <c r="J1004" s="494"/>
      <c r="K1004" s="1415"/>
      <c r="L1004" s="131"/>
      <c r="M1004" s="263"/>
      <c r="N1004" s="256"/>
      <c r="O1004" s="1544"/>
      <c r="P1004" s="1544"/>
    </row>
    <row r="1005" spans="1:16" s="1742" customFormat="1" ht="3" customHeight="1">
      <c r="A1005" s="1700"/>
      <c r="B1005" s="1700"/>
      <c r="C1005" s="1701"/>
      <c r="E1005" s="331"/>
      <c r="F1005" s="331"/>
      <c r="G1005" s="331"/>
      <c r="H1005" s="331"/>
      <c r="I1005" s="331"/>
      <c r="J1005" s="331"/>
      <c r="K1005" s="331"/>
      <c r="L1005" s="331"/>
      <c r="M1005" s="331"/>
      <c r="O1005" s="113"/>
      <c r="P1005" s="113"/>
    </row>
    <row r="1006" spans="1:16" ht="24.75" customHeight="1">
      <c r="E1006" s="119"/>
      <c r="F1006" s="8903"/>
      <c r="G1006" s="8903"/>
      <c r="H1006" s="8903"/>
      <c r="I1006" s="8903"/>
      <c r="J1006" s="8903"/>
      <c r="K1006" s="8903"/>
      <c r="L1006" s="8903"/>
      <c r="M1006" s="8903"/>
    </row>
  </sheetData>
  <sheetProtection formatColumns="0" formatRows="0" insertRows="0" deleteColumns="0" deleteRows="0" sort="0" autoFilter="0"/>
  <mergeCells count="753">
    <mergeCell ref="G981:G982"/>
    <mergeCell ref="G977:G978"/>
    <mergeCell ref="G193:G194"/>
    <mergeCell ref="G391:G392"/>
    <mergeCell ref="G587:G588"/>
    <mergeCell ref="G783:G784"/>
    <mergeCell ref="G979:G980"/>
    <mergeCell ref="G195:G196"/>
    <mergeCell ref="G393:G394"/>
    <mergeCell ref="G589:G590"/>
    <mergeCell ref="G785:G786"/>
    <mergeCell ref="G973:G974"/>
    <mergeCell ref="G189:G190"/>
    <mergeCell ref="G387:G388"/>
    <mergeCell ref="G583:G584"/>
    <mergeCell ref="G779:G780"/>
    <mergeCell ref="G975:G976"/>
    <mergeCell ref="G191:G192"/>
    <mergeCell ref="G389:G390"/>
    <mergeCell ref="G585:G586"/>
    <mergeCell ref="G781:G782"/>
    <mergeCell ref="G969:G970"/>
    <mergeCell ref="G185:G186"/>
    <mergeCell ref="G383:G384"/>
    <mergeCell ref="G579:G580"/>
    <mergeCell ref="G775:G776"/>
    <mergeCell ref="G971:G972"/>
    <mergeCell ref="G187:G188"/>
    <mergeCell ref="G385:G386"/>
    <mergeCell ref="G581:G582"/>
    <mergeCell ref="G777:G778"/>
    <mergeCell ref="G965:G966"/>
    <mergeCell ref="G181:G182"/>
    <mergeCell ref="G379:G380"/>
    <mergeCell ref="G575:G576"/>
    <mergeCell ref="G771:G772"/>
    <mergeCell ref="G967:G968"/>
    <mergeCell ref="G183:G184"/>
    <mergeCell ref="G381:G382"/>
    <mergeCell ref="G577:G578"/>
    <mergeCell ref="G773:G774"/>
    <mergeCell ref="G961:G962"/>
    <mergeCell ref="G177:G178"/>
    <mergeCell ref="G375:G376"/>
    <mergeCell ref="G571:G572"/>
    <mergeCell ref="G767:G768"/>
    <mergeCell ref="G963:G964"/>
    <mergeCell ref="G179:G180"/>
    <mergeCell ref="G377:G378"/>
    <mergeCell ref="G573:G574"/>
    <mergeCell ref="G769:G770"/>
    <mergeCell ref="G957:G958"/>
    <mergeCell ref="G173:G174"/>
    <mergeCell ref="G371:G372"/>
    <mergeCell ref="G567:G568"/>
    <mergeCell ref="G763:G764"/>
    <mergeCell ref="G959:G960"/>
    <mergeCell ref="G175:G176"/>
    <mergeCell ref="G373:G374"/>
    <mergeCell ref="G569:G570"/>
    <mergeCell ref="G765:G766"/>
    <mergeCell ref="G953:G954"/>
    <mergeCell ref="G169:G170"/>
    <mergeCell ref="G367:G368"/>
    <mergeCell ref="G563:G564"/>
    <mergeCell ref="G759:G760"/>
    <mergeCell ref="G955:G956"/>
    <mergeCell ref="G171:G172"/>
    <mergeCell ref="G369:G370"/>
    <mergeCell ref="G565:G566"/>
    <mergeCell ref="G761:G762"/>
    <mergeCell ref="G949:G950"/>
    <mergeCell ref="G165:G166"/>
    <mergeCell ref="G363:G364"/>
    <mergeCell ref="G559:G560"/>
    <mergeCell ref="G755:G756"/>
    <mergeCell ref="G951:G952"/>
    <mergeCell ref="G167:G168"/>
    <mergeCell ref="G365:G366"/>
    <mergeCell ref="G561:G562"/>
    <mergeCell ref="G757:G758"/>
    <mergeCell ref="G945:G946"/>
    <mergeCell ref="G161:G162"/>
    <mergeCell ref="G359:G360"/>
    <mergeCell ref="G555:G556"/>
    <mergeCell ref="G751:G752"/>
    <mergeCell ref="G947:G948"/>
    <mergeCell ref="G163:G164"/>
    <mergeCell ref="G361:G362"/>
    <mergeCell ref="G557:G558"/>
    <mergeCell ref="G753:G754"/>
    <mergeCell ref="G941:G942"/>
    <mergeCell ref="G157:G158"/>
    <mergeCell ref="G355:G356"/>
    <mergeCell ref="G551:G552"/>
    <mergeCell ref="G747:G748"/>
    <mergeCell ref="G943:G944"/>
    <mergeCell ref="G159:G160"/>
    <mergeCell ref="G357:G358"/>
    <mergeCell ref="G553:G554"/>
    <mergeCell ref="G749:G750"/>
    <mergeCell ref="G937:G938"/>
    <mergeCell ref="G153:G154"/>
    <mergeCell ref="G351:G352"/>
    <mergeCell ref="G547:G548"/>
    <mergeCell ref="G743:G744"/>
    <mergeCell ref="G939:G940"/>
    <mergeCell ref="G155:G156"/>
    <mergeCell ref="G353:G354"/>
    <mergeCell ref="G549:G550"/>
    <mergeCell ref="G745:G746"/>
    <mergeCell ref="G933:G934"/>
    <mergeCell ref="G149:G150"/>
    <mergeCell ref="G347:G348"/>
    <mergeCell ref="G543:G544"/>
    <mergeCell ref="G739:G740"/>
    <mergeCell ref="G935:G936"/>
    <mergeCell ref="G151:G152"/>
    <mergeCell ref="G349:G350"/>
    <mergeCell ref="G545:G546"/>
    <mergeCell ref="G741:G742"/>
    <mergeCell ref="G929:G930"/>
    <mergeCell ref="G145:G146"/>
    <mergeCell ref="G343:G344"/>
    <mergeCell ref="G539:G540"/>
    <mergeCell ref="G735:G736"/>
    <mergeCell ref="G931:G932"/>
    <mergeCell ref="G147:G148"/>
    <mergeCell ref="G345:G346"/>
    <mergeCell ref="G541:G542"/>
    <mergeCell ref="G737:G738"/>
    <mergeCell ref="G925:G926"/>
    <mergeCell ref="G141:G142"/>
    <mergeCell ref="G339:G340"/>
    <mergeCell ref="G535:G536"/>
    <mergeCell ref="G731:G732"/>
    <mergeCell ref="G927:G928"/>
    <mergeCell ref="G143:G144"/>
    <mergeCell ref="G341:G342"/>
    <mergeCell ref="G537:G538"/>
    <mergeCell ref="G733:G734"/>
    <mergeCell ref="G921:G922"/>
    <mergeCell ref="G137:G138"/>
    <mergeCell ref="G335:G336"/>
    <mergeCell ref="G531:G532"/>
    <mergeCell ref="G727:G728"/>
    <mergeCell ref="G923:G924"/>
    <mergeCell ref="G139:G140"/>
    <mergeCell ref="G337:G338"/>
    <mergeCell ref="G533:G534"/>
    <mergeCell ref="G729:G730"/>
    <mergeCell ref="G917:G918"/>
    <mergeCell ref="G133:G134"/>
    <mergeCell ref="G331:G332"/>
    <mergeCell ref="G527:G528"/>
    <mergeCell ref="G723:G724"/>
    <mergeCell ref="G919:G920"/>
    <mergeCell ref="G135:G136"/>
    <mergeCell ref="G333:G334"/>
    <mergeCell ref="G529:G530"/>
    <mergeCell ref="G725:G726"/>
    <mergeCell ref="G913:G914"/>
    <mergeCell ref="G129:G130"/>
    <mergeCell ref="G327:G328"/>
    <mergeCell ref="G523:G524"/>
    <mergeCell ref="G719:G720"/>
    <mergeCell ref="G915:G916"/>
    <mergeCell ref="G131:G132"/>
    <mergeCell ref="G329:G330"/>
    <mergeCell ref="G525:G526"/>
    <mergeCell ref="G721:G722"/>
    <mergeCell ref="G909:G910"/>
    <mergeCell ref="G125:G126"/>
    <mergeCell ref="G323:G324"/>
    <mergeCell ref="G519:G520"/>
    <mergeCell ref="G715:G716"/>
    <mergeCell ref="G911:G912"/>
    <mergeCell ref="G127:G128"/>
    <mergeCell ref="G325:G326"/>
    <mergeCell ref="G521:G522"/>
    <mergeCell ref="G717:G718"/>
    <mergeCell ref="G905:G906"/>
    <mergeCell ref="G121:G122"/>
    <mergeCell ref="G319:G320"/>
    <mergeCell ref="G515:G516"/>
    <mergeCell ref="G711:G712"/>
    <mergeCell ref="G907:G908"/>
    <mergeCell ref="G123:G124"/>
    <mergeCell ref="G321:G322"/>
    <mergeCell ref="G517:G518"/>
    <mergeCell ref="G713:G714"/>
    <mergeCell ref="G901:G902"/>
    <mergeCell ref="G117:G118"/>
    <mergeCell ref="G315:G316"/>
    <mergeCell ref="G511:G512"/>
    <mergeCell ref="G707:G708"/>
    <mergeCell ref="G903:G904"/>
    <mergeCell ref="G119:G120"/>
    <mergeCell ref="G317:G318"/>
    <mergeCell ref="G513:G514"/>
    <mergeCell ref="G709:G710"/>
    <mergeCell ref="G897:G898"/>
    <mergeCell ref="G113:G114"/>
    <mergeCell ref="G311:G312"/>
    <mergeCell ref="G507:G508"/>
    <mergeCell ref="G703:G704"/>
    <mergeCell ref="G899:G900"/>
    <mergeCell ref="G115:G116"/>
    <mergeCell ref="G313:G314"/>
    <mergeCell ref="G509:G510"/>
    <mergeCell ref="G705:G706"/>
    <mergeCell ref="G893:G894"/>
    <mergeCell ref="G109:G110"/>
    <mergeCell ref="G307:G308"/>
    <mergeCell ref="G503:G504"/>
    <mergeCell ref="G699:G700"/>
    <mergeCell ref="G895:G896"/>
    <mergeCell ref="G111:G112"/>
    <mergeCell ref="G309:G310"/>
    <mergeCell ref="G505:G506"/>
    <mergeCell ref="G701:G702"/>
    <mergeCell ref="G889:G890"/>
    <mergeCell ref="G105:G106"/>
    <mergeCell ref="G303:G304"/>
    <mergeCell ref="G499:G500"/>
    <mergeCell ref="G695:G696"/>
    <mergeCell ref="G891:G892"/>
    <mergeCell ref="G107:G108"/>
    <mergeCell ref="G305:G306"/>
    <mergeCell ref="G501:G502"/>
    <mergeCell ref="G697:G698"/>
    <mergeCell ref="G885:G886"/>
    <mergeCell ref="G101:G102"/>
    <mergeCell ref="G299:G300"/>
    <mergeCell ref="G495:G496"/>
    <mergeCell ref="G691:G692"/>
    <mergeCell ref="G887:G888"/>
    <mergeCell ref="G103:G104"/>
    <mergeCell ref="G301:G302"/>
    <mergeCell ref="G497:G498"/>
    <mergeCell ref="G693:G694"/>
    <mergeCell ref="G881:G882"/>
    <mergeCell ref="G97:G98"/>
    <mergeCell ref="G295:G296"/>
    <mergeCell ref="G491:G492"/>
    <mergeCell ref="G687:G688"/>
    <mergeCell ref="G883:G884"/>
    <mergeCell ref="G99:G100"/>
    <mergeCell ref="G297:G298"/>
    <mergeCell ref="G493:G494"/>
    <mergeCell ref="G689:G690"/>
    <mergeCell ref="G877:G878"/>
    <mergeCell ref="G93:G94"/>
    <mergeCell ref="G291:G292"/>
    <mergeCell ref="G487:G488"/>
    <mergeCell ref="G683:G684"/>
    <mergeCell ref="G879:G880"/>
    <mergeCell ref="G95:G96"/>
    <mergeCell ref="G293:G294"/>
    <mergeCell ref="G489:G490"/>
    <mergeCell ref="G685:G686"/>
    <mergeCell ref="G873:G874"/>
    <mergeCell ref="G89:G90"/>
    <mergeCell ref="G287:G288"/>
    <mergeCell ref="G483:G484"/>
    <mergeCell ref="G679:G680"/>
    <mergeCell ref="G875:G876"/>
    <mergeCell ref="G91:G92"/>
    <mergeCell ref="G289:G290"/>
    <mergeCell ref="G485:G486"/>
    <mergeCell ref="G681:G682"/>
    <mergeCell ref="G275:G276"/>
    <mergeCell ref="G471:G472"/>
    <mergeCell ref="G667:G668"/>
    <mergeCell ref="G863:G864"/>
    <mergeCell ref="G79:G80"/>
    <mergeCell ref="G277:G278"/>
    <mergeCell ref="G473:G474"/>
    <mergeCell ref="G669:G670"/>
    <mergeCell ref="G865:G866"/>
    <mergeCell ref="G81:G82"/>
    <mergeCell ref="G279:G280"/>
    <mergeCell ref="G475:G476"/>
    <mergeCell ref="G671:G672"/>
    <mergeCell ref="G83:G84"/>
    <mergeCell ref="G281:G282"/>
    <mergeCell ref="G477:G478"/>
    <mergeCell ref="G673:G674"/>
    <mergeCell ref="G85:G86"/>
    <mergeCell ref="G283:G284"/>
    <mergeCell ref="G479:G480"/>
    <mergeCell ref="G675:G676"/>
    <mergeCell ref="G87:G88"/>
    <mergeCell ref="G285:G286"/>
    <mergeCell ref="G481:G482"/>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204:D206"/>
    <mergeCell ref="E204:E206"/>
    <mergeCell ref="F204:F206"/>
    <mergeCell ref="F1006:M1006"/>
    <mergeCell ref="F809:L809"/>
    <mergeCell ref="D810:D812"/>
    <mergeCell ref="E810:E812"/>
    <mergeCell ref="F810:F812"/>
    <mergeCell ref="D813:D815"/>
    <mergeCell ref="E813:E815"/>
    <mergeCell ref="F813:F815"/>
    <mergeCell ref="D816:D818"/>
    <mergeCell ref="D822:D824"/>
    <mergeCell ref="E822:E824"/>
    <mergeCell ref="F822:F824"/>
    <mergeCell ref="D825:D827"/>
    <mergeCell ref="E825:E827"/>
    <mergeCell ref="F825:F827"/>
    <mergeCell ref="E816:E818"/>
    <mergeCell ref="F816:F818"/>
    <mergeCell ref="D819:D821"/>
    <mergeCell ref="E819:E821"/>
    <mergeCell ref="D225:D227"/>
    <mergeCell ref="E225:E227"/>
    <mergeCell ref="G45:G46"/>
    <mergeCell ref="G48:G49"/>
    <mergeCell ref="G51:G52"/>
    <mergeCell ref="G54:G55"/>
    <mergeCell ref="M614:M617"/>
    <mergeCell ref="M222:M225"/>
    <mergeCell ref="F417:L417"/>
    <mergeCell ref="M418:M421"/>
    <mergeCell ref="F613:L613"/>
    <mergeCell ref="F48:F50"/>
    <mergeCell ref="F51:F53"/>
    <mergeCell ref="F210:F212"/>
    <mergeCell ref="F213:F215"/>
    <mergeCell ref="F225:F227"/>
    <mergeCell ref="F228:F230"/>
    <mergeCell ref="M24:M218"/>
    <mergeCell ref="G42:G43"/>
    <mergeCell ref="G399:G400"/>
    <mergeCell ref="G402:G403"/>
    <mergeCell ref="G405:G406"/>
    <mergeCell ref="G408:G409"/>
    <mergeCell ref="G424:G425"/>
    <mergeCell ref="G427:G428"/>
    <mergeCell ref="G430:G431"/>
    <mergeCell ref="D45:D47"/>
    <mergeCell ref="E45:E47"/>
    <mergeCell ref="F45:F47"/>
    <mergeCell ref="D198:D200"/>
    <mergeCell ref="E198:E200"/>
    <mergeCell ref="F198:F200"/>
    <mergeCell ref="D201:D203"/>
    <mergeCell ref="E201:E203"/>
    <mergeCell ref="F201:F203"/>
    <mergeCell ref="D54:D56"/>
    <mergeCell ref="E54:E56"/>
    <mergeCell ref="F54:F56"/>
    <mergeCell ref="D57:D197"/>
    <mergeCell ref="E57:E197"/>
    <mergeCell ref="F57:F197"/>
    <mergeCell ref="D48:D50"/>
    <mergeCell ref="E48:E50"/>
    <mergeCell ref="D51:D53"/>
    <mergeCell ref="E51:E53"/>
    <mergeCell ref="D207:D209"/>
    <mergeCell ref="E207:E209"/>
    <mergeCell ref="F207:F209"/>
    <mergeCell ref="F231:F233"/>
    <mergeCell ref="D234:D236"/>
    <mergeCell ref="E234:E236"/>
    <mergeCell ref="F234:F236"/>
    <mergeCell ref="D216:D218"/>
    <mergeCell ref="E216:E218"/>
    <mergeCell ref="F216:F218"/>
    <mergeCell ref="D222:D224"/>
    <mergeCell ref="E222:E224"/>
    <mergeCell ref="F222:F224"/>
    <mergeCell ref="D231:D233"/>
    <mergeCell ref="E231:E233"/>
    <mergeCell ref="F219:L219"/>
    <mergeCell ref="H220:I220"/>
    <mergeCell ref="F221:L221"/>
    <mergeCell ref="D210:D212"/>
    <mergeCell ref="E210:E212"/>
    <mergeCell ref="D213:D215"/>
    <mergeCell ref="E213:E215"/>
    <mergeCell ref="D228:D230"/>
    <mergeCell ref="E228:E230"/>
    <mergeCell ref="D243:D245"/>
    <mergeCell ref="E243:E245"/>
    <mergeCell ref="F243:F245"/>
    <mergeCell ref="D246:D248"/>
    <mergeCell ref="E246:E248"/>
    <mergeCell ref="F246:F248"/>
    <mergeCell ref="D237:D239"/>
    <mergeCell ref="E237:E239"/>
    <mergeCell ref="F237:F239"/>
    <mergeCell ref="D240:D242"/>
    <mergeCell ref="E240:E242"/>
    <mergeCell ref="F240:F242"/>
    <mergeCell ref="D249:D251"/>
    <mergeCell ref="E249:E251"/>
    <mergeCell ref="F249:F251"/>
    <mergeCell ref="D252:D254"/>
    <mergeCell ref="E252:E254"/>
    <mergeCell ref="F252:F254"/>
    <mergeCell ref="G252:G253"/>
    <mergeCell ref="G255:G256"/>
    <mergeCell ref="G396:G397"/>
    <mergeCell ref="D255:D395"/>
    <mergeCell ref="E255:E395"/>
    <mergeCell ref="F255:F395"/>
    <mergeCell ref="D396:D398"/>
    <mergeCell ref="E396:E398"/>
    <mergeCell ref="F396:F398"/>
    <mergeCell ref="G257:G258"/>
    <mergeCell ref="G259:G260"/>
    <mergeCell ref="G261:G262"/>
    <mergeCell ref="G263:G264"/>
    <mergeCell ref="G265:G266"/>
    <mergeCell ref="G267:G268"/>
    <mergeCell ref="G269:G270"/>
    <mergeCell ref="G271:G272"/>
    <mergeCell ref="G273:G274"/>
    <mergeCell ref="D405:D407"/>
    <mergeCell ref="E405:E407"/>
    <mergeCell ref="F405:F407"/>
    <mergeCell ref="D408:D410"/>
    <mergeCell ref="E408:E410"/>
    <mergeCell ref="F408:F410"/>
    <mergeCell ref="D399:D401"/>
    <mergeCell ref="E399:E401"/>
    <mergeCell ref="F399:F401"/>
    <mergeCell ref="D402:D404"/>
    <mergeCell ref="E402:E404"/>
    <mergeCell ref="F402:F404"/>
    <mergeCell ref="G433:G434"/>
    <mergeCell ref="D421:D423"/>
    <mergeCell ref="E421:E423"/>
    <mergeCell ref="F421:F423"/>
    <mergeCell ref="D411:D413"/>
    <mergeCell ref="E411:E413"/>
    <mergeCell ref="F411:F413"/>
    <mergeCell ref="D414:D416"/>
    <mergeCell ref="E414:E416"/>
    <mergeCell ref="F414:F416"/>
    <mergeCell ref="D418:D420"/>
    <mergeCell ref="E418:E420"/>
    <mergeCell ref="F418:F420"/>
    <mergeCell ref="G411:G412"/>
    <mergeCell ref="G414:G415"/>
    <mergeCell ref="G418:G419"/>
    <mergeCell ref="G421:G422"/>
    <mergeCell ref="D430:D432"/>
    <mergeCell ref="E430:E432"/>
    <mergeCell ref="F430:F432"/>
    <mergeCell ref="D433:D435"/>
    <mergeCell ref="E433:E435"/>
    <mergeCell ref="F433:F435"/>
    <mergeCell ref="D424:D426"/>
    <mergeCell ref="E424:E426"/>
    <mergeCell ref="F424:F426"/>
    <mergeCell ref="D427:D429"/>
    <mergeCell ref="E427:E429"/>
    <mergeCell ref="F427:F429"/>
    <mergeCell ref="D436:D438"/>
    <mergeCell ref="E436:E438"/>
    <mergeCell ref="F436:F438"/>
    <mergeCell ref="D439:D441"/>
    <mergeCell ref="E439:E441"/>
    <mergeCell ref="F439:F441"/>
    <mergeCell ref="G436:G437"/>
    <mergeCell ref="G439:G440"/>
    <mergeCell ref="G442:G443"/>
    <mergeCell ref="G448:G449"/>
    <mergeCell ref="G451:G452"/>
    <mergeCell ref="G592:G593"/>
    <mergeCell ref="G595:G596"/>
    <mergeCell ref="D442:D444"/>
    <mergeCell ref="E442:E444"/>
    <mergeCell ref="F442:F444"/>
    <mergeCell ref="D445:D447"/>
    <mergeCell ref="E445:E447"/>
    <mergeCell ref="F445:F447"/>
    <mergeCell ref="G445:G446"/>
    <mergeCell ref="D592:D594"/>
    <mergeCell ref="E592:E594"/>
    <mergeCell ref="F592:F594"/>
    <mergeCell ref="D595:D597"/>
    <mergeCell ref="E595:E597"/>
    <mergeCell ref="F595:F597"/>
    <mergeCell ref="D448:D450"/>
    <mergeCell ref="E448:E450"/>
    <mergeCell ref="F448:F450"/>
    <mergeCell ref="D451:D591"/>
    <mergeCell ref="E451:E591"/>
    <mergeCell ref="F451:F591"/>
    <mergeCell ref="D598:D600"/>
    <mergeCell ref="E598:E600"/>
    <mergeCell ref="F598:F600"/>
    <mergeCell ref="D601:D603"/>
    <mergeCell ref="E601:E603"/>
    <mergeCell ref="F601:F603"/>
    <mergeCell ref="G598:G599"/>
    <mergeCell ref="G601:G602"/>
    <mergeCell ref="G453:G454"/>
    <mergeCell ref="G455:G456"/>
    <mergeCell ref="G457:G458"/>
    <mergeCell ref="G459:G460"/>
    <mergeCell ref="G461:G462"/>
    <mergeCell ref="G463:G464"/>
    <mergeCell ref="G465:G466"/>
    <mergeCell ref="G467:G468"/>
    <mergeCell ref="G469:G470"/>
    <mergeCell ref="G604:G605"/>
    <mergeCell ref="G610:G611"/>
    <mergeCell ref="G614:G615"/>
    <mergeCell ref="G617:G618"/>
    <mergeCell ref="G620:G621"/>
    <mergeCell ref="D604:D606"/>
    <mergeCell ref="E604:E606"/>
    <mergeCell ref="F604:F606"/>
    <mergeCell ref="D607:D609"/>
    <mergeCell ref="E607:E609"/>
    <mergeCell ref="F607:F609"/>
    <mergeCell ref="G607:G608"/>
    <mergeCell ref="D617:D619"/>
    <mergeCell ref="E617:E619"/>
    <mergeCell ref="F617:F619"/>
    <mergeCell ref="D620:D622"/>
    <mergeCell ref="E620:E622"/>
    <mergeCell ref="F620:F622"/>
    <mergeCell ref="D610:D612"/>
    <mergeCell ref="E610:E612"/>
    <mergeCell ref="F610:F612"/>
    <mergeCell ref="D614:D616"/>
    <mergeCell ref="E614:E616"/>
    <mergeCell ref="F614:F616"/>
    <mergeCell ref="D623:D625"/>
    <mergeCell ref="E623:E625"/>
    <mergeCell ref="F623:F625"/>
    <mergeCell ref="D626:D628"/>
    <mergeCell ref="E626:E628"/>
    <mergeCell ref="F626:F628"/>
    <mergeCell ref="G623:G624"/>
    <mergeCell ref="G626:G627"/>
    <mergeCell ref="G629:G630"/>
    <mergeCell ref="G635:G636"/>
    <mergeCell ref="G638:G639"/>
    <mergeCell ref="G641:G642"/>
    <mergeCell ref="G644:G645"/>
    <mergeCell ref="D629:D631"/>
    <mergeCell ref="E629:E631"/>
    <mergeCell ref="F629:F631"/>
    <mergeCell ref="D632:D634"/>
    <mergeCell ref="E632:E634"/>
    <mergeCell ref="F632:F634"/>
    <mergeCell ref="G632:G633"/>
    <mergeCell ref="D641:D643"/>
    <mergeCell ref="E641:E643"/>
    <mergeCell ref="F641:F643"/>
    <mergeCell ref="D644:D646"/>
    <mergeCell ref="E644:E646"/>
    <mergeCell ref="F644:F646"/>
    <mergeCell ref="D635:D637"/>
    <mergeCell ref="E635:E637"/>
    <mergeCell ref="F635:F637"/>
    <mergeCell ref="D638:D640"/>
    <mergeCell ref="E638:E640"/>
    <mergeCell ref="F638:F640"/>
    <mergeCell ref="D647:D787"/>
    <mergeCell ref="E647:E787"/>
    <mergeCell ref="F647:F787"/>
    <mergeCell ref="D788:D790"/>
    <mergeCell ref="E788:E790"/>
    <mergeCell ref="F788:F790"/>
    <mergeCell ref="G647:G648"/>
    <mergeCell ref="G788:G789"/>
    <mergeCell ref="G791:G792"/>
    <mergeCell ref="G649:G650"/>
    <mergeCell ref="G651:G652"/>
    <mergeCell ref="G653:G654"/>
    <mergeCell ref="G655:G656"/>
    <mergeCell ref="G657:G658"/>
    <mergeCell ref="G659:G660"/>
    <mergeCell ref="G661:G662"/>
    <mergeCell ref="G663:G664"/>
    <mergeCell ref="G665:G666"/>
    <mergeCell ref="G677:G678"/>
    <mergeCell ref="G797:G798"/>
    <mergeCell ref="G800:G801"/>
    <mergeCell ref="G803:G804"/>
    <mergeCell ref="G806:G807"/>
    <mergeCell ref="D791:D793"/>
    <mergeCell ref="E791:E793"/>
    <mergeCell ref="F791:F793"/>
    <mergeCell ref="D794:D796"/>
    <mergeCell ref="E794:E796"/>
    <mergeCell ref="F794:F796"/>
    <mergeCell ref="G794:G795"/>
    <mergeCell ref="D803:D805"/>
    <mergeCell ref="E803:E805"/>
    <mergeCell ref="F803:F805"/>
    <mergeCell ref="D806:D808"/>
    <mergeCell ref="E806:E808"/>
    <mergeCell ref="F806:F808"/>
    <mergeCell ref="D797:D799"/>
    <mergeCell ref="E797:E799"/>
    <mergeCell ref="F797:F799"/>
    <mergeCell ref="D800:D802"/>
    <mergeCell ref="E800:E802"/>
    <mergeCell ref="F800:F802"/>
    <mergeCell ref="F840:F842"/>
    <mergeCell ref="D843:D983"/>
    <mergeCell ref="E843:E983"/>
    <mergeCell ref="F843:F983"/>
    <mergeCell ref="G840:G841"/>
    <mergeCell ref="G843:G844"/>
    <mergeCell ref="G984:G985"/>
    <mergeCell ref="G987:G988"/>
    <mergeCell ref="F819:F821"/>
    <mergeCell ref="D834:D836"/>
    <mergeCell ref="E834:E836"/>
    <mergeCell ref="F834:F836"/>
    <mergeCell ref="D837:D839"/>
    <mergeCell ref="E837:E839"/>
    <mergeCell ref="F837:F839"/>
    <mergeCell ref="D828:D830"/>
    <mergeCell ref="E828:E830"/>
    <mergeCell ref="F828:F830"/>
    <mergeCell ref="D831:D833"/>
    <mergeCell ref="E831:E833"/>
    <mergeCell ref="F831:F833"/>
    <mergeCell ref="G837:G838"/>
    <mergeCell ref="G845:G846"/>
    <mergeCell ref="G847:G848"/>
    <mergeCell ref="D1002:D1004"/>
    <mergeCell ref="E1002:E1004"/>
    <mergeCell ref="F1002:F1004"/>
    <mergeCell ref="M810:M813"/>
    <mergeCell ref="D996:D998"/>
    <mergeCell ref="E996:E998"/>
    <mergeCell ref="F996:F998"/>
    <mergeCell ref="D999:D1001"/>
    <mergeCell ref="E999:E1001"/>
    <mergeCell ref="F999:F1001"/>
    <mergeCell ref="D990:D992"/>
    <mergeCell ref="E990:E992"/>
    <mergeCell ref="F990:F992"/>
    <mergeCell ref="D993:D995"/>
    <mergeCell ref="E993:E995"/>
    <mergeCell ref="F993:F995"/>
    <mergeCell ref="D984:D986"/>
    <mergeCell ref="E984:E986"/>
    <mergeCell ref="F984:F986"/>
    <mergeCell ref="D987:D989"/>
    <mergeCell ref="E987:E989"/>
    <mergeCell ref="F987:F989"/>
    <mergeCell ref="D840:D842"/>
    <mergeCell ref="E840:E842"/>
    <mergeCell ref="G57:G58"/>
    <mergeCell ref="G198:G199"/>
    <mergeCell ref="G201:G202"/>
    <mergeCell ref="G204:G205"/>
    <mergeCell ref="G207:G208"/>
    <mergeCell ref="G210:G211"/>
    <mergeCell ref="G213:G214"/>
    <mergeCell ref="G216:G217"/>
    <mergeCell ref="G222:G223"/>
    <mergeCell ref="G59:G60"/>
    <mergeCell ref="G61:G62"/>
    <mergeCell ref="G63:G64"/>
    <mergeCell ref="G65:G66"/>
    <mergeCell ref="G67:G68"/>
    <mergeCell ref="G69:G70"/>
    <mergeCell ref="G71:G72"/>
    <mergeCell ref="G73:G74"/>
    <mergeCell ref="G75:G76"/>
    <mergeCell ref="G77:G78"/>
    <mergeCell ref="G225:G226"/>
    <mergeCell ref="G228:G229"/>
    <mergeCell ref="G231:G232"/>
    <mergeCell ref="G234:G235"/>
    <mergeCell ref="G237:G238"/>
    <mergeCell ref="G240:G241"/>
    <mergeCell ref="G243:G244"/>
    <mergeCell ref="G246:G247"/>
    <mergeCell ref="G249:G250"/>
    <mergeCell ref="G990:G991"/>
    <mergeCell ref="G993:G994"/>
    <mergeCell ref="G996:G997"/>
    <mergeCell ref="G999:G1000"/>
    <mergeCell ref="G1002:G1003"/>
    <mergeCell ref="G810:G811"/>
    <mergeCell ref="G813:G814"/>
    <mergeCell ref="G816:G817"/>
    <mergeCell ref="G819:G820"/>
    <mergeCell ref="G822:G823"/>
    <mergeCell ref="G825:G826"/>
    <mergeCell ref="G828:G829"/>
    <mergeCell ref="G831:G832"/>
    <mergeCell ref="G834:G835"/>
    <mergeCell ref="G849:G850"/>
    <mergeCell ref="G851:G852"/>
    <mergeCell ref="G853:G854"/>
    <mergeCell ref="G855:G856"/>
    <mergeCell ref="G857:G858"/>
    <mergeCell ref="G859:G860"/>
    <mergeCell ref="G861:G862"/>
    <mergeCell ref="G867:G868"/>
    <mergeCell ref="G869:G870"/>
    <mergeCell ref="G871:G872"/>
  </mergeCells>
  <dataValidations count="4">
    <dataValidation type="decimal" allowBlank="1" showErrorMessage="1" errorTitle="Ошибка" error="Допускается ввод только действительных чисел!" sqref="K614 K617 K620 K623 K626 K629 K632 K635 K638 K641 K644 K647 K788 K791 K794 K797 K800 K803 K10 K222 K411 K408 K405 K402 K399 K396 K255 K252 K249 K246 K243 K240 K237 K234 K231 K228 K225 K418 K414 K421 K424 K427 K430 K433 K436 K439 K442 K445 K448 K451 K592 K598 K601 K604 K607 K610 K595 K806 K810 K813 K816 K819 K822 K825 K828 K831 K834 K837 K840 K843 K984 K987 K990 K993 K996 K999 K1002 K5 K257 K453 K649 K845 K259 K455 K651 K847 K261 K457 K653 K849 K263 K459 K655 K851 K265 K461 K657 K853 K267 K463 K659 K855 K269 K465 K661 K857 K271 K467 K663 K859 K273 K469 K665 K861 K275 K471 K667 K863 K277 K473 K669 K865 K279 K475 K671 K867 K281 K477 K673 K869 K283 K479 K675 K871 K285 K481 K677 K873 K287 K483 K679 K875 K289 K485 K681 K877 K291 K487 K683 K879 K293 K489 K685 K881 K295 K491 K687 K883 K297 K493 K689 K885 K299 K495 K691 K887 K301 K497 K693 K889 K303 K499 K695 K891 K305 K501 K697 K893 K307 K503 K699 K895 K309 K505 K701 K897 K311 K507 K703 K899 K313 K509 K705 K901 K315 K511 K707 K903 K317 K513 K709 K905 K319 K515 K711 K907 K321 K517 K713 K909 K323 K519 K715 K911 K325 K521 K717 K913 K327 K523 K719 K915 K329 K525 K721 K917 K331 K527 K723 K919 K333 K529 K725 K921 K335 K531 K727 K923 K337 K533 K729 K925 K339 K535 K731 K927 K341 K537 K733 K929 K343 K539 K735 K931 K345 K541 K737 K933 K347 K543 K739 K935 K349 K545 K741 K937 K351 K547 K743 K939 K353 K549 K745 K941 K355 K551 K747 K943 K357 K553 K749 K945 K359 K555 K751 K947 K361 K557 K753 K949 K363 K559 K755 K951 K365 K561 K757 K953 K367 K563 K759 K955 K369 K565 K761 K957 K371 K567 K763 K959 K373 K569 K765 K961 K375 K571 K767 K963 K377 K573 K769 K965 K379 K575 K771 K967 K381 K577 K773 K969 K383 K579 K775 K971 K385 K581 K777 K973 K387 K583 K779 K975 K389 K585 K781 K977 K391 K587 K783 K979 K393 K589 K785 K98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418:M419 M614:M615 M23 M222:M223 M810:M81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2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198:J198 I201:J201 I204:J204 I207:J207 I210:J210 I213:J213 I614:J614 I617:J617 I620:J620 I623:J623 I626:J626 I629:J629 I632:J632 I635:J635 I638:J638 I641:J641 I644:J644 I647:J647 I788:J788 I791:J791 I794:J794 I797:J797 I800:J800 I8:J8 I216:J216 I414:J414 I225:J225 I228:J228 I231:J231 I234:J234 I237:J237 I240:J240 I243:J243 I246:J246 I249:J249 I252:J252 I255:J255 I396:J396 I399:J399 I402:J402 I405:J405 I408:J408 I411:J411 I418:J418 I222:J222 I421:J421 I424:J424 I427:J427 I430:J430 I433:J433 I436:J436 I439:J439 I442:J442 I445:J445 I448:J448 I451:J451 I592:J592 I598:J598 I601:J601 I604:J604 I607:J607 I610:J610 I595:J595 I803:J803 I806:J806 I810:J810 I813:J813 I816:J816 I819:J819 I822:J822 I825:J825 I828:J828 I831:J831 I834:J834 I837:J837 I840:J840 I843:J843 I984:J984 I987:J987 I990:J990 I993:J993 I996:J996 I999:J999 I1002:J1002 I2:J2 I5:J5 I59 J59 I257 J257 I453 J453 I649 J649 I845 J845 I61 J61 I259 J259 I455 J455 I651 J651 I847 J847 I63 J63 I261 J261 I457 J457 I653 J653 I849 J849 I65 J65 I263 J263 I459 J459 I655 J655 I851 J851 I67 J67 I265 J265 I461 J461 I657 J657 I853 J853 I69 J69 I267 J267 I463 J463 I659 J659 I855 J855 I71 J71 I269 J269 I465 J465 I661 J661 I857 J857 I73 J73 I271 J271 I467 J467 I663 J663 I859 J859 I75 J75 I273 J273 I469 J469 I665 J665 I861 J861 I77 J77 I275 J275 I471 J471 I667 J667 I863 J863 I79 J79 I277 J277 I473 J473 I669 J669 I865 J865 I81 J81 I279 J279 I475 J475 I671 J671 I867 J867 I83 J83 I281 J281 I477 J477 I673 J673 I869 J869 I85 J85 I283 J283 I479 J479 I675 J675 I871 J871 I87 J87 I285 J285 I481 J481 I677 J677 I873 J873 I89 J89 I287 J287 I483 J483 I679 J679 I875 J875 I91 J91 I289 J289 I485 J485 I681 J681 I877 J877 I93 J93 I291 J291 I487 J487 I683 J683 I879 J879 I95 J95 I293 J293 I489 J489 I685 J685 I881 J881 I97 J97 I295 J295 I491 J491 I687 J687 I883 J883 I99 J99 I297 J297 I493 J493 I689 J689 I885 J885 I101 J101 I299 J299 I495 J495 I691 J691 I887 J887 I103 J103 I301 J301 I497 J497 I693 J693 I889 J889 I105 J105 I303 J303 I499 J499 I695 J695 I891 J891 I107 J107 I305 J305 I501 J501 I697 J697 I893 J893 I109 J109 I307 J307 I503 J503 I699 J699 I895 J895 I111 J111 I309 J309 I505 J505 I701 J701 I897 J897 I113 J113 I311 J311 I507 J507 I703 J703 I899 J899 I115 J115 I313 J313 I509 J509 I705 J705 I901 J901 I117 J117 I315 J315 I511 J511 I707 J707 I903 J903 I119 J119 I317 J317 I513 J513 I709 J709 I905 J905 I121 J121 I319 J319 I515 J515 I711 J711 I907 J907 I123 J123 I321 J321 I517 J517 I713 J713 I909 J909 I125 J125 I323 J323 I519 J519 I715 J715 I911 J911 I127 J127 I325 J325 I521 J521 I717 J717 I913 J913 I129 J129 I327 J327 I523 J523 I719 J719 I915 J915 I131 J131 I329 J329 I525 J525 I721 J721 I917 J917 I133 J133 I331 J331 I527 J527 I723 J723 I919 J919 I135 J135 I333 J333 I529 J529 I725 J725 I921 J921 I137 J137 I335 J335 I531 J531 I727 J727 I923 J923 I139 J139 I337 J337 I533 J533 I729 J729 I925 J925 I141 J141 I339 J339 I535 J535 I731 J731 I927 J927 I143 J143 I341 J341 I537 J537 I733 J733 I929 J929 I145 J145 I343 J343 I539 J539 I735 J735 I931 J931 I147 J147 I345 J345 I541 J541 I737 J737 I933 J933 I149 J149 I347 J347 I543 J543 I739 J739 I935 J935 I151 J151 I349 J349 I545 J545 I741 J741 I937 J937 I153 J153 I351 J351 I547 J547 I743 J743 I939 J939 I155 J155 I353 J353 I549 J549 I745 J745 I941 J941 I157 J157 I355 J355 I551 J551 I747 J747 I943 J943 I159 J159 I357 J357 I553 J553 I749 J749 I945 J945 I161 J161 I359 J359 I555 J555 I751 J751 I947 J947 I163 J163 I361 J361 I557 J557 I753 J753 I949 J949 I165 J165 I363 J363 I559 J559 I755 J755 I951 J951 I167 J167 I365 J365 I561 J561 I757 J757 I953 J953 I169 J169 I367 J367 I563 J563 I759 J759 I955 J955 I171 J171 I369 J369 I565 J565 I761 J761 I957 J957 I173 J173 I371 J371 I567 J567 I763 J763 I959 J959 I175 J175 I373 J373 I569 J569 I765 J765 I961 J961 I177 J177 I375 J375 I571 J571 I767 J767 I963 J963 I179 J179 I377 J377 I573 J573 I769 J769 I965 J965 I181 J181 I379 J379 I575 J575 I771 J771 I967 J967 I183 J183 I381 J381 I577 J577 I773 J773 I969 J969 I185 J185 I383 J383 I579 J579 I775 J775 I971 J971 I187 J187 I385 J385 I581 J581 I777 J777 I973 J973 I189 J189 I387 J387 I583 J583 I779 J779 I975 J975 I191 J191 I389 J389 I585 J585 I781 J781 I977 J977 I193 J193 I391 J391 I587 J587 I783 J783 I979 J979 I195 J195 I393 J393 I589 J589 I785 J785 I981 J98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election activeCell="G10" sqref="G10:G13"/>
    </sheetView>
  </sheetViews>
  <sheetFormatPr defaultColWidth="10.5703125" defaultRowHeight="14.25" customHeight="1"/>
  <cols>
    <col min="1" max="1" width="9.140625" style="1812" hidden="1" customWidth="1"/>
    <col min="2" max="2" width="9.140625" style="1287" hidden="1" customWidth="1"/>
    <col min="3" max="3" width="3.7109375" style="265" customWidth="1"/>
    <col min="4" max="4" width="6.28515625" style="1555" customWidth="1"/>
    <col min="5" max="5" width="53.85546875" style="1555" customWidth="1"/>
    <col min="6" max="7" width="35.7109375" style="1555" customWidth="1"/>
    <col min="8" max="8" width="89.5703125" style="1555" customWidth="1"/>
    <col min="9" max="9" width="10.5703125" style="1555"/>
    <col min="10" max="11" width="10.5703125" style="1544"/>
    <col min="12" max="17" width="10.5703125" style="1555"/>
  </cols>
  <sheetData>
    <row r="1" spans="1:17" ht="14.25" hidden="1" customHeight="1">
      <c r="N1" s="170"/>
      <c r="O1" s="170"/>
      <c r="Q1" s="170"/>
    </row>
    <row r="2" spans="1:17" s="1555" customFormat="1" ht="18.75" hidden="1" customHeight="1">
      <c r="A2" s="30"/>
      <c r="B2" s="1065"/>
      <c r="C2" s="1649" t="s">
        <v>100</v>
      </c>
      <c r="D2" s="1593"/>
      <c r="E2" s="1602"/>
      <c r="F2" s="172"/>
      <c r="G2" s="1066"/>
      <c r="H2" s="297"/>
      <c r="I2" s="1544"/>
      <c r="J2" s="1544"/>
    </row>
    <row r="3" spans="1:17" ht="14.25" hidden="1" customHeight="1"/>
    <row r="4" spans="1:17" ht="6" customHeight="1">
      <c r="C4" s="300"/>
      <c r="D4" s="286"/>
      <c r="E4" s="286"/>
      <c r="F4" s="286"/>
      <c r="G4" s="16"/>
      <c r="H4" s="16"/>
    </row>
    <row r="5" spans="1:17" ht="33" customHeight="1">
      <c r="C5" s="300"/>
      <c r="D5" s="878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8789"/>
      <c r="F5" s="8789"/>
      <c r="G5" s="8790"/>
      <c r="H5" s="181"/>
    </row>
    <row r="6" spans="1:17" s="1555" customFormat="1" ht="17.25" customHeight="1">
      <c r="A6" s="1589"/>
      <c r="B6" s="1065"/>
      <c r="C6" s="300"/>
      <c r="D6" s="8848" t="str">
        <f>IF(org=0,"Не определено",org)</f>
        <v>ГУП СК "Ставрополькрайводоканал"</v>
      </c>
      <c r="E6" s="8849"/>
      <c r="F6" s="8849"/>
      <c r="G6" s="8850"/>
      <c r="H6" s="181"/>
      <c r="J6" s="1544"/>
      <c r="K6" s="1544"/>
    </row>
    <row r="7" spans="1:17" ht="14.25" customHeight="1">
      <c r="C7" s="300"/>
      <c r="D7" s="286"/>
      <c r="E7" s="318"/>
      <c r="F7" s="318"/>
      <c r="G7" s="667"/>
      <c r="H7" s="110"/>
    </row>
    <row r="8" spans="1:17" ht="14.25" customHeight="1">
      <c r="C8" s="300"/>
      <c r="D8" s="8843" t="s">
        <v>763</v>
      </c>
      <c r="E8" s="8843"/>
      <c r="F8" s="8843"/>
      <c r="G8" s="8843"/>
      <c r="H8" s="9026" t="s">
        <v>764</v>
      </c>
    </row>
    <row r="9" spans="1:17" ht="14.25" customHeight="1">
      <c r="C9" s="300"/>
      <c r="D9" s="315" t="s">
        <v>84</v>
      </c>
      <c r="E9" s="35" t="s">
        <v>765</v>
      </c>
      <c r="F9" s="35" t="s">
        <v>766</v>
      </c>
      <c r="G9" s="35" t="s">
        <v>855</v>
      </c>
      <c r="H9" s="9026"/>
    </row>
    <row r="10" spans="1:17" ht="45.75" customHeight="1">
      <c r="A10" s="264"/>
      <c r="C10" s="300"/>
      <c r="D10" s="67" t="s">
        <v>95</v>
      </c>
      <c r="E10" s="180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2" t="s">
        <v>1528</v>
      </c>
      <c r="G10" s="130" t="s">
        <v>1529</v>
      </c>
      <c r="H10" s="8798" t="s">
        <v>1530</v>
      </c>
    </row>
    <row r="11" spans="1:17" ht="35.25" customHeight="1">
      <c r="A11" s="264"/>
      <c r="C11" s="300"/>
      <c r="D11" s="67" t="s">
        <v>99</v>
      </c>
      <c r="E11" s="180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2" t="s">
        <v>1531</v>
      </c>
      <c r="G11" s="130" t="s">
        <v>1532</v>
      </c>
      <c r="H11" s="8799"/>
    </row>
    <row r="12" spans="1:17" ht="35.25" customHeight="1">
      <c r="A12" s="30"/>
      <c r="C12" s="316"/>
      <c r="D12" s="67" t="s">
        <v>86</v>
      </c>
      <c r="E12" s="317" t="str">
        <f>"Сведения о планировании закупочных процедур"&amp;IF(TEMPLATE_SPHERE="TKO"," &lt;1&gt;","")</f>
        <v>Сведения о планировании закупочных процедур</v>
      </c>
      <c r="F12" s="172" t="s">
        <v>1533</v>
      </c>
      <c r="G12" s="130" t="s">
        <v>1534</v>
      </c>
      <c r="H12" s="87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1"/>
      <c r="K12" s="297"/>
    </row>
    <row r="13" spans="1:17" ht="35.25" customHeight="1">
      <c r="A13" s="30"/>
      <c r="C13" s="316"/>
      <c r="D13" s="67" t="s">
        <v>87</v>
      </c>
      <c r="E13" s="317" t="str">
        <f>"Сведения о результатах проведения закупочных процедур"&amp;IF(TEMPLATE_SPHERE="TKO"," &lt;1&gt;","")</f>
        <v>Сведения о результатах проведения закупочных процедур</v>
      </c>
      <c r="F13" s="172" t="s">
        <v>1531</v>
      </c>
      <c r="G13" s="130" t="s">
        <v>1535</v>
      </c>
      <c r="H13" s="8799"/>
      <c r="I13" s="271"/>
      <c r="K13" s="297"/>
    </row>
    <row r="14" spans="1:17" ht="14.25" customHeight="1">
      <c r="A14" s="264"/>
      <c r="C14" s="300"/>
      <c r="D14" s="268"/>
      <c r="E14" s="324" t="s">
        <v>1495</v>
      </c>
      <c r="F14" s="270"/>
      <c r="G14" s="118"/>
      <c r="H14" s="8800"/>
    </row>
    <row r="15" spans="1:17" s="1555" customFormat="1" ht="14.25" customHeight="1">
      <c r="A15" s="264"/>
      <c r="B15" s="1065"/>
      <c r="C15" s="300"/>
      <c r="D15" s="325"/>
      <c r="E15" s="1597"/>
      <c r="F15" s="1598"/>
      <c r="G15" s="1599"/>
      <c r="H15" s="1600"/>
      <c r="J15" s="1544"/>
      <c r="K15" s="1544"/>
    </row>
    <row r="16" spans="1:17" ht="14.25" customHeight="1">
      <c r="D16" s="1601"/>
      <c r="E16" s="8903"/>
      <c r="F16" s="8903"/>
      <c r="G16" s="8903"/>
      <c r="H16" s="890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47.85546875" style="1555" customWidth="1"/>
    <col min="6" max="6" width="9.5703125" style="1555" customWidth="1"/>
    <col min="7" max="7" width="25.7109375" style="1555" hidden="1" customWidth="1"/>
    <col min="8" max="8" width="34" style="1555" hidden="1" customWidth="1"/>
    <col min="9" max="9" width="25.7109375" style="1555" customWidth="1"/>
    <col min="10" max="10" width="34" style="1555" customWidth="1"/>
    <col min="11" max="11" width="50.85546875" style="1287" customWidth="1"/>
    <col min="12" max="20" width="10.5703125" style="1555"/>
    <col min="21" max="21" width="10.5703125" style="593"/>
  </cols>
  <sheetData>
    <row r="1" spans="1:21" s="1287" customFormat="1" ht="15" hidden="1" customHeight="1">
      <c r="C1" s="590"/>
      <c r="G1" s="346">
        <v>4</v>
      </c>
      <c r="I1" s="346">
        <v>4</v>
      </c>
      <c r="U1" s="348"/>
    </row>
    <row r="2" spans="1:21" s="1555" customFormat="1" ht="15" hidden="1" customHeight="1">
      <c r="A2" s="285"/>
      <c r="C2" s="94"/>
      <c r="D2" s="267"/>
      <c r="E2" s="591"/>
      <c r="F2" s="446"/>
      <c r="G2" s="535"/>
      <c r="H2" s="535"/>
      <c r="I2" s="535"/>
      <c r="J2" s="535"/>
      <c r="U2" s="592"/>
    </row>
    <row r="3" spans="1:21" s="1287" customFormat="1" ht="15" hidden="1" customHeight="1">
      <c r="C3" s="590"/>
      <c r="U3" s="348"/>
    </row>
    <row r="4" spans="1:21" ht="15" customHeight="1">
      <c r="C4" s="94"/>
      <c r="D4" s="433"/>
      <c r="E4" s="433"/>
      <c r="F4" s="433"/>
      <c r="G4" s="433"/>
      <c r="H4" s="433"/>
      <c r="I4" s="433"/>
      <c r="J4" s="433"/>
    </row>
    <row r="5" spans="1:21" ht="63" customHeight="1">
      <c r="C5" s="94"/>
      <c r="D5" s="8867" t="s">
        <v>1536</v>
      </c>
      <c r="E5" s="8867"/>
      <c r="F5" s="8867"/>
      <c r="G5" s="8867"/>
      <c r="H5" s="8867"/>
      <c r="I5" s="8867"/>
      <c r="J5" s="8867"/>
    </row>
    <row r="6" spans="1:21" ht="15" customHeight="1">
      <c r="C6" s="94"/>
      <c r="D6" s="8814" t="str">
        <f>IF(org=0,"Не определено",org)</f>
        <v>ГУП СК "Ставрополькрайводоканал"</v>
      </c>
      <c r="E6" s="8814"/>
      <c r="F6" s="8814"/>
      <c r="G6" s="8814"/>
      <c r="H6" s="8814"/>
      <c r="I6" s="8814"/>
      <c r="J6" s="8814"/>
      <c r="K6" s="460"/>
    </row>
    <row r="7" spans="1:21" ht="15" customHeight="1">
      <c r="C7" s="94"/>
      <c r="D7" s="667"/>
      <c r="E7" s="433"/>
      <c r="F7" s="433"/>
      <c r="G7" s="460">
        <v>22</v>
      </c>
      <c r="I7" s="460">
        <v>1</v>
      </c>
      <c r="J7" s="667"/>
    </row>
    <row r="8" spans="1:21" s="1555" customFormat="1" ht="0.75" customHeight="1">
      <c r="A8" s="674"/>
      <c r="C8" s="94"/>
      <c r="D8" s="433"/>
      <c r="E8" s="433"/>
      <c r="F8" s="433"/>
      <c r="G8" s="460"/>
      <c r="H8" s="667"/>
      <c r="I8" s="460" t="s">
        <v>205</v>
      </c>
      <c r="J8" s="667"/>
      <c r="K8" s="346"/>
      <c r="U8" s="593"/>
    </row>
    <row r="9" spans="1:21" ht="15" customHeight="1">
      <c r="C9" s="94"/>
      <c r="D9" s="628"/>
      <c r="E9" s="8958" t="s">
        <v>197</v>
      </c>
      <c r="F9" s="8959"/>
      <c r="G9" s="8979" t="str">
        <f>IF(G8="","",INDEX(DIFFERENTIATION_UNMERGE_VD,MATCH(G8,DIFFERENTIATION_ID_DIFF,0)))</f>
        <v/>
      </c>
      <c r="H9" s="8980"/>
      <c r="I9" s="8979">
        <f>IF(I8="","",INDEX(DIFFERENTIATION_UNMERGE_VD,MATCH(I8,DIFFERENTIATION_ID_DIFF,0)))</f>
        <v>0</v>
      </c>
      <c r="J9" s="8980"/>
      <c r="K9" s="8813" t="s">
        <v>764</v>
      </c>
    </row>
    <row r="10" spans="1:21" s="1555" customFormat="1" ht="15" customHeight="1">
      <c r="A10" s="674"/>
      <c r="C10" s="94"/>
      <c r="D10" s="628"/>
      <c r="E10" s="8958" t="s">
        <v>1022</v>
      </c>
      <c r="F10" s="8959"/>
      <c r="G10" s="8979" t="str">
        <f>IF(G8="","",INDEX(DIFFERENTIATION_UNMERGE_AREA,MATCH(G8,DIFFERENTIATION_ID_DIFF,0)))</f>
        <v/>
      </c>
      <c r="H10" s="8980"/>
      <c r="I10" s="8979" t="str">
        <f>IF(I8="","",INDEX(DIFFERENTIATION_UNMERGE_AREA,MATCH(I8,DIFFERENTIATION_ID_DIFF,0)))</f>
        <v/>
      </c>
      <c r="J10" s="8980"/>
      <c r="K10" s="8832"/>
      <c r="U10" s="593"/>
    </row>
    <row r="11" spans="1:21" s="1555" customFormat="1" ht="15" customHeight="1">
      <c r="A11" s="674"/>
      <c r="C11" s="94"/>
      <c r="D11" s="628"/>
      <c r="E11" s="8958" t="s">
        <v>1023</v>
      </c>
      <c r="F11" s="8959"/>
      <c r="G11" s="8979" t="str">
        <f>IF(G8="","",INDEX(DIFFERENTIATION_UNMERGE_SYSTEM,MATCH(G8,DIFFERENTIATION_ID_DIFF,0)))</f>
        <v/>
      </c>
      <c r="H11" s="8980"/>
      <c r="I11" s="8979" t="str">
        <f>IF(I8="","",INDEX(DIFFERENTIATION_UNMERGE_SYSTEM,MATCH(I8,DIFFERENTIATION_ID_DIFF,0)))</f>
        <v>без дифференциации</v>
      </c>
      <c r="J11" s="8980"/>
      <c r="K11" s="8832"/>
      <c r="U11" s="593"/>
    </row>
    <row r="12" spans="1:21" s="1555" customFormat="1" ht="15" customHeight="1">
      <c r="A12" s="674"/>
      <c r="C12" s="94"/>
      <c r="D12" s="8960" t="s">
        <v>763</v>
      </c>
      <c r="E12" s="8961"/>
      <c r="F12" s="8961"/>
      <c r="G12" s="801"/>
      <c r="H12" s="801"/>
      <c r="I12" s="801"/>
      <c r="J12" s="801"/>
      <c r="K12" s="8832"/>
      <c r="U12" s="593"/>
    </row>
    <row r="13" spans="1:21" ht="33.75" customHeight="1">
      <c r="C13" s="94"/>
      <c r="D13" s="719" t="s">
        <v>84</v>
      </c>
      <c r="E13" s="721" t="s">
        <v>765</v>
      </c>
      <c r="F13" s="721" t="s">
        <v>1024</v>
      </c>
      <c r="G13" s="722" t="s">
        <v>766</v>
      </c>
      <c r="H13" s="721" t="s">
        <v>855</v>
      </c>
      <c r="I13" s="722" t="s">
        <v>766</v>
      </c>
      <c r="J13" s="721" t="s">
        <v>855</v>
      </c>
      <c r="K13" s="8862"/>
    </row>
    <row r="14" spans="1:21" ht="15" hidden="1" customHeight="1">
      <c r="C14" s="94"/>
      <c r="D14" s="514" t="s">
        <v>95</v>
      </c>
      <c r="E14" s="514" t="s">
        <v>99</v>
      </c>
      <c r="F14" s="514" t="s">
        <v>86</v>
      </c>
      <c r="G14" s="577" t="str">
        <f>G1&amp;".1"</f>
        <v>4.1</v>
      </c>
      <c r="H14" s="577"/>
      <c r="I14" s="577" t="str">
        <f>I1&amp;".1"</f>
        <v>4.1</v>
      </c>
      <c r="J14" s="577"/>
      <c r="K14" s="204"/>
    </row>
    <row r="15" spans="1:21" ht="22.5" hidden="1" customHeight="1">
      <c r="A15" s="429"/>
      <c r="C15" s="450"/>
      <c r="D15" s="445">
        <v>1</v>
      </c>
      <c r="E15" s="595" t="s">
        <v>1181</v>
      </c>
      <c r="F15" s="445" t="s">
        <v>1182</v>
      </c>
      <c r="G15" s="596"/>
      <c r="H15" s="596"/>
      <c r="I15" s="596"/>
      <c r="J15" s="596"/>
      <c r="K15" s="204" t="s">
        <v>1183</v>
      </c>
    </row>
    <row r="16" spans="1:21" ht="22.5" hidden="1" customHeight="1">
      <c r="A16" s="429"/>
      <c r="C16" s="450"/>
      <c r="D16" s="445">
        <v>2</v>
      </c>
      <c r="E16" s="195" t="s">
        <v>1184</v>
      </c>
      <c r="F16" s="445" t="s">
        <v>1185</v>
      </c>
      <c r="G16" s="596"/>
      <c r="H16" s="596"/>
      <c r="I16" s="596"/>
      <c r="J16" s="596"/>
      <c r="K16" s="204" t="s">
        <v>1186</v>
      </c>
    </row>
    <row r="17" spans="1:11" ht="123.75" hidden="1" customHeight="1">
      <c r="A17" s="429"/>
      <c r="C17" s="450"/>
      <c r="D17" s="445">
        <v>3</v>
      </c>
      <c r="E17" s="195" t="s">
        <v>1537</v>
      </c>
      <c r="F17" s="445" t="s">
        <v>769</v>
      </c>
      <c r="G17" s="596"/>
      <c r="H17" s="596"/>
      <c r="I17" s="596"/>
      <c r="J17" s="596"/>
      <c r="K17" s="204" t="s">
        <v>1538</v>
      </c>
    </row>
    <row r="18" spans="1:11" ht="45" customHeight="1">
      <c r="A18" s="429"/>
      <c r="C18" s="450"/>
      <c r="D18" s="445">
        <v>4</v>
      </c>
      <c r="E18" s="195" t="s">
        <v>1187</v>
      </c>
      <c r="F18" s="445" t="s">
        <v>769</v>
      </c>
      <c r="G18" s="723" t="s">
        <v>769</v>
      </c>
      <c r="H18" s="724" t="s">
        <v>769</v>
      </c>
      <c r="I18" s="445" t="s">
        <v>769</v>
      </c>
      <c r="J18" s="501" t="s">
        <v>769</v>
      </c>
      <c r="K18" s="204" t="s">
        <v>1539</v>
      </c>
    </row>
    <row r="19" spans="1:11" ht="33.75" customHeight="1">
      <c r="A19" s="429"/>
      <c r="C19" s="450"/>
      <c r="D19" s="462" t="s">
        <v>1125</v>
      </c>
      <c r="E19" s="482" t="s">
        <v>1189</v>
      </c>
      <c r="F19" s="445" t="s">
        <v>1190</v>
      </c>
      <c r="G19" s="731"/>
      <c r="H19" s="33"/>
      <c r="I19" s="731"/>
      <c r="J19" s="732"/>
      <c r="K19" s="597"/>
    </row>
    <row r="20" spans="1:11" ht="33.75" customHeight="1">
      <c r="A20" s="429"/>
      <c r="C20" s="450"/>
      <c r="D20" s="462" t="s">
        <v>1168</v>
      </c>
      <c r="E20" s="482" t="s">
        <v>1191</v>
      </c>
      <c r="F20" s="445" t="s">
        <v>1192</v>
      </c>
      <c r="G20" s="731"/>
      <c r="H20" s="33"/>
      <c r="I20" s="731"/>
      <c r="J20" s="33"/>
      <c r="K20" s="597"/>
    </row>
    <row r="21" spans="1:11" ht="45" customHeight="1">
      <c r="A21" s="429"/>
      <c r="C21" s="450"/>
      <c r="D21" s="462" t="s">
        <v>1171</v>
      </c>
      <c r="E21" s="482" t="s">
        <v>1193</v>
      </c>
      <c r="F21" s="445" t="s">
        <v>1029</v>
      </c>
      <c r="G21" s="598"/>
      <c r="H21" s="33"/>
      <c r="I21" s="598"/>
      <c r="J21" s="33"/>
      <c r="K21" s="597"/>
    </row>
    <row r="22" spans="1:11" ht="67.5" hidden="1" customHeight="1">
      <c r="A22" s="429"/>
      <c r="C22" s="450"/>
      <c r="D22" s="445">
        <v>5</v>
      </c>
      <c r="E22" s="195" t="s">
        <v>1540</v>
      </c>
      <c r="F22" s="445" t="s">
        <v>1016</v>
      </c>
      <c r="G22" s="599"/>
      <c r="H22" s="600"/>
      <c r="I22" s="599"/>
      <c r="J22" s="600"/>
      <c r="K22" s="204" t="s">
        <v>1541</v>
      </c>
    </row>
    <row r="23" spans="1:11" ht="33.75" hidden="1" customHeight="1">
      <c r="C23" s="376"/>
      <c r="D23" s="445">
        <v>6</v>
      </c>
      <c r="E23" s="195" t="s">
        <v>1542</v>
      </c>
      <c r="F23" s="445" t="s">
        <v>1543</v>
      </c>
      <c r="G23" s="599"/>
      <c r="H23" s="599"/>
      <c r="I23" s="599"/>
      <c r="J23" s="599"/>
      <c r="K23" s="204" t="s">
        <v>1544</v>
      </c>
    </row>
    <row r="29" spans="1:11" ht="15" customHeight="1">
      <c r="J29" s="733"/>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8" hidden="1"/>
    <col min="2" max="2" width="9.140625" style="1742" hidden="1"/>
    <col min="3" max="3" width="3.7109375" style="43" customWidth="1"/>
    <col min="4" max="4" width="7" style="1742" customWidth="1"/>
    <col min="5" max="5" width="23.140625" style="1742" customWidth="1"/>
    <col min="6" max="6" width="16" style="1742" customWidth="1"/>
    <col min="7" max="7" width="14.85546875" style="1742" customWidth="1"/>
    <col min="8" max="8" width="47.85546875" style="1742" customWidth="1"/>
    <col min="9" max="9" width="115.7109375" style="1742" customWidth="1"/>
    <col min="10" max="10" width="3.7109375" style="1742" customWidth="1"/>
    <col min="11" max="12" width="9.140625" style="1742"/>
  </cols>
  <sheetData>
    <row r="1" spans="1:12" ht="14.25" hidden="1" customHeight="1"/>
    <row r="2" spans="1:12" ht="14.25" hidden="1" customHeight="1"/>
    <row r="3" spans="1:12" ht="14.25" hidden="1" customHeight="1"/>
    <row r="4" spans="1:12" ht="3" customHeight="1"/>
    <row r="5" spans="1:12" s="1555" customFormat="1" ht="30" customHeight="1">
      <c r="A5" s="41"/>
      <c r="C5" s="19"/>
      <c r="D5" s="8728" t="s">
        <v>1545</v>
      </c>
      <c r="E5" s="8728"/>
      <c r="F5" s="8728"/>
      <c r="G5" s="8728"/>
      <c r="H5" s="8728"/>
      <c r="I5" s="180"/>
    </row>
    <row r="6" spans="1:12" ht="3" hidden="1" customHeight="1">
      <c r="D6" s="45"/>
      <c r="E6" s="45"/>
      <c r="F6" s="45"/>
      <c r="G6" s="45"/>
      <c r="H6" s="45"/>
      <c r="I6" s="45"/>
    </row>
    <row r="7" spans="1:12" s="298" customFormat="1" ht="14.25" customHeight="1">
      <c r="B7" s="42"/>
      <c r="C7" s="43"/>
      <c r="D7" s="46"/>
      <c r="E7" s="46"/>
      <c r="F7" s="46"/>
      <c r="G7" s="46"/>
      <c r="H7" s="667"/>
      <c r="I7" s="46"/>
      <c r="J7" s="47"/>
    </row>
    <row r="8" spans="1:12" ht="14.25" customHeight="1">
      <c r="D8" s="8843" t="s">
        <v>763</v>
      </c>
      <c r="E8" s="8843"/>
      <c r="F8" s="8843"/>
      <c r="G8" s="8843"/>
      <c r="H8" s="8843"/>
      <c r="I8" s="8843" t="s">
        <v>764</v>
      </c>
    </row>
    <row r="9" spans="1:12" ht="27.75" customHeight="1">
      <c r="D9" s="8843" t="s">
        <v>84</v>
      </c>
      <c r="E9" s="8843" t="s">
        <v>1546</v>
      </c>
      <c r="F9" s="8843"/>
      <c r="G9" s="8843"/>
      <c r="H9" s="8843"/>
      <c r="I9" s="8843"/>
    </row>
    <row r="10" spans="1:12" ht="22.5" customHeight="1">
      <c r="D10" s="8843"/>
      <c r="E10" s="50" t="s">
        <v>1547</v>
      </c>
      <c r="F10" s="50" t="s">
        <v>1548</v>
      </c>
      <c r="G10" s="50" t="s">
        <v>1549</v>
      </c>
      <c r="H10" s="50" t="s">
        <v>855</v>
      </c>
      <c r="I10" s="8843"/>
    </row>
    <row r="11" spans="1:12" ht="12" hidden="1" customHeight="1">
      <c r="D11" s="18" t="s">
        <v>95</v>
      </c>
      <c r="E11" s="18" t="s">
        <v>87</v>
      </c>
      <c r="F11" s="18" t="s">
        <v>113</v>
      </c>
      <c r="G11" s="18" t="s">
        <v>88</v>
      </c>
      <c r="H11" s="18" t="s">
        <v>89</v>
      </c>
      <c r="I11" s="18" t="s">
        <v>126</v>
      </c>
    </row>
    <row r="12" spans="1:12" s="1742" customFormat="1" ht="24.75" customHeight="1">
      <c r="A12" s="65" t="s">
        <v>86</v>
      </c>
      <c r="B12" s="48" t="s">
        <v>24</v>
      </c>
      <c r="C12" s="49"/>
      <c r="D12" s="51" t="s">
        <v>95</v>
      </c>
      <c r="E12" s="310"/>
      <c r="F12" s="310"/>
      <c r="G12" s="1653" t="s">
        <v>24</v>
      </c>
      <c r="H12" s="311"/>
      <c r="I12" s="8798" t="s">
        <v>1550</v>
      </c>
      <c r="K12" s="187"/>
      <c r="L12" s="188"/>
    </row>
    <row r="13" spans="1:12" ht="15" customHeight="1">
      <c r="A13" s="44"/>
      <c r="B13" s="44"/>
      <c r="C13" s="44"/>
      <c r="D13" s="36"/>
      <c r="E13" s="53" t="s">
        <v>929</v>
      </c>
      <c r="F13" s="52"/>
      <c r="G13" s="52"/>
      <c r="H13" s="131"/>
      <c r="I13" s="8800"/>
    </row>
    <row r="14" spans="1:12" ht="3" customHeight="1">
      <c r="A14" s="44"/>
      <c r="B14" s="44"/>
      <c r="C14" s="44"/>
    </row>
    <row r="15" spans="1:12" ht="27.75" customHeight="1">
      <c r="E15" s="9038" t="s">
        <v>1551</v>
      </c>
      <c r="F15" s="9038"/>
      <c r="G15" s="9038"/>
      <c r="H15" s="9038"/>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9" width="9.140625" style="179"/>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9039" t="s">
        <v>1552</v>
      </c>
      <c r="E7" s="9040"/>
      <c r="F7" s="182"/>
    </row>
    <row r="8" spans="3:9" ht="3" customHeight="1">
      <c r="C8" s="21"/>
      <c r="D8" s="3"/>
      <c r="E8" s="3"/>
    </row>
    <row r="9" spans="3:9" ht="15.75" customHeight="1">
      <c r="C9" s="21"/>
      <c r="D9" s="32" t="s">
        <v>84</v>
      </c>
      <c r="E9" s="175" t="s">
        <v>1553</v>
      </c>
    </row>
    <row r="10" spans="3:9" ht="0.75" customHeight="1">
      <c r="C10" s="21"/>
      <c r="D10" s="18"/>
      <c r="E10" s="18"/>
    </row>
    <row r="11" spans="3:9" ht="11.25" hidden="1" customHeight="1">
      <c r="C11" s="21"/>
      <c r="D11" s="70">
        <v>0</v>
      </c>
      <c r="E11" s="176"/>
    </row>
    <row r="12" spans="3:9" ht="15" customHeight="1">
      <c r="C12" s="58"/>
      <c r="D12" s="39">
        <v>1</v>
      </c>
      <c r="E12" s="303"/>
    </row>
    <row r="13" spans="3:9" ht="12" customHeight="1">
      <c r="C13" s="21"/>
      <c r="D13" s="177"/>
      <c r="E13" s="178" t="s">
        <v>1554</v>
      </c>
    </row>
    <row r="14" spans="3:9" ht="3" customHeight="1"/>
    <row r="15" spans="3:9" ht="22.5" customHeight="1">
      <c r="C15" s="59"/>
      <c r="D15" s="9038" t="s">
        <v>1555</v>
      </c>
      <c r="E15" s="9038"/>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5" hidden="1" customWidth="1"/>
    <col min="3" max="3" width="3.7109375" style="379" customWidth="1"/>
    <col min="4" max="4" width="6.85546875" style="380" customWidth="1"/>
    <col min="5" max="5" width="52.28515625" style="379" customWidth="1"/>
    <col min="6" max="6" width="48.85546875" style="379" customWidth="1"/>
    <col min="7" max="7" width="93.42578125" style="379" customWidth="1"/>
    <col min="8" max="8" width="9.140625" style="379"/>
    <col min="9" max="9" width="65" style="379" customWidth="1"/>
  </cols>
  <sheetData>
    <row r="1" spans="1:9" ht="11.25" hidden="1" customHeight="1">
      <c r="A1" s="425" t="s">
        <v>762</v>
      </c>
    </row>
    <row r="2" spans="1:9" ht="22.5" hidden="1" customHeight="1">
      <c r="A2" s="426"/>
      <c r="B2" s="426"/>
      <c r="C2" s="381"/>
      <c r="D2" s="1435"/>
      <c r="E2" s="1441"/>
      <c r="F2" s="1471"/>
      <c r="H2" s="399"/>
    </row>
    <row r="3" spans="1:9" ht="11.25" hidden="1" customHeight="1"/>
    <row r="4" spans="1:9" ht="11.25" customHeight="1">
      <c r="A4" s="1472"/>
      <c r="B4" s="1472"/>
    </row>
    <row r="5" spans="1:9" ht="24" customHeight="1">
      <c r="D5" s="8746"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8747"/>
      <c r="F5" s="8748"/>
      <c r="I5" s="632"/>
    </row>
    <row r="6" spans="1:9" ht="17.25" customHeight="1">
      <c r="D6" s="8814" t="str">
        <f>IF(region_name=0,"Не определено",region_name)</f>
        <v>Ставропольский край</v>
      </c>
      <c r="E6" s="8814"/>
      <c r="F6" s="8814"/>
      <c r="I6" s="632"/>
    </row>
    <row r="7" spans="1:9" s="401" customFormat="1" ht="11.25" customHeight="1">
      <c r="A7" s="425"/>
      <c r="B7" s="425"/>
      <c r="D7" s="631"/>
      <c r="E7" s="631"/>
      <c r="F7" s="667"/>
      <c r="G7" s="631"/>
    </row>
    <row r="8" spans="1:9" ht="11.25" hidden="1" customHeight="1">
      <c r="A8" s="426"/>
      <c r="B8" s="426"/>
      <c r="C8" s="381"/>
      <c r="D8" s="387"/>
      <c r="E8" s="8841"/>
      <c r="F8" s="8841"/>
    </row>
    <row r="9" spans="1:9" ht="11.25" customHeight="1">
      <c r="A9" s="426"/>
      <c r="B9" s="426"/>
      <c r="C9" s="381"/>
      <c r="D9" s="8837" t="s">
        <v>763</v>
      </c>
      <c r="E9" s="8838"/>
      <c r="F9" s="8838"/>
      <c r="G9" s="8842" t="s">
        <v>764</v>
      </c>
    </row>
    <row r="10" spans="1:9" ht="11.25" customHeight="1">
      <c r="A10" s="426"/>
      <c r="B10" s="426"/>
      <c r="C10" s="381"/>
      <c r="D10" s="1389" t="s">
        <v>84</v>
      </c>
      <c r="E10" s="1391" t="s">
        <v>765</v>
      </c>
      <c r="F10" s="1391" t="s">
        <v>766</v>
      </c>
      <c r="G10" s="8843"/>
    </row>
    <row r="11" spans="1:9" ht="0.75" customHeight="1">
      <c r="A11" s="426"/>
      <c r="B11" s="426"/>
      <c r="C11" s="381"/>
      <c r="D11" s="388"/>
      <c r="E11" s="388"/>
      <c r="F11" s="388"/>
      <c r="G11" s="388"/>
    </row>
    <row r="12" spans="1:9" ht="22.5" customHeight="1">
      <c r="A12" s="426"/>
      <c r="B12" s="426"/>
      <c r="C12" s="381"/>
      <c r="D12" s="1435">
        <v>1</v>
      </c>
      <c r="E12" s="398" t="s">
        <v>1556</v>
      </c>
      <c r="F12" s="1778" t="str">
        <f>IF(org="","",org)</f>
        <v>ГУП СК "Ставрополькрайводоканал"</v>
      </c>
      <c r="G12" s="398" t="s">
        <v>1557</v>
      </c>
      <c r="H12" s="1448"/>
    </row>
    <row r="13" spans="1:9" ht="18.75" customHeight="1">
      <c r="A13" s="426"/>
      <c r="B13" s="426"/>
      <c r="C13" s="381"/>
      <c r="D13" s="1435">
        <v>2</v>
      </c>
      <c r="E13" s="1442" t="s">
        <v>1558</v>
      </c>
      <c r="F13" s="1436" t="s">
        <v>769</v>
      </c>
      <c r="G13" s="398"/>
      <c r="H13" s="1448"/>
    </row>
    <row r="14" spans="1:9" ht="18.75" customHeight="1">
      <c r="A14" s="426"/>
      <c r="B14" s="426"/>
      <c r="C14" s="381"/>
      <c r="D14" s="1438" t="s">
        <v>1080</v>
      </c>
      <c r="E14" s="1439" t="s">
        <v>1559</v>
      </c>
      <c r="F14" s="1441"/>
      <c r="G14" s="1440" t="s">
        <v>1560</v>
      </c>
      <c r="H14" s="1448"/>
    </row>
    <row r="15" spans="1:9" ht="18.75" customHeight="1">
      <c r="A15" s="426"/>
      <c r="B15" s="426"/>
      <c r="C15" s="381"/>
      <c r="D15" s="1438" t="s">
        <v>770</v>
      </c>
      <c r="E15" s="1439" t="s">
        <v>1561</v>
      </c>
      <c r="F15" s="1441"/>
      <c r="G15" s="1440" t="s">
        <v>1562</v>
      </c>
      <c r="H15" s="1448"/>
    </row>
    <row r="16" spans="1:9" ht="36.75" customHeight="1">
      <c r="A16" s="426"/>
      <c r="B16" s="426"/>
      <c r="C16" s="381"/>
      <c r="D16" s="1438" t="s">
        <v>773</v>
      </c>
      <c r="E16" s="1437" t="s">
        <v>1563</v>
      </c>
      <c r="F16" s="1446"/>
      <c r="G16" s="398" t="s">
        <v>1564</v>
      </c>
      <c r="H16" s="1448"/>
    </row>
    <row r="17" spans="1:9" ht="45" customHeight="1">
      <c r="A17" s="426"/>
      <c r="B17" s="426"/>
      <c r="C17" s="381"/>
      <c r="D17" s="1435">
        <v>3</v>
      </c>
      <c r="E17" s="1442" t="s">
        <v>1565</v>
      </c>
      <c r="F17" s="1441"/>
      <c r="G17" s="398" t="s">
        <v>1566</v>
      </c>
      <c r="H17" s="1448"/>
    </row>
    <row r="18" spans="1:9" ht="45" customHeight="1">
      <c r="A18" s="1390">
        <v>1</v>
      </c>
      <c r="B18" s="426"/>
      <c r="C18" s="1392"/>
      <c r="D18" s="1435" t="s">
        <v>87</v>
      </c>
      <c r="E18" s="1442" t="s">
        <v>1567</v>
      </c>
      <c r="F18" s="1441"/>
      <c r="G18" s="398" t="s">
        <v>1566</v>
      </c>
      <c r="H18" s="1448"/>
      <c r="I18" s="766"/>
    </row>
    <row r="19" spans="1:9" ht="22.5" customHeight="1">
      <c r="A19" s="426"/>
      <c r="B19" s="426"/>
      <c r="C19" s="381"/>
      <c r="D19" s="1435" t="s">
        <v>113</v>
      </c>
      <c r="E19" s="1442" t="s">
        <v>1568</v>
      </c>
      <c r="F19" s="1436" t="s">
        <v>769</v>
      </c>
      <c r="G19" s="9041" t="s">
        <v>1569</v>
      </c>
      <c r="H19" s="399"/>
    </row>
    <row r="20" spans="1:9" s="1445" customFormat="1" ht="5.25" hidden="1" customHeight="1">
      <c r="A20" s="426"/>
      <c r="B20" s="426"/>
      <c r="C20" s="1444"/>
      <c r="D20" s="1443" t="s">
        <v>1488</v>
      </c>
      <c r="E20" s="925"/>
      <c r="F20" s="924"/>
      <c r="G20" s="9042"/>
    </row>
    <row r="21" spans="1:9" ht="15" customHeight="1">
      <c r="A21" s="426"/>
      <c r="B21" s="426"/>
      <c r="C21" s="381"/>
      <c r="D21" s="391"/>
      <c r="E21" s="344" t="s">
        <v>804</v>
      </c>
      <c r="F21" s="393"/>
      <c r="G21" s="9043"/>
      <c r="H21" s="1448"/>
    </row>
    <row r="22" spans="1:9" s="425" customFormat="1" ht="24.75" customHeight="1">
      <c r="A22" s="426"/>
      <c r="B22" s="426"/>
      <c r="C22" s="426"/>
      <c r="D22" s="1435" t="s">
        <v>88</v>
      </c>
      <c r="E22" s="398" t="s">
        <v>1570</v>
      </c>
      <c r="F22" s="1441"/>
      <c r="G22" s="398" t="s">
        <v>1571</v>
      </c>
      <c r="H22" s="1447"/>
    </row>
    <row r="23" spans="1:9" s="425" customFormat="1" ht="18.75" customHeight="1">
      <c r="A23" s="426"/>
      <c r="B23" s="426"/>
      <c r="C23" s="426"/>
      <c r="D23" s="1435" t="s">
        <v>89</v>
      </c>
      <c r="E23" s="1442" t="s">
        <v>1572</v>
      </c>
      <c r="F23" s="1446"/>
      <c r="G23" s="398" t="s">
        <v>1573</v>
      </c>
      <c r="H23" s="1447"/>
    </row>
    <row r="24" spans="1:9" ht="11.25" customHeight="1">
      <c r="A24" s="426"/>
      <c r="B24" s="426"/>
      <c r="C24" s="381"/>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46.7109375" style="1555" customWidth="1"/>
    <col min="7" max="8" width="16.7109375" style="1555" customWidth="1"/>
    <col min="9" max="9" width="35.28515625" style="1555" customWidth="1"/>
    <col min="10" max="10" width="89.5703125" style="1555" customWidth="1"/>
    <col min="11" max="11" width="3.7109375" style="1544" customWidth="1"/>
    <col min="12" max="14" width="9.140625" style="1544"/>
    <col min="15" max="15" width="25.7109375" style="1544" customWidth="1"/>
    <col min="16" max="16" width="14.42578125" style="1544" customWidth="1"/>
    <col min="17" max="20" width="9.140625" style="142"/>
    <col min="21" max="254" width="9.140625" style="1555"/>
  </cols>
  <sheetData>
    <row r="1" spans="1:254" ht="14.25" hidden="1" customHeight="1"/>
    <row r="2" spans="1:254" s="1818" customFormat="1" ht="22.5" hidden="1" customHeight="1">
      <c r="A2" s="745"/>
      <c r="B2" s="1065">
        <v>1</v>
      </c>
      <c r="C2" s="1065"/>
      <c r="D2" s="715"/>
      <c r="E2" s="1399"/>
      <c r="F2" s="1406"/>
      <c r="G2" s="1406"/>
      <c r="H2" s="1406"/>
      <c r="I2" s="1453"/>
      <c r="J2" s="145"/>
      <c r="K2" s="1450" t="e">
        <f ca="1">MERGEVALUE(F2)</f>
        <v>#NAME?</v>
      </c>
      <c r="L2" s="435"/>
      <c r="M2" s="435"/>
      <c r="N2" s="424" t="str">
        <f t="array" ref="N2">IF(ISERROR(MATCH(MID(O2,1,250),MID(note_ter,1,250),0)),"n","y")</f>
        <v>n</v>
      </c>
      <c r="O2" s="435"/>
      <c r="P2" s="424" t="str">
        <f>G2&amp;"("&amp;J2&amp;")"</f>
        <v>()</v>
      </c>
      <c r="Q2" s="1065"/>
      <c r="R2" s="1065"/>
      <c r="S2" s="348"/>
      <c r="T2" s="1065"/>
      <c r="U2" s="1065"/>
      <c r="V2" s="1065"/>
      <c r="W2" s="350"/>
      <c r="X2" s="350"/>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50"/>
      <c r="BU2" s="350"/>
      <c r="BV2" s="350"/>
      <c r="BW2" s="350"/>
      <c r="BX2" s="350"/>
      <c r="BY2" s="350"/>
      <c r="BZ2" s="350"/>
      <c r="CA2" s="350"/>
      <c r="CB2" s="350"/>
      <c r="CC2" s="350"/>
    </row>
    <row r="3" spans="1:254" s="1562" customFormat="1" ht="5.25" hidden="1" customHeight="1">
      <c r="A3" s="420"/>
      <c r="D3" s="418"/>
      <c r="F3" s="162" t="s">
        <v>79</v>
      </c>
      <c r="G3" s="418" t="s">
        <v>80</v>
      </c>
      <c r="H3" s="418"/>
      <c r="I3" s="418"/>
      <c r="J3" s="144" t="s">
        <v>81</v>
      </c>
      <c r="K3" s="162" t="s">
        <v>79</v>
      </c>
      <c r="L3" s="162"/>
      <c r="M3" s="162"/>
      <c r="N3" s="162"/>
      <c r="O3" s="163"/>
      <c r="P3" s="162"/>
      <c r="Q3" s="162"/>
      <c r="R3" s="162"/>
      <c r="S3" s="162"/>
      <c r="T3" s="162"/>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spans="1:254" s="1739" customFormat="1" ht="14.25" customHeight="1">
      <c r="A4" s="1060"/>
      <c r="B4" s="1065"/>
      <c r="C4" s="1060"/>
      <c r="D4" s="1410"/>
      <c r="E4" s="433"/>
      <c r="F4" s="433"/>
      <c r="G4" s="433"/>
      <c r="H4" s="433"/>
      <c r="I4" s="433"/>
      <c r="J4" s="84"/>
      <c r="K4" s="162"/>
      <c r="L4" s="424"/>
      <c r="M4" s="424"/>
      <c r="N4" s="424"/>
      <c r="O4" s="143"/>
      <c r="P4" s="424"/>
      <c r="Q4" s="142"/>
      <c r="R4" s="142"/>
      <c r="S4" s="142"/>
      <c r="T4" s="142"/>
    </row>
    <row r="5" spans="1:254" s="1739" customFormat="1" ht="25.5" customHeight="1">
      <c r="A5" s="1060"/>
      <c r="B5" s="1065"/>
      <c r="C5" s="1060"/>
      <c r="D5" s="1410"/>
      <c r="E5" s="8728"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8728"/>
      <c r="G5" s="8728"/>
      <c r="H5" s="8728"/>
      <c r="I5" s="8728"/>
      <c r="J5" s="8728"/>
      <c r="K5" s="162"/>
      <c r="L5" s="424"/>
      <c r="M5" s="424"/>
      <c r="N5" s="424"/>
      <c r="O5" s="143"/>
      <c r="P5" s="424"/>
      <c r="Q5" s="142"/>
      <c r="R5" s="142"/>
      <c r="S5" s="142"/>
      <c r="T5" s="142"/>
    </row>
    <row r="6" spans="1:254" s="1739" customFormat="1" ht="14.25" customHeight="1">
      <c r="A6" s="1060"/>
      <c r="B6" s="1065"/>
      <c r="C6" s="1060"/>
      <c r="D6" s="1410"/>
      <c r="E6" s="433"/>
      <c r="F6" s="85"/>
      <c r="G6" s="85"/>
      <c r="H6" s="85"/>
      <c r="I6" s="85"/>
      <c r="J6" s="86"/>
      <c r="K6" s="424"/>
      <c r="L6" s="424"/>
      <c r="M6" s="424"/>
      <c r="N6" s="424"/>
      <c r="O6" s="143"/>
      <c r="P6" s="424"/>
      <c r="Q6" s="142"/>
      <c r="R6" s="142"/>
      <c r="S6" s="142"/>
      <c r="T6" s="142"/>
    </row>
    <row r="7" spans="1:254" s="1739" customFormat="1" ht="14.25" customHeight="1">
      <c r="A7" s="1060"/>
      <c r="B7" s="1065"/>
      <c r="C7" s="1060"/>
      <c r="D7" s="1410"/>
      <c r="E7" s="8724" t="s">
        <v>763</v>
      </c>
      <c r="F7" s="8729"/>
      <c r="G7" s="8729"/>
      <c r="H7" s="8729"/>
      <c r="I7" s="8729"/>
      <c r="J7" s="9044" t="s">
        <v>764</v>
      </c>
      <c r="K7" s="424"/>
      <c r="L7" s="424"/>
      <c r="M7" s="424"/>
      <c r="N7" s="424"/>
      <c r="O7" s="143"/>
      <c r="P7" s="424"/>
      <c r="Q7" s="142"/>
      <c r="R7" s="142"/>
      <c r="S7" s="142"/>
      <c r="T7" s="142"/>
    </row>
    <row r="8" spans="1:254" s="1739" customFormat="1" ht="20.25" customHeight="1">
      <c r="A8" s="1060"/>
      <c r="B8" s="1065"/>
      <c r="C8" s="1060"/>
      <c r="D8" s="1410"/>
      <c r="E8" s="1470" t="s">
        <v>84</v>
      </c>
      <c r="F8" s="1455" t="s">
        <v>1574</v>
      </c>
      <c r="G8" s="1455" t="s">
        <v>45</v>
      </c>
      <c r="H8" s="1455" t="s">
        <v>47</v>
      </c>
      <c r="I8" s="1455" t="s">
        <v>1575</v>
      </c>
      <c r="J8" s="9045"/>
      <c r="K8" s="424"/>
      <c r="L8" s="424"/>
      <c r="M8" s="424"/>
      <c r="N8" s="424"/>
      <c r="O8" s="143"/>
      <c r="P8" s="424"/>
      <c r="Q8" s="142"/>
      <c r="R8" s="142"/>
      <c r="S8" s="142"/>
      <c r="T8" s="142"/>
    </row>
    <row r="9" spans="1:254" s="1818" customFormat="1" ht="22.5" customHeight="1">
      <c r="A9" s="8727"/>
      <c r="B9" s="1065">
        <v>1</v>
      </c>
      <c r="C9" s="1065"/>
      <c r="D9" s="715"/>
      <c r="E9" s="1399">
        <v>1</v>
      </c>
      <c r="F9" s="1469"/>
      <c r="G9" s="1406"/>
      <c r="H9" s="1406"/>
      <c r="I9" s="1453"/>
      <c r="J9" s="9046" t="s">
        <v>1576</v>
      </c>
      <c r="K9" s="1450" t="e">
        <f ca="1">MERGEVALUE(F9)</f>
        <v>#NAME?</v>
      </c>
      <c r="L9" s="435"/>
      <c r="M9" s="435"/>
      <c r="N9" s="424" t="str">
        <f t="array" ref="N9">IF(ISERROR(MATCH(MID(O9,1,250),MID(note_ter,1,250),0)),"n","y")</f>
        <v>n</v>
      </c>
      <c r="O9" s="435"/>
      <c r="P9" s="424"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5"/>
      <c r="R9" s="1065"/>
      <c r="S9" s="348"/>
      <c r="T9" s="1065"/>
      <c r="U9" s="1065"/>
      <c r="V9" s="1065"/>
      <c r="W9" s="350"/>
      <c r="X9" s="350"/>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50"/>
      <c r="BU9" s="350"/>
      <c r="BV9" s="350"/>
      <c r="BW9" s="350"/>
      <c r="BX9" s="350"/>
      <c r="BY9" s="350"/>
      <c r="BZ9" s="350"/>
      <c r="CA9" s="350"/>
      <c r="CB9" s="350"/>
      <c r="CC9" s="350"/>
    </row>
    <row r="10" spans="1:254" s="1818" customFormat="1" ht="15" customHeight="1">
      <c r="A10" s="8727"/>
      <c r="B10" s="1065"/>
      <c r="C10" s="341"/>
      <c r="D10" s="715"/>
      <c r="E10" s="1456"/>
      <c r="F10" s="1415" t="s">
        <v>1577</v>
      </c>
      <c r="G10" s="1457"/>
      <c r="H10" s="1457"/>
      <c r="I10" s="1457"/>
      <c r="J10" s="9047"/>
      <c r="K10" s="1451"/>
      <c r="L10" s="435"/>
      <c r="M10" s="435"/>
      <c r="N10" s="435"/>
      <c r="O10" s="424"/>
      <c r="P10" s="435"/>
      <c r="Q10" s="1065"/>
      <c r="R10" s="1065"/>
      <c r="S10" s="348"/>
      <c r="T10" s="1065"/>
      <c r="U10" s="1065"/>
      <c r="V10" s="1065"/>
      <c r="W10" s="350"/>
      <c r="X10" s="350"/>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50"/>
      <c r="BU10" s="350"/>
      <c r="BV10" s="350"/>
      <c r="BW10" s="350"/>
      <c r="BX10" s="350"/>
      <c r="BY10" s="350"/>
      <c r="BZ10" s="350"/>
      <c r="CA10" s="350"/>
      <c r="CB10" s="350"/>
      <c r="CC10" s="350"/>
    </row>
    <row r="11" spans="1:254" s="1739" customFormat="1" ht="21" customHeight="1">
      <c r="A11" s="1060"/>
      <c r="B11" s="1065"/>
      <c r="C11" s="1060"/>
      <c r="D11" s="376"/>
      <c r="E11" s="98"/>
      <c r="F11" s="98"/>
      <c r="G11" s="98"/>
      <c r="H11" s="98"/>
      <c r="I11" s="98"/>
      <c r="J11" s="98"/>
      <c r="K11" s="424"/>
      <c r="L11" s="424"/>
      <c r="M11" s="424"/>
      <c r="N11" s="424"/>
      <c r="O11" s="143"/>
      <c r="P11" s="424"/>
      <c r="Q11" s="142"/>
      <c r="R11" s="142"/>
      <c r="S11" s="142"/>
      <c r="T11" s="142"/>
    </row>
    <row r="12" spans="1:254" s="1739" customFormat="1" ht="14.25" customHeight="1">
      <c r="A12" s="1060"/>
      <c r="B12" s="1065"/>
      <c r="C12" s="1060"/>
      <c r="D12" s="376"/>
      <c r="E12" s="1060"/>
      <c r="F12" s="1060"/>
      <c r="G12" s="1060"/>
      <c r="H12" s="1060"/>
      <c r="I12" s="1060"/>
      <c r="J12" s="1060"/>
      <c r="K12" s="424"/>
      <c r="L12" s="424"/>
      <c r="M12" s="424"/>
      <c r="N12" s="424"/>
      <c r="O12" s="143"/>
      <c r="P12" s="424"/>
      <c r="Q12" s="142"/>
      <c r="R12" s="142"/>
      <c r="S12" s="142"/>
      <c r="T12" s="142"/>
    </row>
    <row r="13" spans="1:254" s="1739" customFormat="1" ht="0.75" customHeight="1">
      <c r="A13" s="1060"/>
      <c r="B13" s="1065"/>
      <c r="C13" s="1060"/>
      <c r="D13" s="376"/>
      <c r="E13" s="1060"/>
      <c r="F13" s="1060"/>
      <c r="G13" s="1060"/>
      <c r="H13" s="1060"/>
      <c r="I13" s="1060"/>
      <c r="J13" s="1060"/>
      <c r="K13" s="424"/>
      <c r="L13" s="424"/>
      <c r="M13" s="424"/>
      <c r="N13" s="424"/>
      <c r="O13" s="143"/>
      <c r="P13" s="424"/>
      <c r="Q13" s="142"/>
      <c r="R13" s="142"/>
      <c r="S13" s="142"/>
      <c r="T13" s="142"/>
    </row>
    <row r="14" spans="1:254" s="975" customFormat="1" ht="10.5" customHeight="1">
      <c r="B14" s="748"/>
      <c r="D14" s="100"/>
      <c r="K14" s="424"/>
      <c r="L14" s="424"/>
      <c r="M14" s="424"/>
      <c r="N14" s="424"/>
      <c r="O14" s="143"/>
      <c r="P14" s="424"/>
      <c r="Q14" s="142"/>
      <c r="R14" s="142"/>
      <c r="S14" s="142"/>
      <c r="T14" s="142"/>
    </row>
    <row r="15" spans="1:254" s="975" customFormat="1" ht="10.5" customHeight="1">
      <c r="B15" s="748"/>
      <c r="D15" s="100"/>
      <c r="K15" s="424"/>
      <c r="L15" s="424"/>
      <c r="M15" s="424"/>
      <c r="N15" s="424"/>
      <c r="O15" s="143"/>
      <c r="P15" s="424"/>
      <c r="Q15" s="142"/>
      <c r="R15" s="142"/>
      <c r="S15" s="142"/>
      <c r="T15" s="142"/>
    </row>
    <row r="19" spans="7:13" ht="14.25" customHeight="1">
      <c r="G19"/>
      <c r="H19"/>
      <c r="I19"/>
    </row>
    <row r="23" spans="7:13" ht="14.25" customHeight="1">
      <c r="K23" s="1060"/>
      <c r="L23" s="1060"/>
      <c r="M23" s="1060"/>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406"/>
  <sheetViews>
    <sheetView showGridLines="0" topLeftCell="C257" zoomScale="90" workbookViewId="0">
      <selection activeCell="J291" sqref="J291:J294"/>
    </sheetView>
  </sheetViews>
  <sheetFormatPr defaultColWidth="9.140625" defaultRowHeight="11.25" customHeight="1"/>
  <cols>
    <col min="1" max="2" width="3.7109375" style="1544" hidden="1" customWidth="1"/>
    <col min="3" max="3" width="3.7109375" style="1771" customWidth="1"/>
    <col min="4" max="4" width="6.140625" style="1771" customWidth="1"/>
    <col min="5" max="5" width="43.140625" style="1771" customWidth="1"/>
    <col min="6" max="6" width="15" style="1771" customWidth="1"/>
    <col min="7" max="7" width="43.140625" style="1771" customWidth="1"/>
    <col min="8" max="8" width="3.7109375" style="1771" customWidth="1"/>
    <col min="9" max="9" width="5.42578125" style="1771" customWidth="1"/>
    <col min="10" max="10" width="47.85546875" style="1771" customWidth="1"/>
    <col min="11" max="12" width="3.7109375" style="1771" customWidth="1"/>
    <col min="13" max="13" width="5.7109375" style="1771" customWidth="1"/>
    <col min="14" max="14" width="28.140625" style="1771" customWidth="1"/>
    <col min="15" max="16" width="3.7109375" style="1771" customWidth="1"/>
    <col min="17" max="17" width="5.7109375" style="1771" customWidth="1"/>
    <col min="18" max="18" width="34.42578125" style="1771" customWidth="1"/>
    <col min="19" max="20" width="3.7109375" style="1771" hidden="1" customWidth="1"/>
    <col min="21" max="21" width="5.7109375" style="1771" hidden="1" customWidth="1"/>
    <col min="22" max="22" width="34.42578125" style="1771" hidden="1" customWidth="1"/>
    <col min="23" max="23" width="30.7109375" style="1771" customWidth="1"/>
    <col min="24" max="24" width="3.7109375" style="1771"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10.285156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1" hidden="1"/>
  </cols>
  <sheetData>
    <row r="1" spans="1:43" ht="11.25" hidden="1" customHeight="1">
      <c r="A1" s="74"/>
    </row>
    <row r="2" spans="1:43" ht="11.25" hidden="1" customHeight="1"/>
    <row r="3" spans="1:43" ht="11.25" hidden="1" customHeight="1"/>
    <row r="4" spans="1:43" ht="3" customHeight="1"/>
    <row r="5" spans="1:43" s="510" customFormat="1" ht="29.25" customHeight="1">
      <c r="A5" s="72"/>
      <c r="B5" s="72"/>
      <c r="D5" s="878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8789"/>
      <c r="F5" s="8789"/>
      <c r="G5" s="8789"/>
      <c r="H5" s="8789"/>
      <c r="I5" s="8789"/>
      <c r="J5" s="8790"/>
      <c r="K5" s="180"/>
      <c r="L5" s="63"/>
      <c r="M5" s="63"/>
      <c r="N5" s="63"/>
      <c r="O5" s="63"/>
      <c r="P5" s="63"/>
      <c r="Q5" s="63"/>
      <c r="R5" s="63"/>
      <c r="S5" s="205"/>
      <c r="T5" s="205"/>
      <c r="U5" s="205"/>
      <c r="V5" s="205"/>
      <c r="W5" s="63"/>
      <c r="Y5" s="1185"/>
      <c r="Z5" s="1185"/>
      <c r="AA5" s="1185"/>
      <c r="AB5" s="1185"/>
      <c r="AC5" s="1185"/>
      <c r="AD5" s="1185"/>
      <c r="AE5" s="1185"/>
      <c r="AF5" s="1185"/>
      <c r="AG5" s="1185"/>
      <c r="AH5" s="1185"/>
      <c r="AI5" s="1185"/>
      <c r="AJ5" s="1185"/>
      <c r="AK5" s="1185"/>
      <c r="AL5" s="1185"/>
      <c r="AM5" s="1185"/>
      <c r="AN5" s="1185"/>
      <c r="AO5" s="1185"/>
      <c r="AP5" s="1185"/>
      <c r="AQ5" s="1185"/>
    </row>
    <row r="6" spans="1:43" s="510" customFormat="1" ht="15" customHeight="1">
      <c r="A6" s="507"/>
      <c r="B6" s="507"/>
      <c r="C6" s="507"/>
      <c r="D6" s="8794" t="str">
        <f>IF(org=0,"Не определено",org)</f>
        <v>ГУП СК "Ставрополькрайводоканал"</v>
      </c>
      <c r="E6" s="8794"/>
      <c r="F6" s="8794"/>
      <c r="G6" s="8794"/>
      <c r="H6" s="8794"/>
      <c r="I6" s="8794"/>
      <c r="J6" s="8794"/>
      <c r="K6" s="508"/>
      <c r="L6" s="508"/>
      <c r="M6" s="508"/>
      <c r="N6" s="508"/>
      <c r="O6" s="784"/>
      <c r="P6" s="784"/>
      <c r="Q6" s="784"/>
      <c r="R6" s="784"/>
      <c r="S6" s="784"/>
      <c r="T6" s="784"/>
      <c r="U6" s="784"/>
      <c r="V6" s="784"/>
      <c r="W6" s="784"/>
      <c r="X6" s="508"/>
      <c r="Y6" s="1186"/>
      <c r="Z6" s="1186"/>
      <c r="AA6" s="1186"/>
      <c r="AB6" s="1186"/>
      <c r="AC6" s="1186"/>
      <c r="AD6" s="1186"/>
      <c r="AE6" s="1186"/>
      <c r="AF6" s="1186"/>
      <c r="AG6" s="1186"/>
      <c r="AH6" s="1186"/>
      <c r="AI6" s="1186"/>
      <c r="AJ6" s="1186"/>
      <c r="AK6" s="1186"/>
      <c r="AL6" s="1186"/>
      <c r="AM6" s="1186"/>
      <c r="AN6" s="1186"/>
      <c r="AO6" s="1186"/>
      <c r="AP6" s="1186"/>
      <c r="AQ6" s="1186"/>
    </row>
    <row r="7" spans="1:43" s="213" customFormat="1" ht="11.25" customHeight="1">
      <c r="A7" s="128"/>
      <c r="B7" s="128"/>
      <c r="D7" s="8791"/>
      <c r="E7" s="8792"/>
      <c r="F7" s="8792"/>
      <c r="G7" s="8792"/>
      <c r="H7" s="8792"/>
      <c r="I7" s="8792"/>
      <c r="J7" s="8793"/>
      <c r="Y7" s="1187"/>
      <c r="Z7" s="1187"/>
      <c r="AA7" s="1187"/>
      <c r="AB7" s="1187"/>
      <c r="AC7" s="1187"/>
      <c r="AD7" s="1187"/>
      <c r="AE7" s="1187"/>
      <c r="AF7" s="1187"/>
      <c r="AG7" s="1187"/>
      <c r="AH7" s="1187"/>
      <c r="AI7" s="1187"/>
      <c r="AJ7" s="1187"/>
      <c r="AK7" s="1187"/>
      <c r="AL7" s="1187"/>
      <c r="AM7" s="1187"/>
      <c r="AN7" s="1187"/>
      <c r="AO7" s="1187"/>
      <c r="AP7" s="1187"/>
      <c r="AQ7" s="1187"/>
    </row>
    <row r="8" spans="1:43" s="510"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5"/>
      <c r="Z8" s="1185"/>
      <c r="AA8" s="1185"/>
      <c r="AB8" s="1185"/>
      <c r="AC8" s="1185"/>
      <c r="AD8" s="1185"/>
      <c r="AE8" s="1185"/>
      <c r="AF8" s="1185"/>
      <c r="AG8" s="1185"/>
      <c r="AH8" s="1185"/>
      <c r="AI8" s="1185"/>
      <c r="AJ8" s="1185"/>
      <c r="AK8" s="1185"/>
      <c r="AL8" s="1185"/>
      <c r="AM8" s="1185"/>
      <c r="AN8" s="1185"/>
      <c r="AO8" s="1185"/>
      <c r="AP8" s="1185"/>
      <c r="AQ8" s="1185"/>
    </row>
    <row r="9" spans="1:43" ht="27" customHeight="1">
      <c r="D9" s="8753" t="s">
        <v>84</v>
      </c>
      <c r="E9" s="8724" t="s">
        <v>210</v>
      </c>
      <c r="F9" s="8723"/>
      <c r="G9" s="8753" t="s">
        <v>197</v>
      </c>
      <c r="H9" s="8753" t="s">
        <v>84</v>
      </c>
      <c r="I9" s="8753"/>
      <c r="J9" s="8753" t="s">
        <v>211</v>
      </c>
      <c r="K9" s="8786" t="s">
        <v>212</v>
      </c>
      <c r="L9" s="8786"/>
      <c r="M9" s="8786"/>
      <c r="N9" s="8786"/>
      <c r="O9" s="8786" t="s">
        <v>213</v>
      </c>
      <c r="P9" s="8786"/>
      <c r="Q9" s="8786"/>
      <c r="R9" s="8786"/>
      <c r="S9" s="8786" t="s">
        <v>214</v>
      </c>
      <c r="T9" s="8786"/>
      <c r="U9" s="8786"/>
      <c r="V9" s="8786"/>
      <c r="W9" s="8753" t="s">
        <v>215</v>
      </c>
    </row>
    <row r="10" spans="1:43" ht="30" customHeight="1">
      <c r="D10" s="8753"/>
      <c r="E10" s="1208" t="s">
        <v>85</v>
      </c>
      <c r="F10" s="1208" t="s">
        <v>216</v>
      </c>
      <c r="G10" s="8753"/>
      <c r="H10" s="8753"/>
      <c r="I10" s="8753"/>
      <c r="J10" s="8753"/>
      <c r="K10" s="37" t="s">
        <v>200</v>
      </c>
      <c r="L10" s="8753" t="s">
        <v>84</v>
      </c>
      <c r="M10" s="8753"/>
      <c r="N10" s="37" t="s">
        <v>217</v>
      </c>
      <c r="O10" s="37" t="s">
        <v>200</v>
      </c>
      <c r="P10" s="8753" t="s">
        <v>84</v>
      </c>
      <c r="Q10" s="8753"/>
      <c r="R10" s="37" t="s">
        <v>217</v>
      </c>
      <c r="S10" s="198" t="s">
        <v>200</v>
      </c>
      <c r="T10" s="8753" t="s">
        <v>84</v>
      </c>
      <c r="U10" s="8753"/>
      <c r="V10" s="198" t="s">
        <v>85</v>
      </c>
      <c r="W10" s="8753"/>
      <c r="Z10" s="1184" t="s">
        <v>218</v>
      </c>
      <c r="AA10" s="1184" t="s">
        <v>219</v>
      </c>
      <c r="AB10" s="1184" t="s">
        <v>220</v>
      </c>
      <c r="AC10" s="1184" t="s">
        <v>221</v>
      </c>
      <c r="AD10" s="1184" t="s">
        <v>222</v>
      </c>
      <c r="AE10" s="1184" t="s">
        <v>223</v>
      </c>
      <c r="AF10" s="1184" t="s">
        <v>224</v>
      </c>
      <c r="AG10" s="1184" t="s">
        <v>225</v>
      </c>
      <c r="AH10" s="1184" t="s">
        <v>226</v>
      </c>
      <c r="AI10" s="1184" t="s">
        <v>227</v>
      </c>
      <c r="AJ10" s="1184" t="s">
        <v>228</v>
      </c>
      <c r="AK10" s="1184" t="s">
        <v>229</v>
      </c>
      <c r="AL10" s="1184" t="s">
        <v>230</v>
      </c>
      <c r="AM10" s="1184" t="s">
        <v>231</v>
      </c>
      <c r="AN10" s="1184" t="s">
        <v>232</v>
      </c>
      <c r="AO10" s="1184" t="s">
        <v>233</v>
      </c>
      <c r="AP10" s="1184" t="s">
        <v>234</v>
      </c>
      <c r="AQ10" s="1184" t="s">
        <v>235</v>
      </c>
    </row>
    <row r="11" spans="1:43" s="1544" customFormat="1" ht="12" hidden="1" customHeight="1">
      <c r="D11" s="1164" t="s">
        <v>95</v>
      </c>
      <c r="E11" s="1164" t="s">
        <v>99</v>
      </c>
      <c r="F11" s="1164"/>
      <c r="G11" s="1164" t="s">
        <v>86</v>
      </c>
      <c r="H11" s="8787" t="s">
        <v>113</v>
      </c>
      <c r="I11" s="8787"/>
      <c r="J11" s="1164" t="s">
        <v>88</v>
      </c>
      <c r="K11" s="1164" t="s">
        <v>89</v>
      </c>
      <c r="L11" s="8787" t="s">
        <v>126</v>
      </c>
      <c r="M11" s="8787"/>
      <c r="N11" s="1164" t="s">
        <v>131</v>
      </c>
      <c r="O11" s="1164" t="s">
        <v>136</v>
      </c>
      <c r="P11" s="8787" t="s">
        <v>102</v>
      </c>
      <c r="Q11" s="8787"/>
      <c r="R11" s="1164" t="s">
        <v>145</v>
      </c>
      <c r="S11" s="1164" t="s">
        <v>102</v>
      </c>
      <c r="T11" s="8787" t="s">
        <v>145</v>
      </c>
      <c r="U11" s="8787"/>
      <c r="V11" s="1164" t="s">
        <v>150</v>
      </c>
      <c r="W11" s="1164" t="s">
        <v>155</v>
      </c>
      <c r="Y11" s="1184"/>
      <c r="Z11" s="1184"/>
      <c r="AA11" s="1184"/>
      <c r="AB11" s="1184"/>
      <c r="AC11" s="1184"/>
      <c r="AD11" s="1184"/>
      <c r="AE11" s="1184"/>
      <c r="AF11" s="1184"/>
      <c r="AG11" s="1184"/>
      <c r="AH11" s="1184"/>
      <c r="AI11" s="1184"/>
      <c r="AJ11" s="1184"/>
      <c r="AK11" s="1184"/>
      <c r="AL11" s="1184"/>
      <c r="AM11" s="1184"/>
      <c r="AN11" s="1184"/>
      <c r="AO11" s="1184"/>
      <c r="AP11" s="1184"/>
      <c r="AQ11" s="1184"/>
    </row>
    <row r="12" spans="1:43" ht="14.25" hidden="1" customHeight="1">
      <c r="C12" s="126"/>
      <c r="D12" s="1207">
        <v>0</v>
      </c>
      <c r="E12" s="165"/>
      <c r="F12" s="165"/>
      <c r="G12" s="165"/>
      <c r="H12" s="166"/>
      <c r="I12" s="166"/>
      <c r="J12" s="76"/>
      <c r="K12" s="38"/>
      <c r="L12" s="76"/>
      <c r="M12" s="76"/>
      <c r="N12" s="167"/>
      <c r="O12" s="38"/>
      <c r="P12" s="76"/>
      <c r="Q12" s="76"/>
      <c r="R12" s="168"/>
      <c r="S12" s="199"/>
      <c r="T12" s="207"/>
      <c r="U12" s="207"/>
      <c r="V12" s="210"/>
      <c r="W12" s="38"/>
      <c r="X12" s="62"/>
    </row>
    <row r="13" spans="1:43" s="1771" customFormat="1" ht="17.25" hidden="1" customHeight="1">
      <c r="A13" s="240"/>
      <c r="C13" s="126"/>
      <c r="D13" s="8767">
        <v>1</v>
      </c>
      <c r="E13" s="8769" t="s">
        <v>236</v>
      </c>
      <c r="F13" s="8771" t="s">
        <v>53</v>
      </c>
      <c r="G13" s="8769"/>
      <c r="H13" s="8774"/>
      <c r="I13" s="8776"/>
      <c r="J13" s="8778"/>
      <c r="K13" s="8761"/>
      <c r="L13" s="8761"/>
      <c r="M13" s="8761"/>
      <c r="N13" s="8763"/>
      <c r="O13" s="8761"/>
      <c r="P13" s="8761"/>
      <c r="Q13" s="8761"/>
      <c r="R13" s="8766"/>
      <c r="S13" s="8761"/>
      <c r="T13" s="1340"/>
      <c r="U13" s="1340"/>
      <c r="V13" s="1339"/>
      <c r="W13" s="1220"/>
      <c r="Y13" s="1191"/>
      <c r="Z13" s="1191"/>
      <c r="AA13" s="1191"/>
      <c r="AB13" s="1191"/>
      <c r="AC13" s="1191" t="s">
        <v>237</v>
      </c>
      <c r="AD13" s="1191" t="s">
        <v>238</v>
      </c>
      <c r="AE13" s="1191" t="s">
        <v>239</v>
      </c>
      <c r="AF13" s="1191" t="s">
        <v>240</v>
      </c>
      <c r="AG13" s="1191" t="s">
        <v>241</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row>
    <row r="14" spans="1:43" s="1771" customFormat="1" ht="17.25" hidden="1" customHeight="1">
      <c r="A14" s="240"/>
      <c r="C14" s="239"/>
      <c r="D14" s="8767"/>
      <c r="E14" s="8769"/>
      <c r="F14" s="8772"/>
      <c r="G14" s="8769"/>
      <c r="H14" s="8775"/>
      <c r="I14" s="8777"/>
      <c r="J14" s="8779"/>
      <c r="K14" s="8762"/>
      <c r="L14" s="8762"/>
      <c r="M14" s="8762"/>
      <c r="N14" s="8764"/>
      <c r="O14" s="8762"/>
      <c r="P14" s="8762"/>
      <c r="Q14" s="8762"/>
      <c r="R14" s="8765"/>
      <c r="S14" s="8762"/>
      <c r="T14" s="1221"/>
      <c r="U14" s="1221"/>
      <c r="V14" s="1221"/>
      <c r="W14" s="1222"/>
      <c r="Y14" s="1184"/>
      <c r="Z14" s="1184"/>
      <c r="AA14" s="1184"/>
      <c r="AB14" s="1184"/>
      <c r="AC14" s="1184"/>
      <c r="AD14" s="1184"/>
      <c r="AE14" s="1184"/>
      <c r="AF14" s="1184"/>
      <c r="AG14" s="1184"/>
      <c r="AH14" s="1184"/>
      <c r="AI14" s="1184"/>
      <c r="AJ14" s="1184"/>
      <c r="AK14" s="1184"/>
      <c r="AL14" s="1184"/>
      <c r="AM14" s="1184"/>
      <c r="AN14" s="1184"/>
      <c r="AO14" s="1184"/>
      <c r="AP14" s="1184"/>
      <c r="AQ14" s="1184"/>
    </row>
    <row r="15" spans="1:43" s="1771" customFormat="1" ht="17.25" hidden="1" customHeight="1">
      <c r="A15" s="240"/>
      <c r="C15" s="126"/>
      <c r="D15" s="8767"/>
      <c r="E15" s="8769"/>
      <c r="F15" s="8772"/>
      <c r="G15" s="8769"/>
      <c r="H15" s="8775"/>
      <c r="I15" s="8777"/>
      <c r="J15" s="8780"/>
      <c r="K15" s="8762"/>
      <c r="L15" s="8762"/>
      <c r="M15" s="8762"/>
      <c r="N15" s="8765"/>
      <c r="O15" s="8762"/>
      <c r="P15" s="1338"/>
      <c r="Q15" s="1221"/>
      <c r="R15" s="1221"/>
      <c r="S15" s="251"/>
      <c r="T15" s="251"/>
      <c r="U15" s="251"/>
      <c r="V15" s="251"/>
      <c r="W15" s="1222"/>
      <c r="Y15" s="1191"/>
      <c r="Z15" s="1191"/>
      <c r="AA15" s="1191"/>
      <c r="AB15" s="1191"/>
      <c r="AC15" s="1191"/>
      <c r="AD15" s="1191"/>
      <c r="AE15" s="1191"/>
      <c r="AF15" s="1191"/>
      <c r="AG15" s="1191"/>
      <c r="AH15" s="1191"/>
      <c r="AI15" s="1191"/>
      <c r="AJ15" s="1191"/>
      <c r="AK15" s="1191"/>
      <c r="AL15" s="1191"/>
      <c r="AM15" s="1191"/>
      <c r="AN15" s="1191"/>
      <c r="AO15" s="1191"/>
      <c r="AP15" s="1191"/>
      <c r="AQ15" s="1191"/>
    </row>
    <row r="16" spans="1:43" s="1771" customFormat="1" ht="17.25" hidden="1" customHeight="1">
      <c r="A16" s="240"/>
      <c r="C16" s="239"/>
      <c r="D16" s="8767"/>
      <c r="E16" s="8769"/>
      <c r="F16" s="8772"/>
      <c r="G16" s="8769"/>
      <c r="H16" s="8775"/>
      <c r="I16" s="8777"/>
      <c r="J16" s="8780"/>
      <c r="K16" s="8762"/>
      <c r="L16" s="1221"/>
      <c r="M16" s="1221"/>
      <c r="N16" s="1221"/>
      <c r="O16" s="1221"/>
      <c r="P16" s="1221"/>
      <c r="Q16" s="1221"/>
      <c r="R16" s="1221"/>
      <c r="S16" s="251"/>
      <c r="T16" s="251"/>
      <c r="U16" s="251"/>
      <c r="V16" s="251"/>
      <c r="W16" s="1222"/>
      <c r="Y16" s="1184"/>
      <c r="Z16" s="1184"/>
      <c r="AA16" s="1184"/>
      <c r="AB16" s="1184"/>
      <c r="AC16" s="1184"/>
      <c r="AD16" s="1184"/>
      <c r="AE16" s="1184"/>
      <c r="AF16" s="1184"/>
      <c r="AG16" s="1184"/>
      <c r="AH16" s="1184"/>
      <c r="AI16" s="1184"/>
      <c r="AJ16" s="1184"/>
      <c r="AK16" s="1184"/>
      <c r="AL16" s="1184"/>
      <c r="AM16" s="1184"/>
      <c r="AN16" s="1184"/>
      <c r="AO16" s="1184"/>
      <c r="AP16" s="1184"/>
      <c r="AQ16" s="1184"/>
    </row>
    <row r="17" spans="1:43" s="1771" customFormat="1" ht="17.25" hidden="1" customHeight="1">
      <c r="A17" s="240"/>
      <c r="C17" s="239"/>
      <c r="D17" s="8768"/>
      <c r="E17" s="8770"/>
      <c r="F17" s="8773"/>
      <c r="G17" s="8770"/>
      <c r="H17" s="1223"/>
      <c r="I17" s="1224"/>
      <c r="J17" s="1224"/>
      <c r="K17" s="1224"/>
      <c r="L17" s="1224"/>
      <c r="M17" s="1224"/>
      <c r="N17" s="1224"/>
      <c r="O17" s="1224"/>
      <c r="P17" s="1224"/>
      <c r="Q17" s="1224"/>
      <c r="R17" s="1224"/>
      <c r="S17" s="1225"/>
      <c r="T17" s="1225"/>
      <c r="U17" s="1225"/>
      <c r="V17" s="1225"/>
      <c r="W17" s="1226"/>
      <c r="Y17" s="1184"/>
      <c r="Z17" s="1184"/>
      <c r="AA17" s="1184"/>
      <c r="AB17" s="1184"/>
      <c r="AC17" s="1184"/>
      <c r="AD17" s="1184"/>
      <c r="AE17" s="1184"/>
      <c r="AF17" s="1184"/>
      <c r="AG17" s="1184"/>
      <c r="AH17" s="1184"/>
      <c r="AI17" s="1184"/>
      <c r="AJ17" s="1184"/>
      <c r="AK17" s="1184"/>
      <c r="AL17" s="1184"/>
      <c r="AM17" s="1184"/>
      <c r="AN17" s="1184"/>
      <c r="AO17" s="1184"/>
      <c r="AP17" s="1184"/>
      <c r="AQ17" s="1184"/>
    </row>
    <row r="18" spans="1:43" s="1771" customFormat="1" ht="17.25" hidden="1" customHeight="1">
      <c r="A18" s="240"/>
      <c r="C18" s="126"/>
      <c r="D18" s="8767">
        <v>2</v>
      </c>
      <c r="E18" s="8769" t="s">
        <v>242</v>
      </c>
      <c r="F18" s="8771" t="s">
        <v>53</v>
      </c>
      <c r="G18" s="8769"/>
      <c r="H18" s="8774"/>
      <c r="I18" s="8776"/>
      <c r="J18" s="8778"/>
      <c r="K18" s="8761"/>
      <c r="L18" s="8761"/>
      <c r="M18" s="8761"/>
      <c r="N18" s="8763"/>
      <c r="O18" s="8761"/>
      <c r="P18" s="8761"/>
      <c r="Q18" s="8761"/>
      <c r="R18" s="8766"/>
      <c r="S18" s="8761"/>
      <c r="T18" s="1340"/>
      <c r="U18" s="1340"/>
      <c r="V18" s="1339"/>
      <c r="W18" s="1220"/>
      <c r="X18" s="1191"/>
      <c r="Y18" s="1191"/>
      <c r="Z18" s="1191"/>
      <c r="AA18" s="1191"/>
      <c r="AB18" s="1191"/>
      <c r="AC18" s="1191" t="s">
        <v>243</v>
      </c>
      <c r="AD18" s="1191" t="s">
        <v>244</v>
      </c>
      <c r="AE18" s="1191" t="s">
        <v>245</v>
      </c>
      <c r="AF18" s="1191" t="s">
        <v>246</v>
      </c>
      <c r="AG18" s="1191" t="s">
        <v>247</v>
      </c>
      <c r="AH18" s="1191"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2">
        <f>$I$18</f>
        <v>0</v>
      </c>
      <c r="AO18" s="1191" t="str">
        <f>$I$18&amp;"."&amp;$M$18</f>
        <v>.</v>
      </c>
      <c r="AP18" s="1184" t="str">
        <f>$I$18&amp;"."&amp;$M$18&amp;"."&amp;$Q$18</f>
        <v>..</v>
      </c>
      <c r="AQ18" s="1184" t="str">
        <f>$I$18&amp;"."&amp;$M$18&amp;"."&amp;$Q$18&amp;"."&amp;$U$18</f>
        <v>...</v>
      </c>
    </row>
    <row r="19" spans="1:43" s="1771" customFormat="1" ht="17.25" hidden="1" customHeight="1">
      <c r="A19" s="240"/>
      <c r="C19" s="239"/>
      <c r="D19" s="8767"/>
      <c r="E19" s="8769"/>
      <c r="F19" s="8772"/>
      <c r="G19" s="8769"/>
      <c r="H19" s="8775"/>
      <c r="I19" s="8777"/>
      <c r="J19" s="8779"/>
      <c r="K19" s="8762"/>
      <c r="L19" s="8762"/>
      <c r="M19" s="8762"/>
      <c r="N19" s="8764"/>
      <c r="O19" s="8762"/>
      <c r="P19" s="8762"/>
      <c r="Q19" s="8762"/>
      <c r="R19" s="8765"/>
      <c r="S19" s="8762"/>
      <c r="T19" s="1221"/>
      <c r="U19" s="1221"/>
      <c r="V19" s="1221"/>
      <c r="W19" s="1222"/>
      <c r="X19" s="1184"/>
      <c r="Y19" s="1184"/>
      <c r="Z19" s="1184"/>
      <c r="AA19" s="1184"/>
      <c r="AB19" s="1184"/>
      <c r="AC19" s="1184"/>
      <c r="AD19" s="1184"/>
      <c r="AE19" s="1184"/>
      <c r="AF19" s="1184"/>
      <c r="AG19" s="1184"/>
      <c r="AH19" s="1184"/>
      <c r="AI19" s="1184"/>
      <c r="AJ19" s="1184"/>
      <c r="AK19" s="1184"/>
      <c r="AL19" s="1184"/>
      <c r="AM19" s="1184"/>
      <c r="AN19" s="1184"/>
      <c r="AO19" s="1184"/>
      <c r="AP19" s="1184"/>
      <c r="AQ19" s="1184"/>
    </row>
    <row r="20" spans="1:43" s="1771" customFormat="1" ht="17.25" hidden="1" customHeight="1">
      <c r="A20" s="240"/>
      <c r="C20" s="239"/>
      <c r="D20" s="8768"/>
      <c r="E20" s="8770"/>
      <c r="F20" s="8772"/>
      <c r="G20" s="8770"/>
      <c r="H20" s="8775"/>
      <c r="I20" s="8777"/>
      <c r="J20" s="8780"/>
      <c r="K20" s="8762"/>
      <c r="L20" s="8762"/>
      <c r="M20" s="8762"/>
      <c r="N20" s="8765"/>
      <c r="O20" s="8762"/>
      <c r="P20" s="1338"/>
      <c r="Q20" s="1221"/>
      <c r="R20" s="1221"/>
      <c r="S20" s="251"/>
      <c r="T20" s="251"/>
      <c r="U20" s="251"/>
      <c r="V20" s="251"/>
      <c r="W20" s="1222"/>
      <c r="X20" s="1184"/>
      <c r="Y20" s="1184"/>
      <c r="Z20" s="1184"/>
      <c r="AA20" s="1184"/>
      <c r="AB20" s="1184"/>
      <c r="AC20" s="1184"/>
      <c r="AD20" s="1184"/>
      <c r="AE20" s="1184"/>
      <c r="AF20" s="1184"/>
      <c r="AG20" s="1184"/>
      <c r="AH20" s="1184"/>
      <c r="AI20" s="1184"/>
      <c r="AJ20" s="1184"/>
      <c r="AK20" s="1184"/>
      <c r="AL20" s="1184"/>
      <c r="AM20" s="1184"/>
      <c r="AN20" s="1184"/>
      <c r="AO20" s="1184"/>
      <c r="AP20" s="1184"/>
      <c r="AQ20" s="1184"/>
    </row>
    <row r="21" spans="1:43" s="1771" customFormat="1" ht="17.25" hidden="1" customHeight="1">
      <c r="A21" s="240"/>
      <c r="C21" s="239"/>
      <c r="D21" s="8768"/>
      <c r="E21" s="8770"/>
      <c r="F21" s="8772"/>
      <c r="G21" s="8770"/>
      <c r="H21" s="8775"/>
      <c r="I21" s="8777"/>
      <c r="J21" s="8780"/>
      <c r="K21" s="8762"/>
      <c r="L21" s="1221"/>
      <c r="M21" s="1221"/>
      <c r="N21" s="1221"/>
      <c r="O21" s="1221"/>
      <c r="P21" s="1221"/>
      <c r="Q21" s="1221"/>
      <c r="R21" s="1221"/>
      <c r="S21" s="251"/>
      <c r="T21" s="251"/>
      <c r="U21" s="251"/>
      <c r="V21" s="251"/>
      <c r="W21" s="1222"/>
      <c r="X21" s="1184"/>
      <c r="Y21" s="1184"/>
      <c r="Z21" s="1184"/>
      <c r="AA21" s="1184"/>
      <c r="AB21" s="1184"/>
      <c r="AC21" s="1184"/>
      <c r="AD21" s="1184"/>
      <c r="AE21" s="1184"/>
      <c r="AF21" s="1184"/>
      <c r="AG21" s="1184"/>
      <c r="AH21" s="1184"/>
      <c r="AI21" s="1184"/>
      <c r="AJ21" s="1184"/>
      <c r="AK21" s="1184"/>
      <c r="AL21" s="1184"/>
      <c r="AM21" s="1184"/>
      <c r="AN21" s="1184"/>
      <c r="AO21" s="1184"/>
      <c r="AP21" s="1184"/>
      <c r="AQ21" s="1184"/>
    </row>
    <row r="22" spans="1:43" s="1771" customFormat="1" ht="17.25" hidden="1" customHeight="1">
      <c r="A22" s="240"/>
      <c r="C22" s="239"/>
      <c r="D22" s="8768"/>
      <c r="E22" s="8770"/>
      <c r="F22" s="8773"/>
      <c r="G22" s="8770"/>
      <c r="H22" s="1223"/>
      <c r="I22" s="1224"/>
      <c r="J22" s="1224"/>
      <c r="K22" s="1224"/>
      <c r="L22" s="1224"/>
      <c r="M22" s="1224"/>
      <c r="N22" s="1224"/>
      <c r="O22" s="1224"/>
      <c r="P22" s="1224"/>
      <c r="Q22" s="1224"/>
      <c r="R22" s="1224"/>
      <c r="S22" s="1225"/>
      <c r="T22" s="1225"/>
      <c r="U22" s="1225"/>
      <c r="V22" s="1225"/>
      <c r="W22" s="1226"/>
      <c r="X22" s="1184"/>
      <c r="Y22" s="1184"/>
      <c r="Z22" s="1184"/>
      <c r="AA22" s="1184"/>
      <c r="AB22" s="1184"/>
      <c r="AC22" s="1184"/>
      <c r="AD22" s="1184"/>
      <c r="AE22" s="1184"/>
      <c r="AF22" s="1184"/>
      <c r="AG22" s="1184"/>
      <c r="AH22" s="1184"/>
      <c r="AI22" s="1184"/>
      <c r="AJ22" s="1184"/>
      <c r="AK22" s="1184"/>
      <c r="AL22" s="1184"/>
      <c r="AM22" s="1184"/>
      <c r="AN22" s="1184"/>
      <c r="AO22" s="1184"/>
      <c r="AP22" s="1184"/>
      <c r="AQ22" s="1184"/>
    </row>
    <row r="23" spans="1:43" s="1771" customFormat="1" ht="17.25" hidden="1" customHeight="1">
      <c r="A23" s="240"/>
      <c r="C23" s="126"/>
      <c r="D23" s="8767">
        <v>3</v>
      </c>
      <c r="E23" s="8769" t="s">
        <v>248</v>
      </c>
      <c r="F23" s="8771" t="s">
        <v>53</v>
      </c>
      <c r="G23" s="8769"/>
      <c r="H23" s="8774"/>
      <c r="I23" s="8776"/>
      <c r="J23" s="8778"/>
      <c r="K23" s="8761"/>
      <c r="L23" s="8761"/>
      <c r="M23" s="8761"/>
      <c r="N23" s="8763"/>
      <c r="O23" s="8761"/>
      <c r="P23" s="8761"/>
      <c r="Q23" s="8761"/>
      <c r="R23" s="8766"/>
      <c r="S23" s="8761"/>
      <c r="T23" s="1340"/>
      <c r="U23" s="1340"/>
      <c r="V23" s="1339"/>
      <c r="W23" s="1220"/>
      <c r="X23" s="1191"/>
      <c r="Y23" s="1191"/>
      <c r="Z23" s="1191"/>
      <c r="AA23" s="1191"/>
      <c r="AB23" s="1191"/>
      <c r="AC23" s="1191" t="s">
        <v>249</v>
      </c>
      <c r="AD23" s="1191" t="s">
        <v>250</v>
      </c>
      <c r="AE23" s="1191" t="s">
        <v>251</v>
      </c>
      <c r="AF23" s="1191" t="s">
        <v>252</v>
      </c>
      <c r="AG23" s="1191" t="s">
        <v>253</v>
      </c>
      <c r="AH23" s="1191" t="str">
        <f>IF($E$23=0,"",$E$23)</f>
        <v>Тарифы на теплоноситель, поставляемый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2">
        <f>$I$23</f>
        <v>0</v>
      </c>
      <c r="AO23" s="1191" t="str">
        <f>$I$23&amp;"."&amp;$M$23</f>
        <v>.</v>
      </c>
      <c r="AP23" s="1184" t="str">
        <f>$I$23&amp;"."&amp;$M$23&amp;"."&amp;$Q$23</f>
        <v>..</v>
      </c>
      <c r="AQ23" s="1184" t="str">
        <f>$I$23&amp;"."&amp;$M$23&amp;"."&amp;$Q$23&amp;"."&amp;$U$23</f>
        <v>...</v>
      </c>
    </row>
    <row r="24" spans="1:43" s="1771" customFormat="1" ht="17.25" hidden="1" customHeight="1">
      <c r="A24" s="240"/>
      <c r="C24" s="239"/>
      <c r="D24" s="8767"/>
      <c r="E24" s="8769"/>
      <c r="F24" s="8772"/>
      <c r="G24" s="8769"/>
      <c r="H24" s="8775"/>
      <c r="I24" s="8777"/>
      <c r="J24" s="8779"/>
      <c r="K24" s="8762"/>
      <c r="L24" s="8762"/>
      <c r="M24" s="8762"/>
      <c r="N24" s="8764"/>
      <c r="O24" s="8762"/>
      <c r="P24" s="8762"/>
      <c r="Q24" s="8762"/>
      <c r="R24" s="8765"/>
      <c r="S24" s="8762"/>
      <c r="T24" s="1221"/>
      <c r="U24" s="1221"/>
      <c r="V24" s="1221"/>
      <c r="W24" s="1222"/>
      <c r="X24" s="1184"/>
      <c r="Y24" s="1184"/>
      <c r="Z24" s="1184"/>
      <c r="AA24" s="1184"/>
      <c r="AB24" s="1184"/>
      <c r="AC24" s="1184"/>
      <c r="AD24" s="1184"/>
      <c r="AE24" s="1184"/>
      <c r="AF24" s="1184"/>
      <c r="AG24" s="1184"/>
      <c r="AH24" s="1184"/>
      <c r="AI24" s="1184"/>
      <c r="AJ24" s="1184"/>
      <c r="AK24" s="1184"/>
      <c r="AL24" s="1184"/>
      <c r="AM24" s="1184"/>
      <c r="AN24" s="1184"/>
      <c r="AO24" s="1184"/>
      <c r="AP24" s="1184"/>
      <c r="AQ24" s="1184"/>
    </row>
    <row r="25" spans="1:43" s="1771" customFormat="1" ht="17.25" hidden="1" customHeight="1">
      <c r="A25" s="240"/>
      <c r="C25" s="239"/>
      <c r="D25" s="8768"/>
      <c r="E25" s="8770"/>
      <c r="F25" s="8772"/>
      <c r="G25" s="8770"/>
      <c r="H25" s="8775"/>
      <c r="I25" s="8777"/>
      <c r="J25" s="8780"/>
      <c r="K25" s="8762"/>
      <c r="L25" s="8762"/>
      <c r="M25" s="8762"/>
      <c r="N25" s="8765"/>
      <c r="O25" s="8762"/>
      <c r="P25" s="1338"/>
      <c r="Q25" s="1221"/>
      <c r="R25" s="1221"/>
      <c r="S25" s="251"/>
      <c r="T25" s="251"/>
      <c r="U25" s="251"/>
      <c r="V25" s="251"/>
      <c r="W25" s="1222"/>
      <c r="X25" s="1184"/>
      <c r="Y25" s="1184"/>
      <c r="Z25" s="1184"/>
      <c r="AA25" s="1184"/>
      <c r="AB25" s="1184"/>
      <c r="AC25" s="1184"/>
      <c r="AD25" s="1184"/>
      <c r="AE25" s="1184"/>
      <c r="AF25" s="1184"/>
      <c r="AG25" s="1184"/>
      <c r="AH25" s="1184"/>
      <c r="AI25" s="1184"/>
      <c r="AJ25" s="1184"/>
      <c r="AK25" s="1184"/>
      <c r="AL25" s="1184"/>
      <c r="AM25" s="1184"/>
      <c r="AN25" s="1184"/>
      <c r="AO25" s="1184"/>
      <c r="AP25" s="1184"/>
      <c r="AQ25" s="1184"/>
    </row>
    <row r="26" spans="1:43" s="1771" customFormat="1" ht="17.25" hidden="1" customHeight="1">
      <c r="A26" s="240"/>
      <c r="C26" s="239"/>
      <c r="D26" s="8768"/>
      <c r="E26" s="8770"/>
      <c r="F26" s="8772"/>
      <c r="G26" s="8770"/>
      <c r="H26" s="8775"/>
      <c r="I26" s="8777"/>
      <c r="J26" s="8780"/>
      <c r="K26" s="8762"/>
      <c r="L26" s="1221"/>
      <c r="M26" s="1221"/>
      <c r="N26" s="1221"/>
      <c r="O26" s="1221"/>
      <c r="P26" s="1221"/>
      <c r="Q26" s="1221"/>
      <c r="R26" s="1221"/>
      <c r="S26" s="251"/>
      <c r="T26" s="251"/>
      <c r="U26" s="251"/>
      <c r="V26" s="251"/>
      <c r="W26" s="1222"/>
      <c r="X26" s="1184"/>
      <c r="Y26" s="1184"/>
      <c r="Z26" s="1184"/>
      <c r="AA26" s="1184"/>
      <c r="AB26" s="1184"/>
      <c r="AC26" s="1184"/>
      <c r="AD26" s="1184"/>
      <c r="AE26" s="1184"/>
      <c r="AF26" s="1184"/>
      <c r="AG26" s="1184"/>
      <c r="AH26" s="1184"/>
      <c r="AI26" s="1184"/>
      <c r="AJ26" s="1184"/>
      <c r="AK26" s="1184"/>
      <c r="AL26" s="1184"/>
      <c r="AM26" s="1184"/>
      <c r="AN26" s="1184"/>
      <c r="AO26" s="1184"/>
      <c r="AP26" s="1184"/>
      <c r="AQ26" s="1184"/>
    </row>
    <row r="27" spans="1:43" s="1771" customFormat="1" ht="17.25" hidden="1" customHeight="1">
      <c r="A27" s="240"/>
      <c r="C27" s="239"/>
      <c r="D27" s="8768"/>
      <c r="E27" s="8770"/>
      <c r="F27" s="8773"/>
      <c r="G27" s="8770"/>
      <c r="H27" s="1223"/>
      <c r="I27" s="1224"/>
      <c r="J27" s="1224"/>
      <c r="K27" s="1224"/>
      <c r="L27" s="1224"/>
      <c r="M27" s="1224"/>
      <c r="N27" s="1224"/>
      <c r="O27" s="1224"/>
      <c r="P27" s="1224"/>
      <c r="Q27" s="1224"/>
      <c r="R27" s="1224"/>
      <c r="S27" s="1225"/>
      <c r="T27" s="1225"/>
      <c r="U27" s="1225"/>
      <c r="V27" s="1225"/>
      <c r="W27" s="1226"/>
      <c r="X27" s="1184"/>
      <c r="Y27" s="1184"/>
      <c r="Z27" s="1184"/>
      <c r="AA27" s="1184"/>
      <c r="AB27" s="1184"/>
      <c r="AC27" s="1184"/>
      <c r="AD27" s="1184"/>
      <c r="AE27" s="1184"/>
      <c r="AF27" s="1184"/>
      <c r="AG27" s="1184"/>
      <c r="AH27" s="1184"/>
      <c r="AI27" s="1184"/>
      <c r="AJ27" s="1184"/>
      <c r="AK27" s="1184"/>
      <c r="AL27" s="1184"/>
      <c r="AM27" s="1184"/>
      <c r="AN27" s="1184"/>
      <c r="AO27" s="1184"/>
      <c r="AP27" s="1184"/>
      <c r="AQ27" s="1184"/>
    </row>
    <row r="28" spans="1:43" s="1771" customFormat="1" ht="17.25" hidden="1" customHeight="1">
      <c r="A28" s="240"/>
      <c r="C28" s="126"/>
      <c r="D28" s="8767">
        <v>4</v>
      </c>
      <c r="E28" s="8769" t="s">
        <v>254</v>
      </c>
      <c r="F28" s="8771" t="s">
        <v>53</v>
      </c>
      <c r="G28" s="8769"/>
      <c r="H28" s="8774"/>
      <c r="I28" s="8776"/>
      <c r="J28" s="8778"/>
      <c r="K28" s="8761"/>
      <c r="L28" s="8761"/>
      <c r="M28" s="8761"/>
      <c r="N28" s="8763"/>
      <c r="O28" s="8761"/>
      <c r="P28" s="8761"/>
      <c r="Q28" s="8761"/>
      <c r="R28" s="8766"/>
      <c r="S28" s="8761"/>
      <c r="T28" s="1340"/>
      <c r="U28" s="1340"/>
      <c r="V28" s="1339"/>
      <c r="W28" s="1220"/>
      <c r="X28" s="1191"/>
      <c r="Y28" s="1191"/>
      <c r="Z28" s="1191"/>
      <c r="AA28" s="1191"/>
      <c r="AB28" s="1191"/>
      <c r="AC28" s="1191" t="s">
        <v>255</v>
      </c>
      <c r="AD28" s="1191" t="s">
        <v>256</v>
      </c>
      <c r="AE28" s="1191" t="s">
        <v>257</v>
      </c>
      <c r="AF28" s="1191" t="s">
        <v>258</v>
      </c>
      <c r="AG28" s="1191" t="s">
        <v>259</v>
      </c>
      <c r="AH28" s="1191"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2">
        <f>$I$28</f>
        <v>0</v>
      </c>
      <c r="AO28" s="1191" t="str">
        <f>$I$28&amp;"."&amp;$M$28</f>
        <v>.</v>
      </c>
      <c r="AP28" s="1184" t="str">
        <f>$I$28&amp;"."&amp;$M$28&amp;"."&amp;$Q$28</f>
        <v>..</v>
      </c>
      <c r="AQ28" s="1184" t="str">
        <f>$I$28&amp;"."&amp;$M$28&amp;"."&amp;$Q$28&amp;"."&amp;$U$28</f>
        <v>...</v>
      </c>
    </row>
    <row r="29" spans="1:43" s="1771" customFormat="1" ht="17.25" hidden="1" customHeight="1">
      <c r="A29" s="240"/>
      <c r="C29" s="239"/>
      <c r="D29" s="8767"/>
      <c r="E29" s="8769"/>
      <c r="F29" s="8772"/>
      <c r="G29" s="8769"/>
      <c r="H29" s="8775"/>
      <c r="I29" s="8777"/>
      <c r="J29" s="8779"/>
      <c r="K29" s="8762"/>
      <c r="L29" s="8762"/>
      <c r="M29" s="8762"/>
      <c r="N29" s="8764"/>
      <c r="O29" s="8762"/>
      <c r="P29" s="8762"/>
      <c r="Q29" s="8762"/>
      <c r="R29" s="8765"/>
      <c r="S29" s="8762"/>
      <c r="T29" s="1221"/>
      <c r="U29" s="1221"/>
      <c r="V29" s="1221"/>
      <c r="W29" s="1222"/>
      <c r="X29" s="1184"/>
      <c r="Y29" s="1184"/>
      <c r="Z29" s="1184"/>
      <c r="AA29" s="1184"/>
      <c r="AB29" s="1184"/>
      <c r="AC29" s="1184"/>
      <c r="AD29" s="1184"/>
      <c r="AE29" s="1184"/>
      <c r="AF29" s="1184"/>
      <c r="AG29" s="1184"/>
      <c r="AH29" s="1184"/>
      <c r="AI29" s="1184"/>
      <c r="AJ29" s="1184"/>
      <c r="AK29" s="1184"/>
      <c r="AL29" s="1184"/>
      <c r="AM29" s="1184"/>
      <c r="AN29" s="1184"/>
      <c r="AO29" s="1184"/>
      <c r="AP29" s="1184"/>
      <c r="AQ29" s="1184"/>
    </row>
    <row r="30" spans="1:43" s="1771" customFormat="1" ht="17.25" hidden="1" customHeight="1">
      <c r="A30" s="240"/>
      <c r="C30" s="239"/>
      <c r="D30" s="8768"/>
      <c r="E30" s="8770"/>
      <c r="F30" s="8772"/>
      <c r="G30" s="8770"/>
      <c r="H30" s="8775"/>
      <c r="I30" s="8777"/>
      <c r="J30" s="8780"/>
      <c r="K30" s="8762"/>
      <c r="L30" s="8762"/>
      <c r="M30" s="8762"/>
      <c r="N30" s="8765"/>
      <c r="O30" s="8762"/>
      <c r="P30" s="1338"/>
      <c r="Q30" s="1221"/>
      <c r="R30" s="1221"/>
      <c r="S30" s="251"/>
      <c r="T30" s="251"/>
      <c r="U30" s="251"/>
      <c r="V30" s="251"/>
      <c r="W30" s="1222"/>
      <c r="X30" s="1184"/>
      <c r="Y30" s="1184"/>
      <c r="Z30" s="1184"/>
      <c r="AA30" s="1184"/>
      <c r="AB30" s="1184"/>
      <c r="AC30" s="1184"/>
      <c r="AD30" s="1184"/>
      <c r="AE30" s="1184"/>
      <c r="AF30" s="1184"/>
      <c r="AG30" s="1184"/>
      <c r="AH30" s="1184"/>
      <c r="AI30" s="1184"/>
      <c r="AJ30" s="1184"/>
      <c r="AK30" s="1184"/>
      <c r="AL30" s="1184"/>
      <c r="AM30" s="1184"/>
      <c r="AN30" s="1184"/>
      <c r="AO30" s="1184"/>
      <c r="AP30" s="1184"/>
      <c r="AQ30" s="1184"/>
    </row>
    <row r="31" spans="1:43" s="1771" customFormat="1" ht="17.25" hidden="1" customHeight="1">
      <c r="A31" s="240"/>
      <c r="C31" s="239"/>
      <c r="D31" s="8768"/>
      <c r="E31" s="8770"/>
      <c r="F31" s="8772"/>
      <c r="G31" s="8770"/>
      <c r="H31" s="8775"/>
      <c r="I31" s="8777"/>
      <c r="J31" s="8780"/>
      <c r="K31" s="8762"/>
      <c r="L31" s="1221"/>
      <c r="M31" s="1221"/>
      <c r="N31" s="1221"/>
      <c r="O31" s="1221"/>
      <c r="P31" s="1221"/>
      <c r="Q31" s="1221"/>
      <c r="R31" s="1221"/>
      <c r="S31" s="251"/>
      <c r="T31" s="251"/>
      <c r="U31" s="251"/>
      <c r="V31" s="251"/>
      <c r="W31" s="1222"/>
      <c r="X31" s="1184"/>
      <c r="Y31" s="1184"/>
      <c r="Z31" s="1184"/>
      <c r="AA31" s="1184"/>
      <c r="AB31" s="1184"/>
      <c r="AC31" s="1184"/>
      <c r="AD31" s="1184"/>
      <c r="AE31" s="1184"/>
      <c r="AF31" s="1184"/>
      <c r="AG31" s="1184"/>
      <c r="AH31" s="1184"/>
      <c r="AI31" s="1184"/>
      <c r="AJ31" s="1184"/>
      <c r="AK31" s="1184"/>
      <c r="AL31" s="1184"/>
      <c r="AM31" s="1184"/>
      <c r="AN31" s="1184"/>
      <c r="AO31" s="1184"/>
      <c r="AP31" s="1184"/>
      <c r="AQ31" s="1184"/>
    </row>
    <row r="32" spans="1:43" s="1771" customFormat="1" ht="17.25" hidden="1" customHeight="1">
      <c r="A32" s="240"/>
      <c r="C32" s="239"/>
      <c r="D32" s="8768"/>
      <c r="E32" s="8770"/>
      <c r="F32" s="8773"/>
      <c r="G32" s="8770"/>
      <c r="H32" s="1223"/>
      <c r="I32" s="1224"/>
      <c r="J32" s="1224"/>
      <c r="K32" s="1224"/>
      <c r="L32" s="1224"/>
      <c r="M32" s="1224"/>
      <c r="N32" s="1224"/>
      <c r="O32" s="1224"/>
      <c r="P32" s="1224"/>
      <c r="Q32" s="1224"/>
      <c r="R32" s="1224"/>
      <c r="S32" s="1225"/>
      <c r="T32" s="1225"/>
      <c r="U32" s="1225"/>
      <c r="V32" s="1225"/>
      <c r="W32" s="1226"/>
      <c r="X32" s="1184"/>
      <c r="Y32" s="1184"/>
      <c r="Z32" s="1184"/>
      <c r="AA32" s="1184"/>
      <c r="AB32" s="1184"/>
      <c r="AC32" s="1184"/>
      <c r="AD32" s="1184"/>
      <c r="AE32" s="1184"/>
      <c r="AF32" s="1184"/>
      <c r="AG32" s="1184"/>
      <c r="AH32" s="1184"/>
      <c r="AI32" s="1184"/>
      <c r="AJ32" s="1184"/>
      <c r="AK32" s="1184"/>
      <c r="AL32" s="1184"/>
      <c r="AM32" s="1184"/>
      <c r="AN32" s="1184"/>
      <c r="AO32" s="1184"/>
      <c r="AP32" s="1184"/>
      <c r="AQ32" s="1184"/>
    </row>
    <row r="33" spans="1:43" s="1771" customFormat="1" ht="17.25" hidden="1" customHeight="1">
      <c r="A33" s="240"/>
      <c r="C33" s="126"/>
      <c r="D33" s="8767">
        <v>5</v>
      </c>
      <c r="E33" s="8769" t="s">
        <v>260</v>
      </c>
      <c r="F33" s="8771" t="s">
        <v>53</v>
      </c>
      <c r="G33" s="8769"/>
      <c r="H33" s="8774"/>
      <c r="I33" s="8776"/>
      <c r="J33" s="8778"/>
      <c r="K33" s="8761"/>
      <c r="L33" s="8761"/>
      <c r="M33" s="8761"/>
      <c r="N33" s="8763"/>
      <c r="O33" s="8761"/>
      <c r="P33" s="8761"/>
      <c r="Q33" s="8761"/>
      <c r="R33" s="8766"/>
      <c r="S33" s="8761"/>
      <c r="T33" s="1340"/>
      <c r="U33" s="1340"/>
      <c r="V33" s="1339"/>
      <c r="W33" s="1220"/>
      <c r="X33" s="1191"/>
      <c r="Y33" s="1191"/>
      <c r="Z33" s="1191"/>
      <c r="AA33" s="1191"/>
      <c r="AB33" s="1191"/>
      <c r="AC33" s="1191" t="s">
        <v>261</v>
      </c>
      <c r="AD33" s="1191" t="s">
        <v>262</v>
      </c>
      <c r="AE33" s="1191" t="s">
        <v>263</v>
      </c>
      <c r="AF33" s="1191" t="s">
        <v>264</v>
      </c>
      <c r="AG33" s="1191" t="s">
        <v>265</v>
      </c>
      <c r="AH33" s="1191" t="str">
        <f>IF($E$33=0,"",$E$33)</f>
        <v>Тарифы на услуги по передаче тепловой энергии</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2">
        <f>$I$33</f>
        <v>0</v>
      </c>
      <c r="AO33" s="1191" t="str">
        <f>$I$33&amp;"."&amp;$M$33</f>
        <v>.</v>
      </c>
      <c r="AP33" s="1184" t="str">
        <f>$I$33&amp;"."&amp;$M$33&amp;"."&amp;$Q$33</f>
        <v>..</v>
      </c>
      <c r="AQ33" s="1184" t="str">
        <f>$I$33&amp;"."&amp;$M$33&amp;"."&amp;$Q$33&amp;"."&amp;$U$33</f>
        <v>...</v>
      </c>
    </row>
    <row r="34" spans="1:43" s="1771" customFormat="1" ht="17.25" hidden="1" customHeight="1">
      <c r="A34" s="240"/>
      <c r="C34" s="239"/>
      <c r="D34" s="8767"/>
      <c r="E34" s="8769"/>
      <c r="F34" s="8772"/>
      <c r="G34" s="8769"/>
      <c r="H34" s="8775"/>
      <c r="I34" s="8777"/>
      <c r="J34" s="8779"/>
      <c r="K34" s="8762"/>
      <c r="L34" s="8762"/>
      <c r="M34" s="8762"/>
      <c r="N34" s="8764"/>
      <c r="O34" s="8762"/>
      <c r="P34" s="8762"/>
      <c r="Q34" s="8762"/>
      <c r="R34" s="8765"/>
      <c r="S34" s="8762"/>
      <c r="T34" s="1221"/>
      <c r="U34" s="1221"/>
      <c r="V34" s="1221"/>
      <c r="W34" s="1222"/>
      <c r="X34" s="1184"/>
      <c r="Y34" s="1184"/>
      <c r="Z34" s="1184"/>
      <c r="AA34" s="1184"/>
      <c r="AB34" s="1184"/>
      <c r="AC34" s="1184"/>
      <c r="AD34" s="1184"/>
      <c r="AE34" s="1184"/>
      <c r="AF34" s="1184"/>
      <c r="AG34" s="1184"/>
      <c r="AH34" s="1184"/>
      <c r="AI34" s="1184"/>
      <c r="AJ34" s="1184"/>
      <c r="AK34" s="1184"/>
      <c r="AL34" s="1184"/>
      <c r="AM34" s="1184"/>
      <c r="AN34" s="1184"/>
      <c r="AO34" s="1184"/>
      <c r="AP34" s="1184"/>
      <c r="AQ34" s="1184"/>
    </row>
    <row r="35" spans="1:43" s="1771" customFormat="1" ht="17.25" hidden="1" customHeight="1">
      <c r="A35" s="240"/>
      <c r="C35" s="239"/>
      <c r="D35" s="8768"/>
      <c r="E35" s="8770"/>
      <c r="F35" s="8772"/>
      <c r="G35" s="8770"/>
      <c r="H35" s="8775"/>
      <c r="I35" s="8777"/>
      <c r="J35" s="8780"/>
      <c r="K35" s="8762"/>
      <c r="L35" s="8762"/>
      <c r="M35" s="8762"/>
      <c r="N35" s="8765"/>
      <c r="O35" s="8762"/>
      <c r="P35" s="1338"/>
      <c r="Q35" s="1221"/>
      <c r="R35" s="1221"/>
      <c r="S35" s="251"/>
      <c r="T35" s="251"/>
      <c r="U35" s="251"/>
      <c r="V35" s="251"/>
      <c r="W35" s="1222"/>
      <c r="X35" s="1184"/>
      <c r="Y35" s="1184"/>
      <c r="Z35" s="1184"/>
      <c r="AA35" s="1184"/>
      <c r="AB35" s="1184"/>
      <c r="AC35" s="1184"/>
      <c r="AD35" s="1184"/>
      <c r="AE35" s="1184"/>
      <c r="AF35" s="1184"/>
      <c r="AG35" s="1184"/>
      <c r="AH35" s="1184"/>
      <c r="AI35" s="1184"/>
      <c r="AJ35" s="1184"/>
      <c r="AK35" s="1184"/>
      <c r="AL35" s="1184"/>
      <c r="AM35" s="1184"/>
      <c r="AN35" s="1184"/>
      <c r="AO35" s="1184"/>
      <c r="AP35" s="1184"/>
      <c r="AQ35" s="1184"/>
    </row>
    <row r="36" spans="1:43" s="1771" customFormat="1" ht="17.25" hidden="1" customHeight="1">
      <c r="A36" s="240"/>
      <c r="C36" s="239"/>
      <c r="D36" s="8768"/>
      <c r="E36" s="8770"/>
      <c r="F36" s="8772"/>
      <c r="G36" s="8770"/>
      <c r="H36" s="8775"/>
      <c r="I36" s="8777"/>
      <c r="J36" s="8780"/>
      <c r="K36" s="8762"/>
      <c r="L36" s="1221"/>
      <c r="M36" s="1221"/>
      <c r="N36" s="1221"/>
      <c r="O36" s="1221"/>
      <c r="P36" s="1221"/>
      <c r="Q36" s="1221"/>
      <c r="R36" s="1221"/>
      <c r="S36" s="251"/>
      <c r="T36" s="251"/>
      <c r="U36" s="251"/>
      <c r="V36" s="251"/>
      <c r="W36" s="1222"/>
      <c r="X36" s="1184"/>
      <c r="Y36" s="1184"/>
      <c r="Z36" s="1184"/>
      <c r="AA36" s="1184"/>
      <c r="AB36" s="1184"/>
      <c r="AC36" s="1184"/>
      <c r="AD36" s="1184"/>
      <c r="AE36" s="1184"/>
      <c r="AF36" s="1184"/>
      <c r="AG36" s="1184"/>
      <c r="AH36" s="1184"/>
      <c r="AI36" s="1184"/>
      <c r="AJ36" s="1184"/>
      <c r="AK36" s="1184"/>
      <c r="AL36" s="1184"/>
      <c r="AM36" s="1184"/>
      <c r="AN36" s="1184"/>
      <c r="AO36" s="1184"/>
      <c r="AP36" s="1184"/>
      <c r="AQ36" s="1184"/>
    </row>
    <row r="37" spans="1:43" s="1771" customFormat="1" ht="17.25" hidden="1" customHeight="1">
      <c r="A37" s="240"/>
      <c r="C37" s="239"/>
      <c r="D37" s="8768"/>
      <c r="E37" s="8770"/>
      <c r="F37" s="8773"/>
      <c r="G37" s="8770"/>
      <c r="H37" s="1223"/>
      <c r="I37" s="1224"/>
      <c r="J37" s="1224"/>
      <c r="K37" s="1224"/>
      <c r="L37" s="1224"/>
      <c r="M37" s="1224"/>
      <c r="N37" s="1224"/>
      <c r="O37" s="1224"/>
      <c r="P37" s="1224"/>
      <c r="Q37" s="1224"/>
      <c r="R37" s="1224"/>
      <c r="S37" s="1225"/>
      <c r="T37" s="1225"/>
      <c r="U37" s="1225"/>
      <c r="V37" s="1225"/>
      <c r="W37" s="1226"/>
      <c r="X37" s="1184"/>
      <c r="Y37" s="1184"/>
      <c r="Z37" s="1184"/>
      <c r="AA37" s="1184"/>
      <c r="AB37" s="1184"/>
      <c r="AC37" s="1184"/>
      <c r="AD37" s="1184"/>
      <c r="AE37" s="1184"/>
      <c r="AF37" s="1184"/>
      <c r="AG37" s="1184"/>
      <c r="AH37" s="1184"/>
      <c r="AI37" s="1184"/>
      <c r="AJ37" s="1184"/>
      <c r="AK37" s="1184"/>
      <c r="AL37" s="1184"/>
      <c r="AM37" s="1184"/>
      <c r="AN37" s="1184"/>
      <c r="AO37" s="1184"/>
      <c r="AP37" s="1184"/>
      <c r="AQ37" s="1184"/>
    </row>
    <row r="38" spans="1:43" s="1771" customFormat="1" ht="17.25" hidden="1" customHeight="1">
      <c r="A38" s="240"/>
      <c r="C38" s="126"/>
      <c r="D38" s="8767">
        <v>6</v>
      </c>
      <c r="E38" s="8769" t="s">
        <v>266</v>
      </c>
      <c r="F38" s="8771" t="s">
        <v>53</v>
      </c>
      <c r="G38" s="8769"/>
      <c r="H38" s="8774"/>
      <c r="I38" s="8776"/>
      <c r="J38" s="8778"/>
      <c r="K38" s="8761"/>
      <c r="L38" s="8761"/>
      <c r="M38" s="8761"/>
      <c r="N38" s="8763"/>
      <c r="O38" s="8761"/>
      <c r="P38" s="8761"/>
      <c r="Q38" s="8761"/>
      <c r="R38" s="8766"/>
      <c r="S38" s="8761"/>
      <c r="T38" s="1340"/>
      <c r="U38" s="1340"/>
      <c r="V38" s="1339"/>
      <c r="W38" s="1220"/>
      <c r="X38" s="1191"/>
      <c r="Y38" s="1191"/>
      <c r="Z38" s="1191"/>
      <c r="AA38" s="1191"/>
      <c r="AB38" s="1191"/>
      <c r="AC38" s="1191" t="s">
        <v>267</v>
      </c>
      <c r="AD38" s="1191" t="s">
        <v>268</v>
      </c>
      <c r="AE38" s="1191" t="s">
        <v>269</v>
      </c>
      <c r="AF38" s="1191" t="s">
        <v>270</v>
      </c>
      <c r="AG38" s="1191" t="s">
        <v>271</v>
      </c>
      <c r="AH38" s="1191" t="str">
        <f>IF($E$38=0,"",$E$38)</f>
        <v>Тарифы на услуги по передаче теплоносителя</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2">
        <f>$I$38</f>
        <v>0</v>
      </c>
      <c r="AO38" s="1191" t="str">
        <f>$I$38&amp;"."&amp;$M$38</f>
        <v>.</v>
      </c>
      <c r="AP38" s="1184" t="str">
        <f>$I$38&amp;"."&amp;$M$38&amp;"."&amp;$Q$38</f>
        <v>..</v>
      </c>
      <c r="AQ38" s="1184" t="str">
        <f>$I$38&amp;"."&amp;$M$38&amp;"."&amp;$Q$38&amp;"."&amp;$U$38</f>
        <v>...</v>
      </c>
    </row>
    <row r="39" spans="1:43" s="1771" customFormat="1" ht="17.25" hidden="1" customHeight="1">
      <c r="A39" s="240"/>
      <c r="C39" s="239"/>
      <c r="D39" s="8767"/>
      <c r="E39" s="8769"/>
      <c r="F39" s="8772"/>
      <c r="G39" s="8769"/>
      <c r="H39" s="8775"/>
      <c r="I39" s="8777"/>
      <c r="J39" s="8779"/>
      <c r="K39" s="8762"/>
      <c r="L39" s="8762"/>
      <c r="M39" s="8762"/>
      <c r="N39" s="8764"/>
      <c r="O39" s="8762"/>
      <c r="P39" s="8762"/>
      <c r="Q39" s="8762"/>
      <c r="R39" s="8765"/>
      <c r="S39" s="8762"/>
      <c r="T39" s="1221"/>
      <c r="U39" s="1221"/>
      <c r="V39" s="1221"/>
      <c r="W39" s="1222"/>
      <c r="X39" s="1184"/>
      <c r="Y39" s="1184"/>
      <c r="Z39" s="1184"/>
      <c r="AA39" s="1184"/>
      <c r="AB39" s="1184"/>
      <c r="AC39" s="1184"/>
      <c r="AD39" s="1184"/>
      <c r="AE39" s="1184"/>
      <c r="AF39" s="1184"/>
      <c r="AG39" s="1184"/>
      <c r="AH39" s="1184"/>
      <c r="AI39" s="1184"/>
      <c r="AJ39" s="1184"/>
      <c r="AK39" s="1184"/>
      <c r="AL39" s="1184"/>
      <c r="AM39" s="1184"/>
      <c r="AN39" s="1184"/>
      <c r="AO39" s="1184"/>
      <c r="AP39" s="1184"/>
      <c r="AQ39" s="1184"/>
    </row>
    <row r="40" spans="1:43" s="1771" customFormat="1" ht="17.25" hidden="1" customHeight="1">
      <c r="A40" s="240"/>
      <c r="C40" s="239"/>
      <c r="D40" s="8768"/>
      <c r="E40" s="8770"/>
      <c r="F40" s="8772"/>
      <c r="G40" s="8770"/>
      <c r="H40" s="8775"/>
      <c r="I40" s="8777"/>
      <c r="J40" s="8780"/>
      <c r="K40" s="8762"/>
      <c r="L40" s="8762"/>
      <c r="M40" s="8762"/>
      <c r="N40" s="8765"/>
      <c r="O40" s="8762"/>
      <c r="P40" s="1338"/>
      <c r="Q40" s="1221"/>
      <c r="R40" s="1221"/>
      <c r="S40" s="251"/>
      <c r="T40" s="251"/>
      <c r="U40" s="251"/>
      <c r="V40" s="251"/>
      <c r="W40" s="1222"/>
      <c r="X40" s="1184"/>
      <c r="Y40" s="1184"/>
      <c r="Z40" s="1184"/>
      <c r="AA40" s="1184"/>
      <c r="AB40" s="1184"/>
      <c r="AC40" s="1184"/>
      <c r="AD40" s="1184"/>
      <c r="AE40" s="1184"/>
      <c r="AF40" s="1184"/>
      <c r="AG40" s="1184"/>
      <c r="AH40" s="1184"/>
      <c r="AI40" s="1184"/>
      <c r="AJ40" s="1184"/>
      <c r="AK40" s="1184"/>
      <c r="AL40" s="1184"/>
      <c r="AM40" s="1184"/>
      <c r="AN40" s="1184"/>
      <c r="AO40" s="1184"/>
      <c r="AP40" s="1184"/>
      <c r="AQ40" s="1184"/>
    </row>
    <row r="41" spans="1:43" s="1771" customFormat="1" ht="17.25" hidden="1" customHeight="1">
      <c r="A41" s="240"/>
      <c r="C41" s="126"/>
      <c r="D41" s="8768"/>
      <c r="E41" s="8770"/>
      <c r="F41" s="8772"/>
      <c r="G41" s="8770"/>
      <c r="H41" s="8775"/>
      <c r="I41" s="8777"/>
      <c r="J41" s="8780"/>
      <c r="K41" s="8762"/>
      <c r="L41" s="1221"/>
      <c r="M41" s="1221"/>
      <c r="N41" s="1221"/>
      <c r="O41" s="1221"/>
      <c r="P41" s="1221"/>
      <c r="Q41" s="1221"/>
      <c r="R41" s="1221"/>
      <c r="S41" s="251"/>
      <c r="T41" s="251"/>
      <c r="U41" s="251"/>
      <c r="V41" s="251"/>
      <c r="W41" s="1222"/>
      <c r="Y41" s="1191"/>
      <c r="Z41" s="1191"/>
      <c r="AA41" s="1191"/>
      <c r="AB41" s="1191"/>
      <c r="AC41" s="1191"/>
      <c r="AD41" s="1191"/>
      <c r="AE41" s="1191"/>
      <c r="AF41" s="1191"/>
      <c r="AG41" s="1191"/>
      <c r="AH41" s="1191"/>
      <c r="AI41" s="1191"/>
      <c r="AJ41" s="1191"/>
      <c r="AK41" s="1191"/>
      <c r="AL41" s="1191"/>
      <c r="AM41" s="1191"/>
      <c r="AN41" s="1191"/>
      <c r="AO41" s="1191"/>
      <c r="AP41" s="1191"/>
      <c r="AQ41" s="1191"/>
    </row>
    <row r="42" spans="1:43" s="1771" customFormat="1" ht="17.25" hidden="1" customHeight="1">
      <c r="A42" s="240"/>
      <c r="C42" s="239"/>
      <c r="D42" s="8768"/>
      <c r="E42" s="8770"/>
      <c r="F42" s="8773"/>
      <c r="G42" s="8770"/>
      <c r="H42" s="1223"/>
      <c r="I42" s="1224"/>
      <c r="J42" s="1224"/>
      <c r="K42" s="1224"/>
      <c r="L42" s="1224"/>
      <c r="M42" s="1224"/>
      <c r="N42" s="1224"/>
      <c r="O42" s="1224"/>
      <c r="P42" s="1224"/>
      <c r="Q42" s="1224"/>
      <c r="R42" s="1224"/>
      <c r="S42" s="1225"/>
      <c r="T42" s="1225"/>
      <c r="U42" s="1225"/>
      <c r="V42" s="1225"/>
      <c r="W42" s="1226"/>
      <c r="X42" s="1184"/>
      <c r="Y42" s="1184"/>
      <c r="Z42" s="1184"/>
      <c r="AA42" s="1184"/>
      <c r="AB42" s="1184"/>
      <c r="AC42" s="1184"/>
      <c r="AD42" s="1184"/>
      <c r="AE42" s="1184"/>
      <c r="AF42" s="1184"/>
      <c r="AG42" s="1184"/>
      <c r="AH42" s="1184"/>
      <c r="AI42" s="1184"/>
      <c r="AJ42" s="1184"/>
      <c r="AK42" s="1184"/>
      <c r="AL42" s="1184"/>
      <c r="AM42" s="1184"/>
      <c r="AN42" s="1184"/>
      <c r="AO42" s="1184"/>
      <c r="AP42" s="1184"/>
      <c r="AQ42" s="1184"/>
    </row>
    <row r="43" spans="1:43" s="1771" customFormat="1" ht="17.25" hidden="1" customHeight="1">
      <c r="A43" s="240"/>
      <c r="C43" s="126"/>
      <c r="D43" s="8795">
        <v>7</v>
      </c>
      <c r="E43" s="8798" t="s">
        <v>272</v>
      </c>
      <c r="F43" s="8771" t="s">
        <v>53</v>
      </c>
      <c r="G43" s="8798"/>
      <c r="H43" s="8774"/>
      <c r="I43" s="8776"/>
      <c r="J43" s="8778"/>
      <c r="K43" s="8761"/>
      <c r="L43" s="8761"/>
      <c r="M43" s="8761"/>
      <c r="N43" s="8763"/>
      <c r="O43" s="8761"/>
      <c r="P43" s="8761"/>
      <c r="Q43" s="8761"/>
      <c r="R43" s="8766"/>
      <c r="S43" s="8761"/>
      <c r="T43" s="1340"/>
      <c r="U43" s="1340"/>
      <c r="V43" s="1339"/>
      <c r="W43" s="1220"/>
      <c r="X43" s="1191"/>
      <c r="Y43" s="1191"/>
      <c r="Z43" s="1191"/>
      <c r="AA43" s="1191"/>
      <c r="AB43" s="1191"/>
      <c r="AC43" s="1191" t="s">
        <v>273</v>
      </c>
      <c r="AD43" s="1191" t="s">
        <v>274</v>
      </c>
      <c r="AE43" s="1191" t="s">
        <v>275</v>
      </c>
      <c r="AF43" s="1191" t="s">
        <v>276</v>
      </c>
      <c r="AG43" s="1191" t="s">
        <v>277</v>
      </c>
      <c r="AH43" s="1191" t="str">
        <f>IF($E$43=0,"",$E$43)</f>
        <v>Плата за услуги по поддержанию резервной тепловой мощности при отсутствии потребления тепловой энергии</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2">
        <f>$I$43</f>
        <v>0</v>
      </c>
      <c r="AO43" s="1191" t="str">
        <f>$I$43&amp;"."&amp;$M$43</f>
        <v>.</v>
      </c>
      <c r="AP43" s="1184" t="str">
        <f>$I$43&amp;"."&amp;$M$43&amp;"."&amp;$Q$43</f>
        <v>..</v>
      </c>
      <c r="AQ43" s="1184" t="str">
        <f>$I$43&amp;"."&amp;$M$43&amp;"."&amp;$Q$43&amp;"."&amp;$U$43</f>
        <v>...</v>
      </c>
    </row>
    <row r="44" spans="1:43" s="1771" customFormat="1" ht="17.25" hidden="1" customHeight="1">
      <c r="A44" s="240"/>
      <c r="C44" s="239"/>
      <c r="D44" s="8796"/>
      <c r="E44" s="8799"/>
      <c r="F44" s="8772"/>
      <c r="G44" s="8799"/>
      <c r="H44" s="8775"/>
      <c r="I44" s="8777"/>
      <c r="J44" s="8779"/>
      <c r="K44" s="8762"/>
      <c r="L44" s="8762"/>
      <c r="M44" s="8762"/>
      <c r="N44" s="8764"/>
      <c r="O44" s="8762"/>
      <c r="P44" s="8762"/>
      <c r="Q44" s="8762"/>
      <c r="R44" s="8765"/>
      <c r="S44" s="8762"/>
      <c r="T44" s="1221"/>
      <c r="U44" s="1221"/>
      <c r="V44" s="1221"/>
      <c r="W44" s="1222"/>
      <c r="X44" s="1184"/>
      <c r="Y44" s="1184"/>
      <c r="Z44" s="1184"/>
      <c r="AA44" s="1184"/>
      <c r="AB44" s="1184"/>
      <c r="AC44" s="1184"/>
      <c r="AD44" s="1184"/>
      <c r="AE44" s="1184"/>
      <c r="AF44" s="1184"/>
      <c r="AG44" s="1184"/>
      <c r="AH44" s="1184"/>
      <c r="AI44" s="1184"/>
      <c r="AJ44" s="1184"/>
      <c r="AK44" s="1184"/>
      <c r="AL44" s="1184"/>
      <c r="AM44" s="1184"/>
      <c r="AN44" s="1184"/>
      <c r="AO44" s="1184"/>
      <c r="AP44" s="1184"/>
      <c r="AQ44" s="1184"/>
    </row>
    <row r="45" spans="1:43" s="1771" customFormat="1" ht="17.25" hidden="1" customHeight="1">
      <c r="A45" s="240"/>
      <c r="C45" s="239"/>
      <c r="D45" s="8796"/>
      <c r="E45" s="8799"/>
      <c r="F45" s="8772"/>
      <c r="G45" s="8799"/>
      <c r="H45" s="8775"/>
      <c r="I45" s="8777"/>
      <c r="J45" s="8780"/>
      <c r="K45" s="8762"/>
      <c r="L45" s="8762"/>
      <c r="M45" s="8762"/>
      <c r="N45" s="8765"/>
      <c r="O45" s="8762"/>
      <c r="P45" s="1338"/>
      <c r="Q45" s="1221"/>
      <c r="R45" s="1221"/>
      <c r="S45" s="251"/>
      <c r="T45" s="251"/>
      <c r="U45" s="251"/>
      <c r="V45" s="251"/>
      <c r="W45" s="1222"/>
      <c r="X45" s="1184"/>
      <c r="Y45" s="1184"/>
      <c r="Z45" s="1184"/>
      <c r="AA45" s="1184"/>
      <c r="AB45" s="1184"/>
      <c r="AC45" s="1184"/>
      <c r="AD45" s="1184"/>
      <c r="AE45" s="1184"/>
      <c r="AF45" s="1184"/>
      <c r="AG45" s="1184"/>
      <c r="AH45" s="1184"/>
      <c r="AI45" s="1184"/>
      <c r="AJ45" s="1184"/>
      <c r="AK45" s="1184"/>
      <c r="AL45" s="1184"/>
      <c r="AM45" s="1184"/>
      <c r="AN45" s="1184"/>
      <c r="AO45" s="1184"/>
      <c r="AP45" s="1184"/>
      <c r="AQ45" s="1184"/>
    </row>
    <row r="46" spans="1:43" s="1771" customFormat="1" ht="17.25" hidden="1" customHeight="1">
      <c r="A46" s="240"/>
      <c r="C46" s="126"/>
      <c r="D46" s="8796"/>
      <c r="E46" s="8799"/>
      <c r="F46" s="8772"/>
      <c r="G46" s="8799"/>
      <c r="H46" s="8775"/>
      <c r="I46" s="8777"/>
      <c r="J46" s="8780"/>
      <c r="K46" s="8762"/>
      <c r="L46" s="1221"/>
      <c r="M46" s="1221"/>
      <c r="N46" s="1221"/>
      <c r="O46" s="1221"/>
      <c r="P46" s="1221"/>
      <c r="Q46" s="1221"/>
      <c r="R46" s="1221"/>
      <c r="S46" s="251"/>
      <c r="T46" s="251"/>
      <c r="U46" s="251"/>
      <c r="V46" s="251"/>
      <c r="W46" s="1222"/>
      <c r="Y46" s="1191"/>
      <c r="Z46" s="1191"/>
      <c r="AA46" s="1191"/>
      <c r="AB46" s="1191"/>
      <c r="AC46" s="1191"/>
      <c r="AD46" s="1191"/>
      <c r="AE46" s="1191"/>
      <c r="AF46" s="1191"/>
      <c r="AG46" s="1191"/>
      <c r="AH46" s="1191"/>
      <c r="AI46" s="1191"/>
      <c r="AJ46" s="1191"/>
      <c r="AK46" s="1191"/>
      <c r="AL46" s="1191"/>
      <c r="AM46" s="1191"/>
      <c r="AN46" s="1191"/>
      <c r="AO46" s="1191"/>
      <c r="AP46" s="1191"/>
      <c r="AQ46" s="1191"/>
    </row>
    <row r="47" spans="1:43" s="1771" customFormat="1" ht="17.25" hidden="1" customHeight="1">
      <c r="A47" s="240"/>
      <c r="C47" s="239"/>
      <c r="D47" s="8797"/>
      <c r="E47" s="8800"/>
      <c r="F47" s="8773"/>
      <c r="G47" s="8800"/>
      <c r="H47" s="1223"/>
      <c r="I47" s="1224"/>
      <c r="J47" s="1224"/>
      <c r="K47" s="1224"/>
      <c r="L47" s="1224"/>
      <c r="M47" s="1224"/>
      <c r="N47" s="1224"/>
      <c r="O47" s="1224"/>
      <c r="P47" s="1224"/>
      <c r="Q47" s="1224"/>
      <c r="R47" s="1224"/>
      <c r="S47" s="1225"/>
      <c r="T47" s="1225"/>
      <c r="U47" s="1225"/>
      <c r="V47" s="1225"/>
      <c r="W47" s="1226"/>
      <c r="X47" s="1184"/>
      <c r="Y47" s="1184"/>
      <c r="Z47" s="1184"/>
      <c r="AA47" s="1184"/>
      <c r="AB47" s="1184"/>
      <c r="AC47" s="1184"/>
      <c r="AD47" s="1184"/>
      <c r="AE47" s="1184"/>
      <c r="AF47" s="1184"/>
      <c r="AG47" s="1184"/>
      <c r="AH47" s="1184"/>
      <c r="AI47" s="1184"/>
      <c r="AJ47" s="1184"/>
      <c r="AK47" s="1184"/>
      <c r="AL47" s="1184"/>
      <c r="AM47" s="1184"/>
      <c r="AN47" s="1184"/>
      <c r="AO47" s="1184"/>
      <c r="AP47" s="1184"/>
      <c r="AQ47" s="1184"/>
    </row>
    <row r="48" spans="1:43" s="1771" customFormat="1" ht="17.25" hidden="1" customHeight="1">
      <c r="A48" s="240"/>
      <c r="C48" s="126"/>
      <c r="D48" s="8767">
        <v>8</v>
      </c>
      <c r="E48" s="8769" t="s">
        <v>278</v>
      </c>
      <c r="F48" s="8771" t="s">
        <v>53</v>
      </c>
      <c r="G48" s="8769"/>
      <c r="H48" s="8774"/>
      <c r="I48" s="8776"/>
      <c r="J48" s="8778"/>
      <c r="K48" s="8761"/>
      <c r="L48" s="8761"/>
      <c r="M48" s="8761"/>
      <c r="N48" s="8763"/>
      <c r="O48" s="8761"/>
      <c r="P48" s="8761"/>
      <c r="Q48" s="8761"/>
      <c r="R48" s="8766"/>
      <c r="S48" s="8761"/>
      <c r="T48" s="1386"/>
      <c r="U48" s="1386"/>
      <c r="V48" s="1388"/>
      <c r="W48" s="1220"/>
      <c r="X48" s="1191"/>
      <c r="Y48" s="1191"/>
      <c r="Z48" s="1191"/>
      <c r="AA48" s="1191"/>
      <c r="AB48" s="1191"/>
      <c r="AC48" s="1191" t="s">
        <v>279</v>
      </c>
      <c r="AD48" s="1191" t="s">
        <v>280</v>
      </c>
      <c r="AE48" s="1191" t="s">
        <v>281</v>
      </c>
      <c r="AF48" s="1191" t="s">
        <v>282</v>
      </c>
      <c r="AG48" s="1191" t="s">
        <v>283</v>
      </c>
      <c r="AH48" s="1191" t="str">
        <f>IF($E$48=0,"",$E$48)</f>
        <v>Плата за подключение (технологическое присоединение) к системе теплоснабжения</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2">
        <f>$I$48</f>
        <v>0</v>
      </c>
      <c r="AO48" s="1191" t="str">
        <f>$I$48&amp;"."&amp;$M$48</f>
        <v>.</v>
      </c>
      <c r="AP48" s="1184" t="str">
        <f>$I$48&amp;"."&amp;$M$48&amp;"."&amp;$Q$48</f>
        <v>..</v>
      </c>
      <c r="AQ48" s="1184" t="str">
        <f>$I$48&amp;"."&amp;$M$48&amp;"."&amp;$Q$48&amp;"."&amp;$U$48</f>
        <v>...</v>
      </c>
    </row>
    <row r="49" spans="1:43" s="1771" customFormat="1" ht="17.25" hidden="1" customHeight="1">
      <c r="A49" s="240"/>
      <c r="C49" s="239"/>
      <c r="D49" s="8767"/>
      <c r="E49" s="8769"/>
      <c r="F49" s="8772"/>
      <c r="G49" s="8769"/>
      <c r="H49" s="8775"/>
      <c r="I49" s="8777"/>
      <c r="J49" s="8779"/>
      <c r="K49" s="8762"/>
      <c r="L49" s="8762"/>
      <c r="M49" s="8762"/>
      <c r="N49" s="8764"/>
      <c r="O49" s="8762"/>
      <c r="P49" s="8762"/>
      <c r="Q49" s="8762"/>
      <c r="R49" s="8765"/>
      <c r="S49" s="8762"/>
      <c r="T49" s="1221"/>
      <c r="U49" s="1221"/>
      <c r="V49" s="1221"/>
      <c r="W49" s="1222"/>
      <c r="X49" s="1184"/>
      <c r="Y49" s="1184"/>
      <c r="Z49" s="1184"/>
      <c r="AA49" s="1184"/>
      <c r="AB49" s="1184"/>
      <c r="AC49" s="1184"/>
      <c r="AD49" s="1184"/>
      <c r="AE49" s="1184"/>
      <c r="AF49" s="1184"/>
      <c r="AG49" s="1184"/>
      <c r="AH49" s="1184"/>
      <c r="AI49" s="1184"/>
      <c r="AJ49" s="1184"/>
      <c r="AK49" s="1184"/>
      <c r="AL49" s="1184"/>
      <c r="AM49" s="1184"/>
      <c r="AN49" s="1184"/>
      <c r="AO49" s="1184"/>
      <c r="AP49" s="1184"/>
      <c r="AQ49" s="1184"/>
    </row>
    <row r="50" spans="1:43" s="1771" customFormat="1" ht="17.25" hidden="1" customHeight="1">
      <c r="A50" s="240"/>
      <c r="C50" s="239"/>
      <c r="D50" s="8768"/>
      <c r="E50" s="8770"/>
      <c r="F50" s="8772"/>
      <c r="G50" s="8770"/>
      <c r="H50" s="8775"/>
      <c r="I50" s="8777"/>
      <c r="J50" s="8780"/>
      <c r="K50" s="8762"/>
      <c r="L50" s="8762"/>
      <c r="M50" s="8762"/>
      <c r="N50" s="8765"/>
      <c r="O50" s="8762"/>
      <c r="P50" s="1387"/>
      <c r="Q50" s="1221"/>
      <c r="R50" s="1221"/>
      <c r="S50" s="251"/>
      <c r="T50" s="251"/>
      <c r="U50" s="251"/>
      <c r="V50" s="251"/>
      <c r="W50" s="1222"/>
      <c r="X50" s="1184"/>
      <c r="Y50" s="1184"/>
      <c r="Z50" s="1184"/>
      <c r="AA50" s="1184"/>
      <c r="AB50" s="1184"/>
      <c r="AC50" s="1184"/>
      <c r="AD50" s="1184"/>
      <c r="AE50" s="1184"/>
      <c r="AF50" s="1184"/>
      <c r="AG50" s="1184"/>
      <c r="AH50" s="1184"/>
      <c r="AI50" s="1184"/>
      <c r="AJ50" s="1184"/>
      <c r="AK50" s="1184"/>
      <c r="AL50" s="1184"/>
      <c r="AM50" s="1184"/>
      <c r="AN50" s="1184"/>
      <c r="AO50" s="1184"/>
      <c r="AP50" s="1184"/>
      <c r="AQ50" s="1184"/>
    </row>
    <row r="51" spans="1:43" s="1771" customFormat="1" ht="17.25" hidden="1" customHeight="1">
      <c r="A51" s="240"/>
      <c r="C51" s="126"/>
      <c r="D51" s="8768"/>
      <c r="E51" s="8770"/>
      <c r="F51" s="8772"/>
      <c r="G51" s="8770"/>
      <c r="H51" s="8775"/>
      <c r="I51" s="8777"/>
      <c r="J51" s="8780"/>
      <c r="K51" s="8762"/>
      <c r="L51" s="1221"/>
      <c r="M51" s="1221"/>
      <c r="N51" s="1221"/>
      <c r="O51" s="1221"/>
      <c r="P51" s="1221"/>
      <c r="Q51" s="1221"/>
      <c r="R51" s="1221"/>
      <c r="S51" s="251"/>
      <c r="T51" s="251"/>
      <c r="U51" s="251"/>
      <c r="V51" s="251"/>
      <c r="W51" s="1222"/>
      <c r="Y51" s="1191"/>
      <c r="Z51" s="1191"/>
      <c r="AA51" s="1191"/>
      <c r="AB51" s="1191"/>
      <c r="AC51" s="1191"/>
      <c r="AD51" s="1191"/>
      <c r="AE51" s="1191"/>
      <c r="AF51" s="1191"/>
      <c r="AG51" s="1191"/>
      <c r="AH51" s="1191"/>
      <c r="AI51" s="1191"/>
      <c r="AJ51" s="1191"/>
      <c r="AK51" s="1191"/>
      <c r="AL51" s="1191"/>
      <c r="AM51" s="1191"/>
      <c r="AN51" s="1191"/>
      <c r="AO51" s="1191"/>
      <c r="AP51" s="1191"/>
      <c r="AQ51" s="1191"/>
    </row>
    <row r="52" spans="1:43" s="1771" customFormat="1" ht="17.25" hidden="1" customHeight="1">
      <c r="A52" s="240"/>
      <c r="C52" s="239"/>
      <c r="D52" s="8768"/>
      <c r="E52" s="8770"/>
      <c r="F52" s="8773"/>
      <c r="G52" s="8770"/>
      <c r="H52" s="1223"/>
      <c r="I52" s="1224"/>
      <c r="J52" s="1224"/>
      <c r="K52" s="1224"/>
      <c r="L52" s="1224"/>
      <c r="M52" s="1224"/>
      <c r="N52" s="1224"/>
      <c r="O52" s="1224"/>
      <c r="P52" s="1224"/>
      <c r="Q52" s="1224"/>
      <c r="R52" s="1224"/>
      <c r="S52" s="1225"/>
      <c r="T52" s="1225"/>
      <c r="U52" s="1225"/>
      <c r="V52" s="1225"/>
      <c r="W52" s="1226"/>
      <c r="X52" s="1184"/>
      <c r="Y52" s="1184"/>
      <c r="Z52" s="1184"/>
      <c r="AA52" s="1184"/>
      <c r="AB52" s="1184"/>
      <c r="AC52" s="1184"/>
      <c r="AD52" s="1184"/>
      <c r="AE52" s="1184"/>
      <c r="AF52" s="1184"/>
      <c r="AG52" s="1184"/>
      <c r="AH52" s="1184"/>
      <c r="AI52" s="1184"/>
      <c r="AJ52" s="1184"/>
      <c r="AK52" s="1184"/>
      <c r="AL52" s="1184"/>
      <c r="AM52" s="1184"/>
      <c r="AN52" s="1184"/>
      <c r="AO52" s="1184"/>
      <c r="AP52" s="1184"/>
      <c r="AQ52" s="1184"/>
    </row>
    <row r="53" spans="1:43" ht="11.25" hidden="1" customHeight="1"/>
    <row r="54" spans="1:43" ht="11.25" hidden="1" customHeight="1">
      <c r="E54" s="8803" t="s">
        <v>284</v>
      </c>
      <c r="F54" s="8803"/>
      <c r="G54" s="8803"/>
      <c r="H54" s="8803"/>
      <c r="I54" s="8803"/>
      <c r="J54" s="8803"/>
      <c r="K54" s="8803"/>
      <c r="L54" s="8803"/>
      <c r="M54" s="8803"/>
      <c r="N54" s="8803"/>
      <c r="O54" s="8803"/>
      <c r="P54" s="8803"/>
      <c r="Q54" s="8803"/>
      <c r="R54" s="8803"/>
      <c r="S54" s="8803"/>
      <c r="T54" s="8803"/>
      <c r="U54" s="8803"/>
      <c r="V54" s="8803"/>
      <c r="W54" s="8803"/>
    </row>
    <row r="55" spans="1:43" ht="36.75" hidden="1" customHeight="1">
      <c r="E55" s="8801" t="s">
        <v>285</v>
      </c>
      <c r="F55" s="8801"/>
      <c r="G55" s="8802"/>
      <c r="H55" s="8802"/>
      <c r="I55" s="8802"/>
      <c r="J55" s="8802"/>
      <c r="K55" s="8802"/>
      <c r="L55" s="8802"/>
      <c r="M55" s="8802"/>
      <c r="N55" s="8802"/>
      <c r="O55" s="8802"/>
      <c r="P55" s="8802"/>
      <c r="Q55" s="8802"/>
      <c r="R55" s="8802"/>
      <c r="S55" s="8802"/>
      <c r="T55" s="8802"/>
      <c r="U55" s="8802"/>
      <c r="V55" s="8802"/>
      <c r="W55" s="8802"/>
    </row>
    <row r="56" spans="1:43" ht="28.5" hidden="1" customHeight="1">
      <c r="E56" s="8801" t="s">
        <v>286</v>
      </c>
      <c r="F56" s="8801"/>
      <c r="G56" s="8802"/>
      <c r="H56" s="8802"/>
      <c r="I56" s="8802"/>
      <c r="J56" s="8802"/>
      <c r="K56" s="8802"/>
      <c r="L56" s="8802"/>
      <c r="M56" s="8802"/>
      <c r="N56" s="8802"/>
      <c r="O56" s="8802"/>
      <c r="P56" s="8802"/>
      <c r="Q56" s="8802"/>
      <c r="R56" s="8802"/>
      <c r="S56" s="8802"/>
      <c r="T56" s="8802"/>
      <c r="U56" s="8802"/>
      <c r="V56" s="8802"/>
      <c r="W56" s="8802"/>
    </row>
    <row r="57" spans="1:43" ht="27" hidden="1" customHeight="1">
      <c r="E57" s="8801" t="s">
        <v>287</v>
      </c>
      <c r="F57" s="8801"/>
      <c r="G57" s="8802"/>
      <c r="H57" s="8802"/>
      <c r="I57" s="8802"/>
      <c r="J57" s="8802"/>
      <c r="K57" s="8802"/>
      <c r="L57" s="8802"/>
      <c r="M57" s="8802"/>
      <c r="N57" s="8802"/>
      <c r="O57" s="8802"/>
      <c r="P57" s="8802"/>
      <c r="Q57" s="8802"/>
      <c r="R57" s="8802"/>
      <c r="S57" s="8802"/>
      <c r="T57" s="8802"/>
      <c r="U57" s="8802"/>
      <c r="V57" s="8802"/>
      <c r="W57" s="8802"/>
    </row>
    <row r="58" spans="1:43" ht="17.25" hidden="1" customHeight="1">
      <c r="E58" s="8801" t="s">
        <v>288</v>
      </c>
      <c r="F58" s="8801"/>
      <c r="G58" s="8802"/>
      <c r="H58" s="8802"/>
      <c r="I58" s="8802"/>
      <c r="J58" s="8802"/>
      <c r="K58" s="8802"/>
      <c r="L58" s="8802"/>
      <c r="M58" s="8802"/>
      <c r="N58" s="8802"/>
      <c r="O58" s="8802"/>
      <c r="P58" s="8802"/>
      <c r="Q58" s="8802"/>
      <c r="R58" s="8802"/>
      <c r="S58" s="8802"/>
      <c r="T58" s="8802"/>
      <c r="U58" s="8802"/>
      <c r="V58" s="8802"/>
      <c r="W58" s="8802"/>
    </row>
    <row r="59" spans="1:43" ht="15" hidden="1" customHeight="1">
      <c r="E59" s="262"/>
      <c r="F59" s="1209"/>
      <c r="G59" s="75"/>
      <c r="H59" s="75"/>
      <c r="I59" s="75"/>
      <c r="J59" s="75"/>
      <c r="K59" s="75"/>
      <c r="L59" s="75"/>
      <c r="M59" s="75"/>
      <c r="N59" s="75"/>
      <c r="O59" s="75"/>
      <c r="P59" s="75"/>
      <c r="Q59" s="75"/>
      <c r="R59" s="75"/>
      <c r="S59" s="75"/>
      <c r="T59" s="75"/>
      <c r="U59" s="75"/>
      <c r="V59" s="75"/>
      <c r="W59" s="75"/>
    </row>
    <row r="60" spans="1:43" ht="15" hidden="1" customHeight="1">
      <c r="E60" s="8803" t="s">
        <v>289</v>
      </c>
      <c r="F60" s="8803"/>
      <c r="G60" s="8803"/>
      <c r="H60" s="8803"/>
      <c r="I60" s="8803"/>
      <c r="J60" s="8803"/>
      <c r="K60" s="8803"/>
      <c r="L60" s="8803"/>
      <c r="M60" s="8803"/>
      <c r="N60" s="8803"/>
      <c r="O60" s="8803"/>
      <c r="P60" s="8803"/>
      <c r="Q60" s="8803"/>
      <c r="R60" s="8803"/>
      <c r="S60" s="8803"/>
      <c r="T60" s="8803"/>
      <c r="U60" s="8803"/>
      <c r="V60" s="8803"/>
      <c r="W60" s="8803"/>
    </row>
    <row r="61" spans="1:43" ht="17.25" hidden="1" customHeight="1">
      <c r="E61" s="8801" t="s">
        <v>290</v>
      </c>
      <c r="F61" s="8801"/>
      <c r="G61" s="8802"/>
      <c r="H61" s="8802"/>
      <c r="I61" s="8802"/>
      <c r="J61" s="8802"/>
      <c r="K61" s="8802"/>
      <c r="L61" s="8802"/>
      <c r="M61" s="8802"/>
      <c r="N61" s="8802"/>
      <c r="O61" s="8802"/>
      <c r="P61" s="8802"/>
      <c r="Q61" s="8802"/>
      <c r="R61" s="8802"/>
      <c r="S61" s="8802"/>
      <c r="T61" s="8802"/>
      <c r="U61" s="8802"/>
      <c r="V61" s="8802"/>
      <c r="W61" s="8802"/>
    </row>
    <row r="62" spans="1:43" ht="17.25" hidden="1" customHeight="1">
      <c r="E62" s="8801" t="s">
        <v>291</v>
      </c>
      <c r="F62" s="8801"/>
      <c r="G62" s="8802"/>
      <c r="H62" s="8802"/>
      <c r="I62" s="8802"/>
      <c r="J62" s="8802"/>
      <c r="K62" s="8802"/>
      <c r="L62" s="8802"/>
      <c r="M62" s="8802"/>
      <c r="N62" s="8802"/>
      <c r="O62" s="8802"/>
      <c r="P62" s="8802"/>
      <c r="Q62" s="8802"/>
      <c r="R62" s="8802"/>
      <c r="S62" s="8802"/>
      <c r="T62" s="8802"/>
      <c r="U62" s="8802"/>
      <c r="V62" s="8802"/>
      <c r="W62" s="8802"/>
    </row>
    <row r="63" spans="1:43" s="1771" customFormat="1" ht="11.25" hidden="1" customHeight="1">
      <c r="A63" s="191"/>
      <c r="B63" s="191"/>
      <c r="Y63" s="1184"/>
      <c r="Z63" s="1184"/>
      <c r="AA63" s="1184"/>
      <c r="AB63" s="1184"/>
      <c r="AC63" s="1184"/>
      <c r="AD63" s="1184"/>
      <c r="AE63" s="1184"/>
      <c r="AF63" s="1184"/>
      <c r="AG63" s="1184"/>
      <c r="AH63" s="1184"/>
      <c r="AI63" s="1184"/>
      <c r="AJ63" s="1184"/>
      <c r="AK63" s="1184"/>
      <c r="AL63" s="1184"/>
      <c r="AM63" s="1184"/>
      <c r="AN63" s="1184"/>
      <c r="AO63" s="1184"/>
      <c r="AP63" s="1184"/>
      <c r="AQ63" s="1184"/>
    </row>
    <row r="64" spans="1:43" s="1771" customFormat="1" ht="17.25" customHeight="1">
      <c r="A64" s="240"/>
      <c r="C64" s="126"/>
      <c r="D64" s="8767">
        <v>1</v>
      </c>
      <c r="E64" s="8769" t="s">
        <v>292</v>
      </c>
      <c r="F64" s="8771" t="s">
        <v>53</v>
      </c>
      <c r="G64" s="8769"/>
      <c r="H64" s="8774"/>
      <c r="I64" s="8776"/>
      <c r="J64" s="8778"/>
      <c r="K64" s="8761"/>
      <c r="L64" s="8761"/>
      <c r="M64" s="8761"/>
      <c r="N64" s="8763"/>
      <c r="O64" s="8761"/>
      <c r="P64" s="8761"/>
      <c r="Q64" s="8761"/>
      <c r="R64" s="8766"/>
      <c r="S64" s="8761"/>
      <c r="T64" s="1386"/>
      <c r="U64" s="1386"/>
      <c r="V64" s="1388"/>
      <c r="W64" s="1220"/>
      <c r="Y64" s="1191"/>
      <c r="Z64" s="1191"/>
      <c r="AA64" s="1191"/>
      <c r="AB64" s="1191"/>
      <c r="AC64" s="1191" t="s">
        <v>293</v>
      </c>
      <c r="AD64" s="1191" t="s">
        <v>294</v>
      </c>
      <c r="AE64" s="1191" t="s">
        <v>295</v>
      </c>
      <c r="AF64" s="1191" t="s">
        <v>296</v>
      </c>
      <c r="AG64" s="1191"/>
      <c r="AH64" s="1191" t="str">
        <f>IF($E$64=0,"",$E$64)</f>
        <v>Тариф на питьевую воду (питьевое водоснабжение)</v>
      </c>
      <c r="AI64" s="1191" t="str">
        <f>IF($G$64=0,"",$G$64)</f>
        <v/>
      </c>
      <c r="AJ64" s="1191" t="str">
        <f>IF($J$64=0,"",$J$64)</f>
        <v/>
      </c>
      <c r="AK64" s="1191" t="str">
        <f>IF($K$64="нет","без дифференциации",IF($N$64=0,"",$N$64))</f>
        <v/>
      </c>
      <c r="AL64" s="1191" t="str">
        <f>IF($O$64="нет","без дифференциации",IF($R$64=0,"",$R$64))</f>
        <v/>
      </c>
      <c r="AM64" s="1191" t="str">
        <f>IF($S$64="нет","без дифференциации",IF($V$64=0,"",$V$64))</f>
        <v/>
      </c>
      <c r="AN64" s="1191">
        <f>$I$64</f>
        <v>0</v>
      </c>
      <c r="AO64" s="1191" t="str">
        <f>$I$64&amp;"."&amp;$M$64</f>
        <v>.</v>
      </c>
      <c r="AP64" s="1191" t="str">
        <f>$I$64&amp;"."&amp;$M$64&amp;"."&amp;$Q$64</f>
        <v>..</v>
      </c>
      <c r="AQ64" s="1191" t="str">
        <f>$I$64&amp;"."&amp;$M$64&amp;"."&amp;$Q$64&amp;"."&amp;$U$64</f>
        <v>...</v>
      </c>
    </row>
    <row r="65" spans="1:43" s="1771" customFormat="1" ht="17.25" customHeight="1">
      <c r="A65" s="240"/>
      <c r="C65" s="239"/>
      <c r="D65" s="8767"/>
      <c r="E65" s="8769"/>
      <c r="F65" s="8772"/>
      <c r="G65" s="8769"/>
      <c r="H65" s="8775"/>
      <c r="I65" s="8777"/>
      <c r="J65" s="8779"/>
      <c r="K65" s="8762"/>
      <c r="L65" s="8762"/>
      <c r="M65" s="8762"/>
      <c r="N65" s="8764"/>
      <c r="O65" s="8762"/>
      <c r="P65" s="8762"/>
      <c r="Q65" s="8762"/>
      <c r="R65" s="8765"/>
      <c r="S65" s="8762"/>
      <c r="T65" s="1221"/>
      <c r="U65" s="1221"/>
      <c r="V65" s="1221"/>
      <c r="W65" s="1222"/>
      <c r="Y65" s="1184"/>
      <c r="Z65" s="1184"/>
      <c r="AA65" s="1184"/>
      <c r="AB65" s="1184"/>
      <c r="AC65" s="1184"/>
      <c r="AD65" s="1184"/>
      <c r="AE65" s="1184"/>
      <c r="AF65" s="1184"/>
      <c r="AG65" s="1184"/>
      <c r="AH65" s="1184"/>
      <c r="AI65" s="1184"/>
      <c r="AJ65" s="1184"/>
      <c r="AK65" s="1184"/>
      <c r="AL65" s="1184"/>
      <c r="AM65" s="1184"/>
      <c r="AN65" s="1184"/>
      <c r="AO65" s="1184"/>
      <c r="AP65" s="1184"/>
      <c r="AQ65" s="1184"/>
    </row>
    <row r="66" spans="1:43" s="1771" customFormat="1" ht="17.25" customHeight="1">
      <c r="A66" s="240"/>
      <c r="C66" s="126"/>
      <c r="D66" s="8767"/>
      <c r="E66" s="8769"/>
      <c r="F66" s="8772"/>
      <c r="G66" s="8769"/>
      <c r="H66" s="8775"/>
      <c r="I66" s="8777"/>
      <c r="J66" s="8780"/>
      <c r="K66" s="8762"/>
      <c r="L66" s="8762"/>
      <c r="M66" s="8762"/>
      <c r="N66" s="8765"/>
      <c r="O66" s="8762"/>
      <c r="P66" s="1387"/>
      <c r="Q66" s="1221"/>
      <c r="R66" s="1221"/>
      <c r="S66" s="251"/>
      <c r="T66" s="251"/>
      <c r="U66" s="251"/>
      <c r="V66" s="251"/>
      <c r="W66" s="1222"/>
      <c r="Y66" s="1191"/>
      <c r="Z66" s="1191"/>
      <c r="AA66" s="1191"/>
      <c r="AB66" s="1191"/>
      <c r="AC66" s="1191"/>
      <c r="AD66" s="1191"/>
      <c r="AE66" s="1191"/>
      <c r="AF66" s="1191"/>
      <c r="AG66" s="1191"/>
      <c r="AH66" s="1191"/>
      <c r="AI66" s="1191"/>
      <c r="AJ66" s="1191"/>
      <c r="AK66" s="1191"/>
      <c r="AL66" s="1191"/>
      <c r="AM66" s="1191"/>
      <c r="AN66" s="1191"/>
      <c r="AO66" s="1191"/>
      <c r="AP66" s="1191"/>
      <c r="AQ66" s="1191"/>
    </row>
    <row r="67" spans="1:43" s="1771" customFormat="1" ht="17.25" customHeight="1">
      <c r="A67" s="240"/>
      <c r="C67" s="239"/>
      <c r="D67" s="8767"/>
      <c r="E67" s="8769"/>
      <c r="F67" s="8772"/>
      <c r="G67" s="8769"/>
      <c r="H67" s="8775"/>
      <c r="I67" s="8777"/>
      <c r="J67" s="8780"/>
      <c r="K67" s="8762"/>
      <c r="L67" s="1221"/>
      <c r="M67" s="1221"/>
      <c r="N67" s="1221"/>
      <c r="O67" s="1221"/>
      <c r="P67" s="1221"/>
      <c r="Q67" s="1221"/>
      <c r="R67" s="1221"/>
      <c r="S67" s="251"/>
      <c r="T67" s="251"/>
      <c r="U67" s="251"/>
      <c r="V67" s="251"/>
      <c r="W67" s="1222"/>
      <c r="Y67" s="1184"/>
      <c r="Z67" s="1184"/>
      <c r="AA67" s="1184"/>
      <c r="AB67" s="1184"/>
      <c r="AC67" s="1184"/>
      <c r="AD67" s="1184"/>
      <c r="AE67" s="1184"/>
      <c r="AF67" s="1184"/>
      <c r="AG67" s="1184"/>
      <c r="AH67" s="1184"/>
      <c r="AI67" s="1184"/>
      <c r="AJ67" s="1184"/>
      <c r="AK67" s="1184"/>
      <c r="AL67" s="1184"/>
      <c r="AM67" s="1184"/>
      <c r="AN67" s="1184"/>
      <c r="AO67" s="1184"/>
      <c r="AP67" s="1184"/>
      <c r="AQ67" s="1184"/>
    </row>
    <row r="68" spans="1:43" s="1771" customFormat="1" ht="17.25" customHeight="1">
      <c r="A68" s="240"/>
      <c r="C68" s="239"/>
      <c r="D68" s="8768"/>
      <c r="E68" s="8770"/>
      <c r="F68" s="8773"/>
      <c r="G68" s="8770"/>
      <c r="H68" s="1223"/>
      <c r="I68" s="1224"/>
      <c r="J68" s="1224"/>
      <c r="K68" s="1224"/>
      <c r="L68" s="1224"/>
      <c r="M68" s="1224"/>
      <c r="N68" s="1224"/>
      <c r="O68" s="1224"/>
      <c r="P68" s="1224"/>
      <c r="Q68" s="1224"/>
      <c r="R68" s="1224"/>
      <c r="S68" s="1225"/>
      <c r="T68" s="1225"/>
      <c r="U68" s="1225"/>
      <c r="V68" s="1225"/>
      <c r="W68" s="1226"/>
      <c r="Y68" s="1184"/>
      <c r="Z68" s="1184"/>
      <c r="AA68" s="1184"/>
      <c r="AB68" s="1184"/>
      <c r="AC68" s="1184"/>
      <c r="AD68" s="1184"/>
      <c r="AE68" s="1184"/>
      <c r="AF68" s="1184"/>
      <c r="AG68" s="1184"/>
      <c r="AH68" s="1184"/>
      <c r="AI68" s="1184"/>
      <c r="AJ68" s="1184"/>
      <c r="AK68" s="1184"/>
      <c r="AL68" s="1184"/>
      <c r="AM68" s="1184"/>
      <c r="AN68" s="1184"/>
      <c r="AO68" s="1184"/>
      <c r="AP68" s="1184"/>
      <c r="AQ68" s="1184"/>
    </row>
    <row r="69" spans="1:43" s="1771" customFormat="1" ht="17.25" customHeight="1">
      <c r="A69" s="240"/>
      <c r="C69" s="126"/>
      <c r="D69" s="8767">
        <v>2</v>
      </c>
      <c r="E69" s="8769" t="s">
        <v>297</v>
      </c>
      <c r="F69" s="8771" t="s">
        <v>53</v>
      </c>
      <c r="G69" s="8769"/>
      <c r="H69" s="8774"/>
      <c r="I69" s="8776"/>
      <c r="J69" s="8778"/>
      <c r="K69" s="8761"/>
      <c r="L69" s="8761"/>
      <c r="M69" s="8761"/>
      <c r="N69" s="8763"/>
      <c r="O69" s="8761"/>
      <c r="P69" s="8761"/>
      <c r="Q69" s="8761"/>
      <c r="R69" s="8766"/>
      <c r="S69" s="8761"/>
      <c r="T69" s="1362"/>
      <c r="U69" s="1362"/>
      <c r="V69" s="1364"/>
      <c r="W69" s="1220"/>
      <c r="X69" s="1191"/>
      <c r="Y69" s="1191"/>
      <c r="Z69" s="1191"/>
      <c r="AA69" s="1191"/>
      <c r="AB69" s="1191"/>
      <c r="AC69" s="1191" t="s">
        <v>298</v>
      </c>
      <c r="AD69" s="1191" t="s">
        <v>299</v>
      </c>
      <c r="AE69" s="1191" t="s">
        <v>300</v>
      </c>
      <c r="AF69" s="1191" t="s">
        <v>301</v>
      </c>
      <c r="AG69" s="1191"/>
      <c r="AH69" s="1191" t="str">
        <f>IF($E$69=0,"",$E$69)</f>
        <v>Тариф на техническую воду</v>
      </c>
      <c r="AI69" s="1191" t="str">
        <f>IF($G$69=0,"",$G$69)</f>
        <v/>
      </c>
      <c r="AJ69" s="1191" t="str">
        <f>IF($J$69=0,"",$J$69)</f>
        <v/>
      </c>
      <c r="AK69" s="1191" t="str">
        <f>IF($K$69="нет","без дифференциации",IF($N$69=0,"",$N$69))</f>
        <v/>
      </c>
      <c r="AL69" s="1191" t="str">
        <f>IF($O$69="нет","без дифференциации",IF($R$69=0,"",$R$69))</f>
        <v/>
      </c>
      <c r="AM69" s="1191" t="str">
        <f>IF($S$69="нет","без дифференциации",IF($V$69=0,"",$V$69))</f>
        <v/>
      </c>
      <c r="AN69" s="1692">
        <f>$I$69</f>
        <v>0</v>
      </c>
      <c r="AO69" s="1191" t="str">
        <f>$I$69&amp;"."&amp;$M$69</f>
        <v>.</v>
      </c>
      <c r="AP69" s="1184" t="str">
        <f>$I$69&amp;"."&amp;$M$69&amp;"."&amp;$Q$69</f>
        <v>..</v>
      </c>
      <c r="AQ69" s="1184" t="str">
        <f>$I$69&amp;"."&amp;$M$69&amp;"."&amp;$Q$69&amp;"."&amp;$U$69</f>
        <v>...</v>
      </c>
    </row>
    <row r="70" spans="1:43" s="1771" customFormat="1" ht="17.25" customHeight="1">
      <c r="A70" s="240"/>
      <c r="C70" s="239"/>
      <c r="D70" s="8767"/>
      <c r="E70" s="8769"/>
      <c r="F70" s="8772"/>
      <c r="G70" s="8769"/>
      <c r="H70" s="8775"/>
      <c r="I70" s="8777"/>
      <c r="J70" s="8779"/>
      <c r="K70" s="8762"/>
      <c r="L70" s="8762"/>
      <c r="M70" s="8762"/>
      <c r="N70" s="8764"/>
      <c r="O70" s="8762"/>
      <c r="P70" s="8762"/>
      <c r="Q70" s="8762"/>
      <c r="R70" s="8765"/>
      <c r="S70" s="8762"/>
      <c r="T70" s="1221"/>
      <c r="U70" s="1221"/>
      <c r="V70" s="1221"/>
      <c r="W70" s="1222"/>
      <c r="X70" s="1184"/>
      <c r="Y70" s="1184"/>
      <c r="Z70" s="1184"/>
      <c r="AA70" s="1184"/>
      <c r="AB70" s="1184"/>
      <c r="AC70" s="1184"/>
      <c r="AD70" s="1184"/>
      <c r="AE70" s="1184"/>
      <c r="AF70" s="1184"/>
      <c r="AG70" s="1184"/>
      <c r="AH70" s="1184"/>
      <c r="AI70" s="1184"/>
      <c r="AJ70" s="1184"/>
      <c r="AK70" s="1184"/>
      <c r="AL70" s="1184"/>
      <c r="AM70" s="1184"/>
      <c r="AN70" s="1184"/>
      <c r="AO70" s="1184"/>
      <c r="AP70" s="1184"/>
      <c r="AQ70" s="1184"/>
    </row>
    <row r="71" spans="1:43" s="1771" customFormat="1" ht="17.25" customHeight="1">
      <c r="A71" s="240"/>
      <c r="C71" s="239"/>
      <c r="D71" s="8768"/>
      <c r="E71" s="8770"/>
      <c r="F71" s="8772"/>
      <c r="G71" s="8770"/>
      <c r="H71" s="8775"/>
      <c r="I71" s="8777"/>
      <c r="J71" s="8780"/>
      <c r="K71" s="8762"/>
      <c r="L71" s="8762"/>
      <c r="M71" s="8762"/>
      <c r="N71" s="8765"/>
      <c r="O71" s="8762"/>
      <c r="P71" s="1363"/>
      <c r="Q71" s="1221"/>
      <c r="R71" s="1221"/>
      <c r="S71" s="251"/>
      <c r="T71" s="251"/>
      <c r="U71" s="251"/>
      <c r="V71" s="251"/>
      <c r="W71" s="1222"/>
      <c r="X71" s="1184"/>
      <c r="Y71" s="1184"/>
      <c r="Z71" s="1184"/>
      <c r="AA71" s="1184"/>
      <c r="AB71" s="1184"/>
      <c r="AC71" s="1184"/>
      <c r="AD71" s="1184"/>
      <c r="AE71" s="1184"/>
      <c r="AF71" s="1184"/>
      <c r="AG71" s="1184"/>
      <c r="AH71" s="1184"/>
      <c r="AI71" s="1184"/>
      <c r="AJ71" s="1184"/>
      <c r="AK71" s="1184"/>
      <c r="AL71" s="1184"/>
      <c r="AM71" s="1184"/>
      <c r="AN71" s="1184"/>
      <c r="AO71" s="1184"/>
      <c r="AP71" s="1184"/>
      <c r="AQ71" s="1184"/>
    </row>
    <row r="72" spans="1:43" s="1771" customFormat="1" ht="17.25" customHeight="1">
      <c r="A72" s="240"/>
      <c r="C72" s="239"/>
      <c r="D72" s="8768"/>
      <c r="E72" s="8770"/>
      <c r="F72" s="8772"/>
      <c r="G72" s="8770"/>
      <c r="H72" s="8775"/>
      <c r="I72" s="8777"/>
      <c r="J72" s="8780"/>
      <c r="K72" s="8762"/>
      <c r="L72" s="1221"/>
      <c r="M72" s="1221"/>
      <c r="N72" s="1221"/>
      <c r="O72" s="1221"/>
      <c r="P72" s="1221"/>
      <c r="Q72" s="1221"/>
      <c r="R72" s="1221"/>
      <c r="S72" s="251"/>
      <c r="T72" s="251"/>
      <c r="U72" s="251"/>
      <c r="V72" s="251"/>
      <c r="W72" s="1222"/>
      <c r="X72" s="1184"/>
      <c r="Y72" s="1184"/>
      <c r="Z72" s="1184"/>
      <c r="AA72" s="1184"/>
      <c r="AB72" s="1184"/>
      <c r="AC72" s="1184"/>
      <c r="AD72" s="1184"/>
      <c r="AE72" s="1184"/>
      <c r="AF72" s="1184"/>
      <c r="AG72" s="1184"/>
      <c r="AH72" s="1184"/>
      <c r="AI72" s="1184"/>
      <c r="AJ72" s="1184"/>
      <c r="AK72" s="1184"/>
      <c r="AL72" s="1184"/>
      <c r="AM72" s="1184"/>
      <c r="AN72" s="1184"/>
      <c r="AO72" s="1184"/>
      <c r="AP72" s="1184"/>
      <c r="AQ72" s="1184"/>
    </row>
    <row r="73" spans="1:43" s="1771" customFormat="1" ht="17.25" customHeight="1">
      <c r="A73" s="240"/>
      <c r="C73" s="239"/>
      <c r="D73" s="8768"/>
      <c r="E73" s="8770"/>
      <c r="F73" s="8773"/>
      <c r="G73" s="8770"/>
      <c r="H73" s="1223"/>
      <c r="I73" s="1224"/>
      <c r="J73" s="1224"/>
      <c r="K73" s="1224"/>
      <c r="L73" s="1224"/>
      <c r="M73" s="1224"/>
      <c r="N73" s="1224"/>
      <c r="O73" s="1224"/>
      <c r="P73" s="1224"/>
      <c r="Q73" s="1224"/>
      <c r="R73" s="1224"/>
      <c r="S73" s="1225"/>
      <c r="T73" s="1225"/>
      <c r="U73" s="1225"/>
      <c r="V73" s="1225"/>
      <c r="W73" s="1226"/>
      <c r="X73" s="1184"/>
      <c r="Y73" s="1184"/>
      <c r="Z73" s="1184"/>
      <c r="AA73" s="1184"/>
      <c r="AB73" s="1184"/>
      <c r="AC73" s="1184"/>
      <c r="AD73" s="1184"/>
      <c r="AE73" s="1184"/>
      <c r="AF73" s="1184"/>
      <c r="AG73" s="1184"/>
      <c r="AH73" s="1184"/>
      <c r="AI73" s="1184"/>
      <c r="AJ73" s="1184"/>
      <c r="AK73" s="1184"/>
      <c r="AL73" s="1184"/>
      <c r="AM73" s="1184"/>
      <c r="AN73" s="1184"/>
      <c r="AO73" s="1184"/>
      <c r="AP73" s="1184"/>
      <c r="AQ73" s="1184"/>
    </row>
    <row r="74" spans="1:43" s="1771" customFormat="1" ht="17.25" customHeight="1">
      <c r="A74" s="240"/>
      <c r="C74" s="126"/>
      <c r="D74" s="8767">
        <v>3</v>
      </c>
      <c r="E74" s="8769" t="s">
        <v>302</v>
      </c>
      <c r="F74" s="8771" t="s">
        <v>53</v>
      </c>
      <c r="G74" s="8769"/>
      <c r="H74" s="8774"/>
      <c r="I74" s="8776"/>
      <c r="J74" s="8778"/>
      <c r="K74" s="8761"/>
      <c r="L74" s="8761"/>
      <c r="M74" s="8761"/>
      <c r="N74" s="8763"/>
      <c r="O74" s="8761"/>
      <c r="P74" s="8761"/>
      <c r="Q74" s="8761"/>
      <c r="R74" s="8766"/>
      <c r="S74" s="8761"/>
      <c r="T74" s="1362"/>
      <c r="U74" s="1362"/>
      <c r="V74" s="1364"/>
      <c r="W74" s="1220"/>
      <c r="X74" s="1191"/>
      <c r="Y74" s="1191"/>
      <c r="Z74" s="1191"/>
      <c r="AA74" s="1191"/>
      <c r="AB74" s="1191"/>
      <c r="AC74" s="1191" t="s">
        <v>303</v>
      </c>
      <c r="AD74" s="1191" t="s">
        <v>304</v>
      </c>
      <c r="AE74" s="1191" t="s">
        <v>305</v>
      </c>
      <c r="AF74" s="1191" t="s">
        <v>306</v>
      </c>
      <c r="AG74" s="1191"/>
      <c r="AH74" s="1191" t="str">
        <f>IF($E$74=0,"",$E$74)</f>
        <v>Тариф на транспортировку воды</v>
      </c>
      <c r="AI74" s="1191" t="str">
        <f>IF($G$74=0,"",$G$74)</f>
        <v/>
      </c>
      <c r="AJ74" s="1191" t="str">
        <f>IF($J$74=0,"",$J$74)</f>
        <v/>
      </c>
      <c r="AK74" s="1191" t="str">
        <f>IF($K$74="нет","без дифференциации",IF($N$74=0,"",$N$74))</f>
        <v/>
      </c>
      <c r="AL74" s="1191" t="str">
        <f>IF($O$74="нет","без дифференциации",IF($R$74=0,"",$R$74))</f>
        <v/>
      </c>
      <c r="AM74" s="1191" t="str">
        <f>IF($S$74="нет","без дифференциации",IF($V$74=0,"",$V$74))</f>
        <v/>
      </c>
      <c r="AN74" s="1692">
        <f>$I$74</f>
        <v>0</v>
      </c>
      <c r="AO74" s="1191" t="str">
        <f>$I$74&amp;"."&amp;$M$74</f>
        <v>.</v>
      </c>
      <c r="AP74" s="1184" t="str">
        <f>$I$74&amp;"."&amp;$M$74&amp;"."&amp;$Q$74</f>
        <v>..</v>
      </c>
      <c r="AQ74" s="1184" t="str">
        <f>$I$74&amp;"."&amp;$M$74&amp;"."&amp;$Q$74&amp;"."&amp;$U$74</f>
        <v>...</v>
      </c>
    </row>
    <row r="75" spans="1:43" s="1771" customFormat="1" ht="17.25" customHeight="1">
      <c r="A75" s="240"/>
      <c r="C75" s="239"/>
      <c r="D75" s="8767"/>
      <c r="E75" s="8769"/>
      <c r="F75" s="8772"/>
      <c r="G75" s="8769"/>
      <c r="H75" s="8775"/>
      <c r="I75" s="8777"/>
      <c r="J75" s="8779"/>
      <c r="K75" s="8762"/>
      <c r="L75" s="8762"/>
      <c r="M75" s="8762"/>
      <c r="N75" s="8764"/>
      <c r="O75" s="8762"/>
      <c r="P75" s="8762"/>
      <c r="Q75" s="8762"/>
      <c r="R75" s="8765"/>
      <c r="S75" s="8762"/>
      <c r="T75" s="1221"/>
      <c r="U75" s="1221"/>
      <c r="V75" s="1221"/>
      <c r="W75" s="1222"/>
      <c r="X75" s="1184"/>
      <c r="Y75" s="1184"/>
      <c r="Z75" s="1184"/>
      <c r="AA75" s="1184"/>
      <c r="AB75" s="1184"/>
      <c r="AC75" s="1184"/>
      <c r="AD75" s="1184"/>
      <c r="AE75" s="1184"/>
      <c r="AF75" s="1184"/>
      <c r="AG75" s="1184"/>
      <c r="AH75" s="1184"/>
      <c r="AI75" s="1184"/>
      <c r="AJ75" s="1184"/>
      <c r="AK75" s="1184"/>
      <c r="AL75" s="1184"/>
      <c r="AM75" s="1184"/>
      <c r="AN75" s="1184"/>
      <c r="AO75" s="1184"/>
      <c r="AP75" s="1184"/>
      <c r="AQ75" s="1184"/>
    </row>
    <row r="76" spans="1:43" s="1771" customFormat="1" ht="17.25" customHeight="1">
      <c r="A76" s="240"/>
      <c r="C76" s="239"/>
      <c r="D76" s="8768"/>
      <c r="E76" s="8770"/>
      <c r="F76" s="8772"/>
      <c r="G76" s="8770"/>
      <c r="H76" s="8775"/>
      <c r="I76" s="8777"/>
      <c r="J76" s="8780"/>
      <c r="K76" s="8762"/>
      <c r="L76" s="8762"/>
      <c r="M76" s="8762"/>
      <c r="N76" s="8765"/>
      <c r="O76" s="8762"/>
      <c r="P76" s="1363"/>
      <c r="Q76" s="1221"/>
      <c r="R76" s="1221"/>
      <c r="S76" s="251"/>
      <c r="T76" s="251"/>
      <c r="U76" s="251"/>
      <c r="V76" s="251"/>
      <c r="W76" s="1222"/>
      <c r="X76" s="1184"/>
      <c r="Y76" s="1184"/>
      <c r="Z76" s="1184"/>
      <c r="AA76" s="1184"/>
      <c r="AB76" s="1184"/>
      <c r="AC76" s="1184"/>
      <c r="AD76" s="1184"/>
      <c r="AE76" s="1184"/>
      <c r="AF76" s="1184"/>
      <c r="AG76" s="1184"/>
      <c r="AH76" s="1184"/>
      <c r="AI76" s="1184"/>
      <c r="AJ76" s="1184"/>
      <c r="AK76" s="1184"/>
      <c r="AL76" s="1184"/>
      <c r="AM76" s="1184"/>
      <c r="AN76" s="1184"/>
      <c r="AO76" s="1184"/>
      <c r="AP76" s="1184"/>
      <c r="AQ76" s="1184"/>
    </row>
    <row r="77" spans="1:43" s="1771" customFormat="1" ht="17.25" customHeight="1">
      <c r="A77" s="240"/>
      <c r="C77" s="239"/>
      <c r="D77" s="8768"/>
      <c r="E77" s="8770"/>
      <c r="F77" s="8772"/>
      <c r="G77" s="8770"/>
      <c r="H77" s="8775"/>
      <c r="I77" s="8777"/>
      <c r="J77" s="8780"/>
      <c r="K77" s="8762"/>
      <c r="L77" s="1221"/>
      <c r="M77" s="1221"/>
      <c r="N77" s="1221"/>
      <c r="O77" s="1221"/>
      <c r="P77" s="1221"/>
      <c r="Q77" s="1221"/>
      <c r="R77" s="1221"/>
      <c r="S77" s="251"/>
      <c r="T77" s="251"/>
      <c r="U77" s="251"/>
      <c r="V77" s="251"/>
      <c r="W77" s="1222"/>
      <c r="X77" s="1184"/>
      <c r="Y77" s="1184"/>
      <c r="Z77" s="1184"/>
      <c r="AA77" s="1184"/>
      <c r="AB77" s="1184"/>
      <c r="AC77" s="1184"/>
      <c r="AD77" s="1184"/>
      <c r="AE77" s="1184"/>
      <c r="AF77" s="1184"/>
      <c r="AG77" s="1184"/>
      <c r="AH77" s="1184"/>
      <c r="AI77" s="1184"/>
      <c r="AJ77" s="1184"/>
      <c r="AK77" s="1184"/>
      <c r="AL77" s="1184"/>
      <c r="AM77" s="1184"/>
      <c r="AN77" s="1184"/>
      <c r="AO77" s="1184"/>
      <c r="AP77" s="1184"/>
      <c r="AQ77" s="1184"/>
    </row>
    <row r="78" spans="1:43" s="1771" customFormat="1" ht="17.25" customHeight="1">
      <c r="A78" s="240"/>
      <c r="C78" s="239"/>
      <c r="D78" s="8768"/>
      <c r="E78" s="8770"/>
      <c r="F78" s="8773"/>
      <c r="G78" s="8770"/>
      <c r="H78" s="1223"/>
      <c r="I78" s="1224"/>
      <c r="J78" s="1224"/>
      <c r="K78" s="1224"/>
      <c r="L78" s="1224"/>
      <c r="M78" s="1224"/>
      <c r="N78" s="1224"/>
      <c r="O78" s="1224"/>
      <c r="P78" s="1224"/>
      <c r="Q78" s="1224"/>
      <c r="R78" s="1224"/>
      <c r="S78" s="1225"/>
      <c r="T78" s="1225"/>
      <c r="U78" s="1225"/>
      <c r="V78" s="1225"/>
      <c r="W78" s="1226"/>
      <c r="X78" s="1184"/>
      <c r="Y78" s="1184"/>
      <c r="Z78" s="1184"/>
      <c r="AA78" s="1184"/>
      <c r="AB78" s="1184"/>
      <c r="AC78" s="1184"/>
      <c r="AD78" s="1184"/>
      <c r="AE78" s="1184"/>
      <c r="AF78" s="1184"/>
      <c r="AG78" s="1184"/>
      <c r="AH78" s="1184"/>
      <c r="AI78" s="1184"/>
      <c r="AJ78" s="1184"/>
      <c r="AK78" s="1184"/>
      <c r="AL78" s="1184"/>
      <c r="AM78" s="1184"/>
      <c r="AN78" s="1184"/>
      <c r="AO78" s="1184"/>
      <c r="AP78" s="1184"/>
      <c r="AQ78" s="1184"/>
    </row>
    <row r="79" spans="1:43" s="1771" customFormat="1" ht="17.25" customHeight="1">
      <c r="A79" s="240"/>
      <c r="C79" s="126"/>
      <c r="D79" s="8767">
        <v>4</v>
      </c>
      <c r="E79" s="8769" t="s">
        <v>307</v>
      </c>
      <c r="F79" s="8771" t="s">
        <v>63</v>
      </c>
      <c r="G79" s="8783" t="str">
        <f>INDEX(COLDVSNA_PT_VED_NAME,MATCH(4189673,COLDVSNA_PT_VED_ID,0))</f>
        <v>Холодное водоснабжение. Подвозная вода</v>
      </c>
      <c r="H79" s="8806"/>
      <c r="I79" s="8806">
        <v>1</v>
      </c>
      <c r="J79" s="8805" t="s">
        <v>308</v>
      </c>
      <c r="K79" s="8808" t="s">
        <v>63</v>
      </c>
      <c r="L79" s="8735"/>
      <c r="M79" s="8735" t="s">
        <v>95</v>
      </c>
      <c r="N79" s="8810" t="str">
        <f>IF(Z79="","",INDEX(TERRITORY_MR_LIST,MATCH(Z79,TERRITORY_LIST_ID,0)))</f>
        <v>Территория 1</v>
      </c>
      <c r="O79" s="8808" t="s">
        <v>53</v>
      </c>
      <c r="P79" s="8735"/>
      <c r="Q79" s="8735" t="s">
        <v>95</v>
      </c>
      <c r="R79" s="8812" t="s">
        <v>24</v>
      </c>
      <c r="S79" s="8804" t="s">
        <v>53</v>
      </c>
      <c r="T79" s="1813"/>
      <c r="U79" s="1813" t="s">
        <v>95</v>
      </c>
      <c r="V79" s="1354"/>
      <c r="W79" s="8805"/>
      <c r="X79" s="1191"/>
      <c r="Y79" s="1191"/>
      <c r="Z79" s="1191" t="s">
        <v>94</v>
      </c>
      <c r="AA79" s="1191"/>
      <c r="AB79" s="1191" t="s">
        <v>309</v>
      </c>
      <c r="AC79" s="1191" t="s">
        <v>310</v>
      </c>
      <c r="AD79" s="1191" t="s">
        <v>311</v>
      </c>
      <c r="AE79" s="1191" t="s">
        <v>312</v>
      </c>
      <c r="AF79" s="1191" t="s">
        <v>313</v>
      </c>
      <c r="AG79" s="1191"/>
      <c r="AH79" s="1191" t="str">
        <f>IF($E$79=0,"",$E$79)</f>
        <v>Тариф на подвоз воды</v>
      </c>
      <c r="AI79" s="1191" t="str">
        <f>IF($G$79=0,"",$G$79)</f>
        <v>Холодное водоснабжение. Подвозная вода</v>
      </c>
      <c r="AJ79" s="1191" t="str">
        <f>IF($J$79=0,"",$J$79)</f>
        <v>Подвоз воды потребителям поселка Малостепновского</v>
      </c>
      <c r="AK79" s="1191" t="str">
        <f>IF($K$79="нет","без дифференциации",IF($N$79=0,"",$N$79))</f>
        <v>Территория 1</v>
      </c>
      <c r="AL79" s="1191" t="str">
        <f>IF($O$79="нет","без дифференциации",IF($R$79=0,"",$R$79))</f>
        <v>без дифференциации</v>
      </c>
      <c r="AM79" s="1191" t="str">
        <f>IF($S$79="нет","без дифференциации",IF($V$79=0,"",$V$79))</f>
        <v>без дифференциации</v>
      </c>
      <c r="AN79" s="1692">
        <f>$I$79</f>
        <v>1</v>
      </c>
      <c r="AO79" s="1191" t="str">
        <f>$I$79&amp;"."&amp;$M$79</f>
        <v>1.1</v>
      </c>
      <c r="AP79" s="1184" t="str">
        <f>$I$79&amp;"."&amp;$M$79&amp;"."&amp;$Q$79</f>
        <v>1.1.1</v>
      </c>
      <c r="AQ79" s="1184" t="str">
        <f>$I$79&amp;"."&amp;$M$79&amp;"."&amp;$Q$79&amp;"."&amp;$U$79</f>
        <v>1.1.1.1</v>
      </c>
    </row>
    <row r="80" spans="1:43" s="1771" customFormat="1" ht="17.25" customHeight="1">
      <c r="A80" s="240"/>
      <c r="C80" s="239"/>
      <c r="D80" s="8767"/>
      <c r="E80" s="8769"/>
      <c r="F80" s="8772"/>
      <c r="G80" s="8783"/>
      <c r="H80" s="8806"/>
      <c r="I80" s="8806"/>
      <c r="J80" s="8805"/>
      <c r="K80" s="8809"/>
      <c r="L80" s="8735"/>
      <c r="M80" s="8735"/>
      <c r="N80" s="8810"/>
      <c r="O80" s="8809"/>
      <c r="P80" s="8735"/>
      <c r="Q80" s="8735"/>
      <c r="R80" s="8812" t="s">
        <v>24</v>
      </c>
      <c r="S80" s="8804"/>
      <c r="T80" s="1355"/>
      <c r="U80" s="1356"/>
      <c r="V80" s="1356"/>
      <c r="W80" s="8805"/>
      <c r="X80" s="1184"/>
      <c r="Y80" s="1184"/>
      <c r="Z80" s="1184"/>
      <c r="AA80" s="1184"/>
      <c r="AB80" s="1184"/>
      <c r="AC80" s="1184"/>
      <c r="AD80" s="1184"/>
      <c r="AE80" s="1184"/>
      <c r="AF80" s="1184"/>
      <c r="AG80" s="1184"/>
      <c r="AH80" s="1184"/>
      <c r="AI80" s="1184"/>
      <c r="AJ80" s="1184"/>
      <c r="AK80" s="1184"/>
      <c r="AL80" s="1184"/>
      <c r="AM80" s="1184"/>
      <c r="AN80" s="1184"/>
      <c r="AO80" s="1184"/>
      <c r="AP80" s="1184"/>
      <c r="AQ80" s="1184"/>
    </row>
    <row r="81" spans="1:43" s="1771" customFormat="1" ht="17.25" customHeight="1">
      <c r="A81" s="240"/>
      <c r="C81" s="239"/>
      <c r="D81" s="8768"/>
      <c r="E81" s="8770"/>
      <c r="F81" s="8772"/>
      <c r="G81" s="8784"/>
      <c r="H81" s="8768"/>
      <c r="I81" s="8768"/>
      <c r="J81" s="8807"/>
      <c r="K81" s="8809"/>
      <c r="L81" s="8768"/>
      <c r="M81" s="8768"/>
      <c r="N81" s="8811"/>
      <c r="O81" s="8739"/>
      <c r="P81" s="1819"/>
      <c r="Q81" s="1820"/>
      <c r="R81" s="1821" t="s">
        <v>314</v>
      </c>
      <c r="S81" s="1822"/>
      <c r="T81" s="1823"/>
      <c r="U81" s="1824"/>
      <c r="V81" s="1825"/>
      <c r="W81" s="1826"/>
      <c r="X81" s="1184"/>
      <c r="Y81" s="1184"/>
      <c r="Z81" s="1184"/>
      <c r="AA81" s="1184"/>
      <c r="AB81" s="1184"/>
      <c r="AC81" s="1184"/>
      <c r="AD81" s="1184"/>
      <c r="AE81" s="1184"/>
      <c r="AF81" s="1184"/>
      <c r="AG81" s="1184"/>
      <c r="AH81" s="1184"/>
      <c r="AI81" s="1184"/>
      <c r="AJ81" s="1184"/>
      <c r="AK81" s="1184"/>
      <c r="AL81" s="1184"/>
      <c r="AM81" s="1184"/>
      <c r="AN81" s="1184"/>
      <c r="AO81" s="1184"/>
      <c r="AP81" s="1184"/>
      <c r="AQ81" s="1184"/>
    </row>
    <row r="82" spans="1:43" s="1771" customFormat="1" ht="17.25" customHeight="1">
      <c r="A82" s="240"/>
      <c r="C82" s="239"/>
      <c r="D82" s="8768"/>
      <c r="E82" s="8770"/>
      <c r="F82" s="8772"/>
      <c r="G82" s="8784"/>
      <c r="H82" s="8768"/>
      <c r="I82" s="8768"/>
      <c r="J82" s="8807"/>
      <c r="K82" s="8739"/>
      <c r="L82" s="1827"/>
      <c r="M82" s="1828"/>
      <c r="N82" s="1829" t="s">
        <v>315</v>
      </c>
      <c r="O82" s="1830"/>
      <c r="P82" s="1831"/>
      <c r="Q82" s="1832"/>
      <c r="R82" s="1833"/>
      <c r="S82" s="1834"/>
      <c r="T82" s="1835"/>
      <c r="U82" s="1836"/>
      <c r="V82" s="1837"/>
      <c r="W82" s="1838"/>
      <c r="X82" s="1184"/>
      <c r="Y82" s="1184"/>
      <c r="Z82" s="1184"/>
      <c r="AA82" s="1184"/>
      <c r="AB82" s="1184"/>
      <c r="AC82" s="1184"/>
      <c r="AD82" s="1184"/>
      <c r="AE82" s="1184"/>
      <c r="AF82" s="1184"/>
      <c r="AG82" s="1184"/>
      <c r="AH82" s="1184"/>
      <c r="AI82" s="1184"/>
      <c r="AJ82" s="1184"/>
      <c r="AK82" s="1184"/>
      <c r="AL82" s="1184"/>
      <c r="AM82" s="1184"/>
      <c r="AN82" s="1184"/>
      <c r="AO82" s="1184"/>
      <c r="AP82" s="1184"/>
      <c r="AQ82" s="1184"/>
    </row>
    <row r="83" spans="1:43" ht="17.25" customHeight="1">
      <c r="A83" s="1758"/>
      <c r="B83" s="1771"/>
      <c r="C83" s="1760"/>
      <c r="D83" s="8781"/>
      <c r="E83" s="8782"/>
      <c r="F83" s="8772"/>
      <c r="G83" s="8785"/>
      <c r="H83" s="8806" t="s">
        <v>100</v>
      </c>
      <c r="I83" s="8806" t="s">
        <v>99</v>
      </c>
      <c r="J83" s="8805" t="s">
        <v>316</v>
      </c>
      <c r="K83" s="8808" t="s">
        <v>63</v>
      </c>
      <c r="L83" s="8735"/>
      <c r="M83" s="8735" t="s">
        <v>95</v>
      </c>
      <c r="N83" s="8810" t="str">
        <f>IF(Z83="","",INDEX(TERRITORY_MR_LIST,MATCH(Z83,TERRITORY_LIST_ID,0)))</f>
        <v>Территория 1</v>
      </c>
      <c r="O83" s="8808" t="s">
        <v>53</v>
      </c>
      <c r="P83" s="8735"/>
      <c r="Q83" s="8735" t="s">
        <v>95</v>
      </c>
      <c r="R83" s="8812" t="s">
        <v>24</v>
      </c>
      <c r="S83" s="8804" t="s">
        <v>53</v>
      </c>
      <c r="T83" s="1722"/>
      <c r="U83" s="1722" t="s">
        <v>95</v>
      </c>
      <c r="V83" s="1354"/>
      <c r="W83" s="8805"/>
      <c r="Y83" s="1191"/>
      <c r="Z83" s="1191" t="s">
        <v>94</v>
      </c>
      <c r="AA83" s="1191"/>
      <c r="AB83" s="1191"/>
      <c r="AC83" s="1191" t="s">
        <v>310</v>
      </c>
      <c r="AD83" s="1191" t="s">
        <v>317</v>
      </c>
      <c r="AE83" s="1191" t="s">
        <v>318</v>
      </c>
      <c r="AF83" s="1191" t="s">
        <v>319</v>
      </c>
      <c r="AG83" s="1191" t="s">
        <v>320</v>
      </c>
      <c r="AH83" s="1191" t="str">
        <f>IF($E$79=0,"",$E$79)</f>
        <v>Тариф на подвоз воды</v>
      </c>
      <c r="AI83" s="1191" t="str">
        <f>IF($G$79=0,"",$G$79)</f>
        <v>Холодное водоснабжение. Подвозная вода</v>
      </c>
      <c r="AJ83" s="1191" t="str">
        <f>IF($J$83=0,"",$J$83)</f>
        <v>Подвоз воды потребителям хутора Репьевая</v>
      </c>
      <c r="AK83" s="1191" t="str">
        <f>IF($K$83="нет","без дифференциации",IF($N$83=0,"",$N$83))</f>
        <v>Территория 1</v>
      </c>
      <c r="AL83" s="1762" t="str">
        <f>IF($O$83="нет","без дифференциации",IF($R$83=0,"",$R$83))</f>
        <v>без дифференциации</v>
      </c>
      <c r="AM83" s="1762"/>
      <c r="AN83" s="1191" t="str">
        <f>$I$83</f>
        <v>2</v>
      </c>
      <c r="AO83" s="1191" t="str">
        <f>$I$83&amp;"."&amp;$M$83</f>
        <v>2.1</v>
      </c>
      <c r="AP83" s="1191" t="str">
        <f>$I$83&amp;"."&amp;$M$83&amp;"."&amp;$Q$83</f>
        <v>2.1.1</v>
      </c>
      <c r="AQ83" s="1191"/>
    </row>
    <row r="84" spans="1:43" ht="17.25" customHeight="1">
      <c r="A84" s="1758"/>
      <c r="B84" s="1771"/>
      <c r="C84" s="1763"/>
      <c r="D84" s="8781"/>
      <c r="E84" s="8782"/>
      <c r="F84" s="8772"/>
      <c r="G84" s="8785"/>
      <c r="H84" s="8806"/>
      <c r="I84" s="8806"/>
      <c r="J84" s="8805"/>
      <c r="K84" s="8809"/>
      <c r="L84" s="8735"/>
      <c r="M84" s="8735"/>
      <c r="N84" s="8810"/>
      <c r="O84" s="8809"/>
      <c r="P84" s="8735"/>
      <c r="Q84" s="8735"/>
      <c r="R84" s="8812" t="s">
        <v>24</v>
      </c>
      <c r="S84" s="8804"/>
      <c r="T84" s="1355"/>
      <c r="U84" s="1356"/>
      <c r="V84" s="1356"/>
      <c r="W84" s="8805"/>
      <c r="Y84" s="1184"/>
      <c r="Z84" s="1184"/>
      <c r="AA84" s="1184"/>
      <c r="AB84" s="1184"/>
      <c r="AC84" s="1184"/>
      <c r="AD84" s="1184"/>
      <c r="AE84" s="1184"/>
      <c r="AF84" s="1184"/>
      <c r="AG84" s="1184"/>
      <c r="AH84" s="1184"/>
      <c r="AI84" s="1184"/>
      <c r="AJ84" s="1184"/>
      <c r="AK84" s="1184"/>
      <c r="AL84" s="1771"/>
      <c r="AM84" s="1771"/>
      <c r="AN84" s="1771"/>
      <c r="AO84" s="1771"/>
      <c r="AP84" s="1771"/>
      <c r="AQ84" s="1771"/>
    </row>
    <row r="85" spans="1:43" ht="17.25" customHeight="1">
      <c r="A85" s="1758"/>
      <c r="B85" s="1771"/>
      <c r="C85" s="1763"/>
      <c r="D85" s="8781"/>
      <c r="E85" s="8782"/>
      <c r="F85" s="8772"/>
      <c r="G85" s="8785"/>
      <c r="H85" s="8768"/>
      <c r="I85" s="8768"/>
      <c r="J85" s="8807"/>
      <c r="K85" s="8809"/>
      <c r="L85" s="8768"/>
      <c r="M85" s="8768"/>
      <c r="N85" s="8811"/>
      <c r="O85" s="8739"/>
      <c r="P85" s="236"/>
      <c r="Q85" s="237"/>
      <c r="R85" s="237" t="s">
        <v>314</v>
      </c>
      <c r="S85" s="1764"/>
      <c r="T85" s="1764"/>
      <c r="U85" s="1764"/>
      <c r="V85" s="1764"/>
      <c r="W85" s="1353"/>
      <c r="Y85" s="1184"/>
      <c r="Z85" s="1184"/>
      <c r="AA85" s="1184"/>
      <c r="AB85" s="1184"/>
      <c r="AC85" s="1184"/>
      <c r="AD85" s="1184"/>
      <c r="AE85" s="1184"/>
      <c r="AF85" s="1184"/>
      <c r="AG85" s="1184"/>
      <c r="AH85" s="1184"/>
      <c r="AI85" s="1184"/>
      <c r="AJ85" s="1184"/>
      <c r="AK85" s="1184"/>
      <c r="AL85" s="1771"/>
      <c r="AM85" s="1771"/>
      <c r="AN85" s="1771"/>
      <c r="AO85" s="1771"/>
      <c r="AP85" s="1771"/>
      <c r="AQ85" s="1771"/>
    </row>
    <row r="86" spans="1:43" ht="17.25" customHeight="1">
      <c r="A86" s="1758"/>
      <c r="B86" s="1771"/>
      <c r="C86" s="1763"/>
      <c r="D86" s="8781"/>
      <c r="E86" s="8782"/>
      <c r="F86" s="8772"/>
      <c r="G86" s="8785"/>
      <c r="H86" s="8768"/>
      <c r="I86" s="8768"/>
      <c r="J86" s="8807"/>
      <c r="K86" s="8739"/>
      <c r="L86" s="236"/>
      <c r="M86" s="237"/>
      <c r="N86" s="237" t="s">
        <v>315</v>
      </c>
      <c r="O86" s="237"/>
      <c r="P86" s="237"/>
      <c r="Q86" s="237"/>
      <c r="R86" s="237"/>
      <c r="S86" s="1764"/>
      <c r="T86" s="1764"/>
      <c r="U86" s="1764"/>
      <c r="V86" s="1764"/>
      <c r="W86" s="238"/>
      <c r="Y86" s="1184"/>
      <c r="Z86" s="1184"/>
      <c r="AA86" s="1184"/>
      <c r="AB86" s="1184"/>
      <c r="AC86" s="1184"/>
      <c r="AD86" s="1184"/>
      <c r="AE86" s="1184"/>
      <c r="AF86" s="1184"/>
      <c r="AG86" s="1184"/>
      <c r="AH86" s="1184"/>
      <c r="AI86" s="1184"/>
      <c r="AJ86" s="1184"/>
      <c r="AK86" s="1184"/>
      <c r="AL86" s="1771"/>
      <c r="AM86" s="1771"/>
      <c r="AN86" s="1771"/>
      <c r="AO86" s="1771"/>
      <c r="AP86" s="1771"/>
      <c r="AQ86" s="1771"/>
    </row>
    <row r="87" spans="1:43" ht="17.25" customHeight="1">
      <c r="A87" s="1758"/>
      <c r="B87" s="1771"/>
      <c r="C87" s="1760"/>
      <c r="D87" s="8781"/>
      <c r="E87" s="8782"/>
      <c r="F87" s="8772"/>
      <c r="G87" s="8785"/>
      <c r="H87" s="8806" t="s">
        <v>100</v>
      </c>
      <c r="I87" s="8806" t="s">
        <v>86</v>
      </c>
      <c r="J87" s="8805" t="s">
        <v>321</v>
      </c>
      <c r="K87" s="8808" t="s">
        <v>63</v>
      </c>
      <c r="L87" s="8735"/>
      <c r="M87" s="8735" t="s">
        <v>95</v>
      </c>
      <c r="N87" s="8810" t="str">
        <f>IF(Z87="","",INDEX(TERRITORY_MR_LIST,MATCH(Z87,TERRITORY_LIST_ID,0)))</f>
        <v>Территория 1</v>
      </c>
      <c r="O87" s="8808" t="s">
        <v>53</v>
      </c>
      <c r="P87" s="8735"/>
      <c r="Q87" s="8735" t="s">
        <v>95</v>
      </c>
      <c r="R87" s="8812" t="s">
        <v>24</v>
      </c>
      <c r="S87" s="8804" t="s">
        <v>53</v>
      </c>
      <c r="T87" s="1722"/>
      <c r="U87" s="1722" t="s">
        <v>95</v>
      </c>
      <c r="V87" s="1354"/>
      <c r="W87" s="8805"/>
      <c r="Y87" s="1191"/>
      <c r="Z87" s="1191" t="s">
        <v>94</v>
      </c>
      <c r="AA87" s="1191"/>
      <c r="AB87" s="1191"/>
      <c r="AC87" s="1191" t="s">
        <v>310</v>
      </c>
      <c r="AD87" s="1191" t="s">
        <v>322</v>
      </c>
      <c r="AE87" s="1191" t="s">
        <v>323</v>
      </c>
      <c r="AF87" s="1191" t="s">
        <v>324</v>
      </c>
      <c r="AG87" s="1191" t="s">
        <v>325</v>
      </c>
      <c r="AH87" s="1191" t="str">
        <f>IF($E$79=0,"",$E$79)</f>
        <v>Тариф на подвоз воды</v>
      </c>
      <c r="AI87" s="1191" t="str">
        <f>IF($G$79=0,"",$G$79)</f>
        <v>Холодное водоснабжение. Подвозная вода</v>
      </c>
      <c r="AJ87" s="1191" t="str">
        <f>IF($J$87=0,"",$J$87)</f>
        <v>Подвоз воды потребителям хутора Красный Чонгарец</v>
      </c>
      <c r="AK87" s="1191" t="str">
        <f>IF($K$87="нет","без дифференциации",IF($N$87=0,"",$N$87))</f>
        <v>Территория 1</v>
      </c>
      <c r="AL87" s="1762" t="str">
        <f>IF($O$87="нет","без дифференциации",IF($R$87=0,"",$R$87))</f>
        <v>без дифференциации</v>
      </c>
      <c r="AM87" s="1762"/>
      <c r="AN87" s="1191" t="str">
        <f>$I$87</f>
        <v>3</v>
      </c>
      <c r="AO87" s="1191" t="str">
        <f>$I$87&amp;"."&amp;$M$87</f>
        <v>3.1</v>
      </c>
      <c r="AP87" s="1191" t="str">
        <f>$I$87&amp;"."&amp;$M$87&amp;"."&amp;$Q$87</f>
        <v>3.1.1</v>
      </c>
      <c r="AQ87" s="1191"/>
    </row>
    <row r="88" spans="1:43" ht="17.25" customHeight="1">
      <c r="A88" s="1758"/>
      <c r="B88" s="1771"/>
      <c r="C88" s="1763"/>
      <c r="D88" s="8781"/>
      <c r="E88" s="8782"/>
      <c r="F88" s="8772"/>
      <c r="G88" s="8785"/>
      <c r="H88" s="8806"/>
      <c r="I88" s="8806"/>
      <c r="J88" s="8805"/>
      <c r="K88" s="8809"/>
      <c r="L88" s="8735"/>
      <c r="M88" s="8735"/>
      <c r="N88" s="8810"/>
      <c r="O88" s="8809"/>
      <c r="P88" s="8735"/>
      <c r="Q88" s="8735"/>
      <c r="R88" s="8812" t="s">
        <v>24</v>
      </c>
      <c r="S88" s="8804"/>
      <c r="T88" s="1355"/>
      <c r="U88" s="1356"/>
      <c r="V88" s="1356"/>
      <c r="W88" s="8805"/>
      <c r="Y88" s="1184"/>
      <c r="Z88" s="1184"/>
      <c r="AA88" s="1184"/>
      <c r="AB88" s="1184"/>
      <c r="AC88" s="1184"/>
      <c r="AD88" s="1184"/>
      <c r="AE88" s="1184"/>
      <c r="AF88" s="1184"/>
      <c r="AG88" s="1184"/>
      <c r="AH88" s="1184"/>
      <c r="AI88" s="1184"/>
      <c r="AJ88" s="1184"/>
      <c r="AK88" s="1184"/>
      <c r="AL88" s="1771"/>
      <c r="AM88" s="1771"/>
      <c r="AN88" s="1771"/>
      <c r="AO88" s="1771"/>
      <c r="AP88" s="1771"/>
      <c r="AQ88" s="1771"/>
    </row>
    <row r="89" spans="1:43" ht="17.25" customHeight="1">
      <c r="A89" s="1758"/>
      <c r="B89" s="1771"/>
      <c r="C89" s="1763"/>
      <c r="D89" s="8781"/>
      <c r="E89" s="8782"/>
      <c r="F89" s="8772"/>
      <c r="G89" s="8785"/>
      <c r="H89" s="8768"/>
      <c r="I89" s="8768"/>
      <c r="J89" s="8807"/>
      <c r="K89" s="8809"/>
      <c r="L89" s="8768"/>
      <c r="M89" s="8768"/>
      <c r="N89" s="8811"/>
      <c r="O89" s="8739"/>
      <c r="P89" s="236"/>
      <c r="Q89" s="237"/>
      <c r="R89" s="237" t="s">
        <v>314</v>
      </c>
      <c r="S89" s="1764"/>
      <c r="T89" s="1764"/>
      <c r="U89" s="1764"/>
      <c r="V89" s="1764"/>
      <c r="W89" s="1353"/>
      <c r="Y89" s="1184"/>
      <c r="Z89" s="1184"/>
      <c r="AA89" s="1184"/>
      <c r="AB89" s="1184"/>
      <c r="AC89" s="1184"/>
      <c r="AD89" s="1184"/>
      <c r="AE89" s="1184"/>
      <c r="AF89" s="1184"/>
      <c r="AG89" s="1184"/>
      <c r="AH89" s="1184"/>
      <c r="AI89" s="1184"/>
      <c r="AJ89" s="1184"/>
      <c r="AK89" s="1184"/>
      <c r="AL89" s="1771"/>
      <c r="AM89" s="1771"/>
      <c r="AN89" s="1771"/>
      <c r="AO89" s="1771"/>
      <c r="AP89" s="1771"/>
      <c r="AQ89" s="1771"/>
    </row>
    <row r="90" spans="1:43" ht="17.25" customHeight="1">
      <c r="A90" s="1758"/>
      <c r="B90" s="1771"/>
      <c r="C90" s="1763"/>
      <c r="D90" s="8781"/>
      <c r="E90" s="8782"/>
      <c r="F90" s="8772"/>
      <c r="G90" s="8785"/>
      <c r="H90" s="8768"/>
      <c r="I90" s="8768"/>
      <c r="J90" s="8807"/>
      <c r="K90" s="8739"/>
      <c r="L90" s="236"/>
      <c r="M90" s="237"/>
      <c r="N90" s="237" t="s">
        <v>315</v>
      </c>
      <c r="O90" s="237"/>
      <c r="P90" s="237"/>
      <c r="Q90" s="237"/>
      <c r="R90" s="237"/>
      <c r="S90" s="1764"/>
      <c r="T90" s="1764"/>
      <c r="U90" s="1764"/>
      <c r="V90" s="1764"/>
      <c r="W90" s="238"/>
      <c r="Y90" s="1184"/>
      <c r="Z90" s="1184"/>
      <c r="AA90" s="1184"/>
      <c r="AB90" s="1184"/>
      <c r="AC90" s="1184"/>
      <c r="AD90" s="1184"/>
      <c r="AE90" s="1184"/>
      <c r="AF90" s="1184"/>
      <c r="AG90" s="1184"/>
      <c r="AH90" s="1184"/>
      <c r="AI90" s="1184"/>
      <c r="AJ90" s="1184"/>
      <c r="AK90" s="1184"/>
      <c r="AL90" s="1771"/>
      <c r="AM90" s="1771"/>
      <c r="AN90" s="1771"/>
      <c r="AO90" s="1771"/>
      <c r="AP90" s="1771"/>
      <c r="AQ90" s="1771"/>
    </row>
    <row r="91" spans="1:43" ht="17.25" customHeight="1">
      <c r="A91" s="1758"/>
      <c r="B91" s="1771"/>
      <c r="C91" s="1760"/>
      <c r="D91" s="8781"/>
      <c r="E91" s="8782"/>
      <c r="F91" s="8772"/>
      <c r="G91" s="8785"/>
      <c r="H91" s="8806" t="s">
        <v>100</v>
      </c>
      <c r="I91" s="8806" t="s">
        <v>87</v>
      </c>
      <c r="J91" s="8805" t="s">
        <v>326</v>
      </c>
      <c r="K91" s="8808" t="s">
        <v>63</v>
      </c>
      <c r="L91" s="8735"/>
      <c r="M91" s="8735" t="s">
        <v>95</v>
      </c>
      <c r="N91" s="8810" t="str">
        <f>IF(Z91="","",INDEX(TERRITORY_MR_LIST,MATCH(Z91,TERRITORY_LIST_ID,0)))</f>
        <v>Территория 2</v>
      </c>
      <c r="O91" s="8808" t="s">
        <v>53</v>
      </c>
      <c r="P91" s="8735"/>
      <c r="Q91" s="8735" t="s">
        <v>95</v>
      </c>
      <c r="R91" s="8812" t="s">
        <v>24</v>
      </c>
      <c r="S91" s="8804" t="s">
        <v>53</v>
      </c>
      <c r="T91" s="1722"/>
      <c r="U91" s="1722" t="s">
        <v>95</v>
      </c>
      <c r="V91" s="1354"/>
      <c r="W91" s="8805"/>
      <c r="Y91" s="1191"/>
      <c r="Z91" s="1191" t="s">
        <v>101</v>
      </c>
      <c r="AA91" s="1191"/>
      <c r="AB91" s="1191"/>
      <c r="AC91" s="1191" t="s">
        <v>310</v>
      </c>
      <c r="AD91" s="1191" t="s">
        <v>327</v>
      </c>
      <c r="AE91" s="1191" t="s">
        <v>328</v>
      </c>
      <c r="AF91" s="1191" t="s">
        <v>329</v>
      </c>
      <c r="AG91" s="1191" t="s">
        <v>330</v>
      </c>
      <c r="AH91" s="1191" t="str">
        <f>IF($E$79=0,"",$E$79)</f>
        <v>Тариф на подвоз воды</v>
      </c>
      <c r="AI91" s="1191" t="str">
        <f>IF($G$79=0,"",$G$79)</f>
        <v>Холодное водоснабжение. Подвозная вода</v>
      </c>
      <c r="AJ91" s="1191" t="str">
        <f>IF($J$91=0,"",$J$91)</f>
        <v>Подвоз воды потребителям села Киан-Подгорного</v>
      </c>
      <c r="AK91" s="1191" t="str">
        <f>IF($K$91="нет","без дифференциации",IF($N$91=0,"",$N$91))</f>
        <v>Территория 2</v>
      </c>
      <c r="AL91" s="1762" t="str">
        <f>IF($O$91="нет","без дифференциации",IF($R$91=0,"",$R$91))</f>
        <v>без дифференциации</v>
      </c>
      <c r="AM91" s="1762"/>
      <c r="AN91" s="1191" t="str">
        <f>$I$91</f>
        <v>4</v>
      </c>
      <c r="AO91" s="1191" t="str">
        <f>$I$91&amp;"."&amp;$M$91</f>
        <v>4.1</v>
      </c>
      <c r="AP91" s="1191" t="str">
        <f>$I$91&amp;"."&amp;$M$91&amp;"."&amp;$Q$91</f>
        <v>4.1.1</v>
      </c>
      <c r="AQ91" s="1191"/>
    </row>
    <row r="92" spans="1:43" ht="17.25" customHeight="1">
      <c r="A92" s="1758"/>
      <c r="B92" s="1771"/>
      <c r="C92" s="1763"/>
      <c r="D92" s="8781"/>
      <c r="E92" s="8782"/>
      <c r="F92" s="8772"/>
      <c r="G92" s="8785"/>
      <c r="H92" s="8806"/>
      <c r="I92" s="8806"/>
      <c r="J92" s="8805"/>
      <c r="K92" s="8809"/>
      <c r="L92" s="8735"/>
      <c r="M92" s="8735"/>
      <c r="N92" s="8810"/>
      <c r="O92" s="8809"/>
      <c r="P92" s="8735"/>
      <c r="Q92" s="8735"/>
      <c r="R92" s="8812" t="s">
        <v>24</v>
      </c>
      <c r="S92" s="8804"/>
      <c r="T92" s="1355"/>
      <c r="U92" s="1356"/>
      <c r="V92" s="1356"/>
      <c r="W92" s="8805"/>
      <c r="Y92" s="1184"/>
      <c r="Z92" s="1184"/>
      <c r="AA92" s="1184"/>
      <c r="AB92" s="1184"/>
      <c r="AC92" s="1184"/>
      <c r="AD92" s="1184"/>
      <c r="AE92" s="1184"/>
      <c r="AF92" s="1184"/>
      <c r="AG92" s="1184"/>
      <c r="AH92" s="1184"/>
      <c r="AI92" s="1184"/>
      <c r="AJ92" s="1184"/>
      <c r="AK92" s="1184"/>
      <c r="AL92" s="1771"/>
      <c r="AM92" s="1771"/>
      <c r="AN92" s="1771"/>
      <c r="AO92" s="1771"/>
      <c r="AP92" s="1771"/>
      <c r="AQ92" s="1771"/>
    </row>
    <row r="93" spans="1:43" ht="17.25" customHeight="1">
      <c r="A93" s="1758"/>
      <c r="B93" s="1771"/>
      <c r="C93" s="1763"/>
      <c r="D93" s="8781"/>
      <c r="E93" s="8782"/>
      <c r="F93" s="8772"/>
      <c r="G93" s="8785"/>
      <c r="H93" s="8768"/>
      <c r="I93" s="8768"/>
      <c r="J93" s="8807"/>
      <c r="K93" s="8809"/>
      <c r="L93" s="8768"/>
      <c r="M93" s="8768"/>
      <c r="N93" s="8811"/>
      <c r="O93" s="8739"/>
      <c r="P93" s="236"/>
      <c r="Q93" s="237"/>
      <c r="R93" s="237" t="s">
        <v>314</v>
      </c>
      <c r="S93" s="1764"/>
      <c r="T93" s="1764"/>
      <c r="U93" s="1764"/>
      <c r="V93" s="1764"/>
      <c r="W93" s="1353"/>
      <c r="Y93" s="1184"/>
      <c r="Z93" s="1184"/>
      <c r="AA93" s="1184"/>
      <c r="AB93" s="1184"/>
      <c r="AC93" s="1184"/>
      <c r="AD93" s="1184"/>
      <c r="AE93" s="1184"/>
      <c r="AF93" s="1184"/>
      <c r="AG93" s="1184"/>
      <c r="AH93" s="1184"/>
      <c r="AI93" s="1184"/>
      <c r="AJ93" s="1184"/>
      <c r="AK93" s="1184"/>
      <c r="AL93" s="1771"/>
      <c r="AM93" s="1771"/>
      <c r="AN93" s="1771"/>
      <c r="AO93" s="1771"/>
      <c r="AP93" s="1771"/>
      <c r="AQ93" s="1771"/>
    </row>
    <row r="94" spans="1:43" ht="17.25" customHeight="1">
      <c r="A94" s="1758"/>
      <c r="B94" s="1771"/>
      <c r="C94" s="1763"/>
      <c r="D94" s="8781"/>
      <c r="E94" s="8782"/>
      <c r="F94" s="8772"/>
      <c r="G94" s="8785"/>
      <c r="H94" s="8768"/>
      <c r="I94" s="8768"/>
      <c r="J94" s="8807"/>
      <c r="K94" s="8739"/>
      <c r="L94" s="236"/>
      <c r="M94" s="237"/>
      <c r="N94" s="237" t="s">
        <v>315</v>
      </c>
      <c r="O94" s="237"/>
      <c r="P94" s="237"/>
      <c r="Q94" s="237"/>
      <c r="R94" s="237"/>
      <c r="S94" s="1764"/>
      <c r="T94" s="1764"/>
      <c r="U94" s="1764"/>
      <c r="V94" s="1764"/>
      <c r="W94" s="238"/>
      <c r="Y94" s="1184"/>
      <c r="Z94" s="1184"/>
      <c r="AA94" s="1184"/>
      <c r="AB94" s="1184"/>
      <c r="AC94" s="1184"/>
      <c r="AD94" s="1184"/>
      <c r="AE94" s="1184"/>
      <c r="AF94" s="1184"/>
      <c r="AG94" s="1184"/>
      <c r="AH94" s="1184"/>
      <c r="AI94" s="1184"/>
      <c r="AJ94" s="1184"/>
      <c r="AK94" s="1184"/>
      <c r="AL94" s="1771"/>
      <c r="AM94" s="1771"/>
      <c r="AN94" s="1771"/>
      <c r="AO94" s="1771"/>
      <c r="AP94" s="1771"/>
      <c r="AQ94" s="1771"/>
    </row>
    <row r="95" spans="1:43" ht="17.25" customHeight="1">
      <c r="A95" s="1758"/>
      <c r="B95" s="1771"/>
      <c r="C95" s="1760"/>
      <c r="D95" s="8781"/>
      <c r="E95" s="8782"/>
      <c r="F95" s="8772"/>
      <c r="G95" s="8785"/>
      <c r="H95" s="8806" t="s">
        <v>100</v>
      </c>
      <c r="I95" s="8806" t="s">
        <v>113</v>
      </c>
      <c r="J95" s="8805" t="s">
        <v>331</v>
      </c>
      <c r="K95" s="8808" t="s">
        <v>63</v>
      </c>
      <c r="L95" s="8735"/>
      <c r="M95" s="8735" t="s">
        <v>95</v>
      </c>
      <c r="N95" s="8810" t="str">
        <f>IF(Z95="","",INDEX(TERRITORY_MR_LIST,MATCH(Z95,TERRITORY_LIST_ID,0)))</f>
        <v>Территория 2</v>
      </c>
      <c r="O95" s="8808" t="s">
        <v>53</v>
      </c>
      <c r="P95" s="8735"/>
      <c r="Q95" s="8735" t="s">
        <v>95</v>
      </c>
      <c r="R95" s="8812" t="s">
        <v>24</v>
      </c>
      <c r="S95" s="8804" t="s">
        <v>53</v>
      </c>
      <c r="T95" s="1722"/>
      <c r="U95" s="1722" t="s">
        <v>95</v>
      </c>
      <c r="V95" s="1354"/>
      <c r="W95" s="8805"/>
      <c r="Y95" s="1191"/>
      <c r="Z95" s="1191" t="s">
        <v>101</v>
      </c>
      <c r="AA95" s="1191"/>
      <c r="AB95" s="1191"/>
      <c r="AC95" s="1191" t="s">
        <v>310</v>
      </c>
      <c r="AD95" s="1191" t="s">
        <v>332</v>
      </c>
      <c r="AE95" s="1191" t="s">
        <v>333</v>
      </c>
      <c r="AF95" s="1191" t="s">
        <v>334</v>
      </c>
      <c r="AG95" s="1191" t="s">
        <v>335</v>
      </c>
      <c r="AH95" s="1191" t="str">
        <f>IF($E$79=0,"",$E$79)</f>
        <v>Тариф на подвоз воды</v>
      </c>
      <c r="AI95" s="1191" t="str">
        <f>IF($G$79=0,"",$G$79)</f>
        <v>Холодное водоснабжение. Подвозная вода</v>
      </c>
      <c r="AJ95" s="1191" t="str">
        <f>IF($J$95=0,"",$J$95)</f>
        <v>Подвоз воды потребителям села Водораздел</v>
      </c>
      <c r="AK95" s="1191" t="str">
        <f>IF($K$95="нет","без дифференциации",IF($N$95=0,"",$N$95))</f>
        <v>Территория 2</v>
      </c>
      <c r="AL95" s="1762" t="str">
        <f>IF($O$95="нет","без дифференциации",IF($R$95=0,"",$R$95))</f>
        <v>без дифференциации</v>
      </c>
      <c r="AM95" s="1762"/>
      <c r="AN95" s="1191" t="str">
        <f>$I$95</f>
        <v>5</v>
      </c>
      <c r="AO95" s="1191" t="str">
        <f>$I$95&amp;"."&amp;$M$95</f>
        <v>5.1</v>
      </c>
      <c r="AP95" s="1191" t="str">
        <f>$I$95&amp;"."&amp;$M$95&amp;"."&amp;$Q$95</f>
        <v>5.1.1</v>
      </c>
      <c r="AQ95" s="1191"/>
    </row>
    <row r="96" spans="1:43" ht="17.25" customHeight="1">
      <c r="A96" s="1758"/>
      <c r="B96" s="1771"/>
      <c r="C96" s="1763"/>
      <c r="D96" s="8781"/>
      <c r="E96" s="8782"/>
      <c r="F96" s="8772"/>
      <c r="G96" s="8785"/>
      <c r="H96" s="8806"/>
      <c r="I96" s="8806"/>
      <c r="J96" s="8805"/>
      <c r="K96" s="8809"/>
      <c r="L96" s="8735"/>
      <c r="M96" s="8735"/>
      <c r="N96" s="8810"/>
      <c r="O96" s="8809"/>
      <c r="P96" s="8735"/>
      <c r="Q96" s="8735"/>
      <c r="R96" s="8812" t="s">
        <v>24</v>
      </c>
      <c r="S96" s="8804"/>
      <c r="T96" s="1355"/>
      <c r="U96" s="1356"/>
      <c r="V96" s="1356"/>
      <c r="W96" s="8805"/>
      <c r="Y96" s="1184"/>
      <c r="Z96" s="1184"/>
      <c r="AA96" s="1184"/>
      <c r="AB96" s="1184"/>
      <c r="AC96" s="1184"/>
      <c r="AD96" s="1184"/>
      <c r="AE96" s="1184"/>
      <c r="AF96" s="1184"/>
      <c r="AG96" s="1184"/>
      <c r="AH96" s="1184"/>
      <c r="AI96" s="1184"/>
      <c r="AJ96" s="1184"/>
      <c r="AK96" s="1184"/>
      <c r="AL96" s="1771"/>
      <c r="AM96" s="1771"/>
      <c r="AN96" s="1771"/>
      <c r="AO96" s="1771"/>
      <c r="AP96" s="1771"/>
      <c r="AQ96" s="1771"/>
    </row>
    <row r="97" spans="1:43" ht="17.25" customHeight="1">
      <c r="A97" s="1758"/>
      <c r="B97" s="1771"/>
      <c r="C97" s="1763"/>
      <c r="D97" s="8781"/>
      <c r="E97" s="8782"/>
      <c r="F97" s="8772"/>
      <c r="G97" s="8785"/>
      <c r="H97" s="8768"/>
      <c r="I97" s="8768"/>
      <c r="J97" s="8807"/>
      <c r="K97" s="8809"/>
      <c r="L97" s="8768"/>
      <c r="M97" s="8768"/>
      <c r="N97" s="8811"/>
      <c r="O97" s="8739"/>
      <c r="P97" s="236"/>
      <c r="Q97" s="237"/>
      <c r="R97" s="237" t="s">
        <v>314</v>
      </c>
      <c r="S97" s="1764"/>
      <c r="T97" s="1764"/>
      <c r="U97" s="1764"/>
      <c r="V97" s="1764"/>
      <c r="W97" s="1353"/>
      <c r="Y97" s="1184"/>
      <c r="Z97" s="1184"/>
      <c r="AA97" s="1184"/>
      <c r="AB97" s="1184"/>
      <c r="AC97" s="1184"/>
      <c r="AD97" s="1184"/>
      <c r="AE97" s="1184"/>
      <c r="AF97" s="1184"/>
      <c r="AG97" s="1184"/>
      <c r="AH97" s="1184"/>
      <c r="AI97" s="1184"/>
      <c r="AJ97" s="1184"/>
      <c r="AK97" s="1184"/>
      <c r="AL97" s="1771"/>
      <c r="AM97" s="1771"/>
      <c r="AN97" s="1771"/>
      <c r="AO97" s="1771"/>
      <c r="AP97" s="1771"/>
      <c r="AQ97" s="1771"/>
    </row>
    <row r="98" spans="1:43" ht="17.25" customHeight="1">
      <c r="A98" s="1758"/>
      <c r="B98" s="1771"/>
      <c r="C98" s="1763"/>
      <c r="D98" s="8781"/>
      <c r="E98" s="8782"/>
      <c r="F98" s="8772"/>
      <c r="G98" s="8785"/>
      <c r="H98" s="8768"/>
      <c r="I98" s="8768"/>
      <c r="J98" s="8807"/>
      <c r="K98" s="8739"/>
      <c r="L98" s="236"/>
      <c r="M98" s="237"/>
      <c r="N98" s="237" t="s">
        <v>315</v>
      </c>
      <c r="O98" s="237"/>
      <c r="P98" s="237"/>
      <c r="Q98" s="237"/>
      <c r="R98" s="237"/>
      <c r="S98" s="1764"/>
      <c r="T98" s="1764"/>
      <c r="U98" s="1764"/>
      <c r="V98" s="1764"/>
      <c r="W98" s="238"/>
      <c r="Y98" s="1184"/>
      <c r="Z98" s="1184"/>
      <c r="AA98" s="1184"/>
      <c r="AB98" s="1184"/>
      <c r="AC98" s="1184"/>
      <c r="AD98" s="1184"/>
      <c r="AE98" s="1184"/>
      <c r="AF98" s="1184"/>
      <c r="AG98" s="1184"/>
      <c r="AH98" s="1184"/>
      <c r="AI98" s="1184"/>
      <c r="AJ98" s="1184"/>
      <c r="AK98" s="1184"/>
      <c r="AL98" s="1771"/>
      <c r="AM98" s="1771"/>
      <c r="AN98" s="1771"/>
      <c r="AO98" s="1771"/>
      <c r="AP98" s="1771"/>
      <c r="AQ98" s="1771"/>
    </row>
    <row r="99" spans="1:43" ht="17.25" customHeight="1">
      <c r="A99" s="1758"/>
      <c r="B99" s="1771"/>
      <c r="C99" s="1760"/>
      <c r="D99" s="8781"/>
      <c r="E99" s="8782"/>
      <c r="F99" s="8772"/>
      <c r="G99" s="8785"/>
      <c r="H99" s="8806" t="s">
        <v>100</v>
      </c>
      <c r="I99" s="8806" t="s">
        <v>88</v>
      </c>
      <c r="J99" s="8805" t="s">
        <v>336</v>
      </c>
      <c r="K99" s="8808" t="s">
        <v>63</v>
      </c>
      <c r="L99" s="8735"/>
      <c r="M99" s="8735" t="s">
        <v>95</v>
      </c>
      <c r="N99" s="8810" t="str">
        <f>IF(Z99="","",INDEX(TERRITORY_MR_LIST,MATCH(Z99,TERRITORY_LIST_ID,0)))</f>
        <v>Территория 2</v>
      </c>
      <c r="O99" s="8808" t="s">
        <v>53</v>
      </c>
      <c r="P99" s="8735"/>
      <c r="Q99" s="8735" t="s">
        <v>95</v>
      </c>
      <c r="R99" s="8812" t="s">
        <v>24</v>
      </c>
      <c r="S99" s="8804" t="s">
        <v>53</v>
      </c>
      <c r="T99" s="1722"/>
      <c r="U99" s="1722" t="s">
        <v>95</v>
      </c>
      <c r="V99" s="1354"/>
      <c r="W99" s="8805"/>
      <c r="Y99" s="1191"/>
      <c r="Z99" s="1191" t="s">
        <v>101</v>
      </c>
      <c r="AA99" s="1191"/>
      <c r="AB99" s="1191"/>
      <c r="AC99" s="1191" t="s">
        <v>310</v>
      </c>
      <c r="AD99" s="1191" t="s">
        <v>337</v>
      </c>
      <c r="AE99" s="1191" t="s">
        <v>338</v>
      </c>
      <c r="AF99" s="1191" t="s">
        <v>339</v>
      </c>
      <c r="AG99" s="1191" t="s">
        <v>340</v>
      </c>
      <c r="AH99" s="1191" t="str">
        <f>IF($E$79=0,"",$E$79)</f>
        <v>Тариф на подвоз воды</v>
      </c>
      <c r="AI99" s="1191" t="str">
        <f>IF($G$79=0,"",$G$79)</f>
        <v>Холодное водоснабжение. Подвозная вода</v>
      </c>
      <c r="AJ99" s="1191" t="str">
        <f>IF($J$99=0,"",$J$99)</f>
        <v>Подвоз воды потребителям хутора Павловка</v>
      </c>
      <c r="AK99" s="1191" t="str">
        <f>IF($K$99="нет","без дифференциации",IF($N$99=0,"",$N$99))</f>
        <v>Территория 2</v>
      </c>
      <c r="AL99" s="1762" t="str">
        <f>IF($O$99="нет","без дифференциации",IF($R$99=0,"",$R$99))</f>
        <v>без дифференциации</v>
      </c>
      <c r="AM99" s="1762"/>
      <c r="AN99" s="1191" t="str">
        <f>$I$99</f>
        <v>6</v>
      </c>
      <c r="AO99" s="1191" t="str">
        <f>$I$99&amp;"."&amp;$M$99</f>
        <v>6.1</v>
      </c>
      <c r="AP99" s="1191" t="str">
        <f>$I$99&amp;"."&amp;$M$99&amp;"."&amp;$Q$99</f>
        <v>6.1.1</v>
      </c>
      <c r="AQ99" s="1191"/>
    </row>
    <row r="100" spans="1:43" ht="17.25" customHeight="1">
      <c r="A100" s="1758"/>
      <c r="B100" s="1771"/>
      <c r="C100" s="1763"/>
      <c r="D100" s="8781"/>
      <c r="E100" s="8782"/>
      <c r="F100" s="8772"/>
      <c r="G100" s="8785"/>
      <c r="H100" s="8806"/>
      <c r="I100" s="8806"/>
      <c r="J100" s="8805"/>
      <c r="K100" s="8809"/>
      <c r="L100" s="8735"/>
      <c r="M100" s="8735"/>
      <c r="N100" s="8810"/>
      <c r="O100" s="8809"/>
      <c r="P100" s="8735"/>
      <c r="Q100" s="8735"/>
      <c r="R100" s="8812" t="s">
        <v>24</v>
      </c>
      <c r="S100" s="8804"/>
      <c r="T100" s="1355"/>
      <c r="U100" s="1356"/>
      <c r="V100" s="1356"/>
      <c r="W100" s="8805"/>
      <c r="Y100" s="1184"/>
      <c r="Z100" s="1184"/>
      <c r="AA100" s="1184"/>
      <c r="AB100" s="1184"/>
      <c r="AC100" s="1184"/>
      <c r="AD100" s="1184"/>
      <c r="AE100" s="1184"/>
      <c r="AF100" s="1184"/>
      <c r="AG100" s="1184"/>
      <c r="AH100" s="1184"/>
      <c r="AI100" s="1184"/>
      <c r="AJ100" s="1184"/>
      <c r="AK100" s="1184"/>
      <c r="AL100" s="1771"/>
      <c r="AM100" s="1771"/>
      <c r="AN100" s="1771"/>
      <c r="AO100" s="1771"/>
      <c r="AP100" s="1771"/>
      <c r="AQ100" s="1771"/>
    </row>
    <row r="101" spans="1:43" ht="17.25" customHeight="1">
      <c r="A101" s="1758"/>
      <c r="B101" s="1771"/>
      <c r="C101" s="1763"/>
      <c r="D101" s="8781"/>
      <c r="E101" s="8782"/>
      <c r="F101" s="8772"/>
      <c r="G101" s="8785"/>
      <c r="H101" s="8768"/>
      <c r="I101" s="8768"/>
      <c r="J101" s="8807"/>
      <c r="K101" s="8809"/>
      <c r="L101" s="8768"/>
      <c r="M101" s="8768"/>
      <c r="N101" s="8811"/>
      <c r="O101" s="8739"/>
      <c r="P101" s="236"/>
      <c r="Q101" s="237"/>
      <c r="R101" s="237" t="s">
        <v>314</v>
      </c>
      <c r="S101" s="1764"/>
      <c r="T101" s="1764"/>
      <c r="U101" s="1764"/>
      <c r="V101" s="1764"/>
      <c r="W101" s="1353"/>
      <c r="Y101" s="1184"/>
      <c r="Z101" s="1184"/>
      <c r="AA101" s="1184"/>
      <c r="AB101" s="1184"/>
      <c r="AC101" s="1184"/>
      <c r="AD101" s="1184"/>
      <c r="AE101" s="1184"/>
      <c r="AF101" s="1184"/>
      <c r="AG101" s="1184"/>
      <c r="AH101" s="1184"/>
      <c r="AI101" s="1184"/>
      <c r="AJ101" s="1184"/>
      <c r="AK101" s="1184"/>
      <c r="AL101" s="1771"/>
      <c r="AM101" s="1771"/>
      <c r="AN101" s="1771"/>
      <c r="AO101" s="1771"/>
      <c r="AP101" s="1771"/>
      <c r="AQ101" s="1771"/>
    </row>
    <row r="102" spans="1:43" ht="17.25" customHeight="1">
      <c r="A102" s="1758"/>
      <c r="B102" s="1771"/>
      <c r="C102" s="1763"/>
      <c r="D102" s="8781"/>
      <c r="E102" s="8782"/>
      <c r="F102" s="8772"/>
      <c r="G102" s="8785"/>
      <c r="H102" s="8768"/>
      <c r="I102" s="8768"/>
      <c r="J102" s="8807"/>
      <c r="K102" s="8739"/>
      <c r="L102" s="236"/>
      <c r="M102" s="237"/>
      <c r="N102" s="237" t="s">
        <v>315</v>
      </c>
      <c r="O102" s="237"/>
      <c r="P102" s="237"/>
      <c r="Q102" s="237"/>
      <c r="R102" s="237"/>
      <c r="S102" s="1764"/>
      <c r="T102" s="1764"/>
      <c r="U102" s="1764"/>
      <c r="V102" s="1764"/>
      <c r="W102" s="238"/>
      <c r="Y102" s="1184"/>
      <c r="Z102" s="1184"/>
      <c r="AA102" s="1184"/>
      <c r="AB102" s="1184"/>
      <c r="AC102" s="1184"/>
      <c r="AD102" s="1184"/>
      <c r="AE102" s="1184"/>
      <c r="AF102" s="1184"/>
      <c r="AG102" s="1184"/>
      <c r="AH102" s="1184"/>
      <c r="AI102" s="1184"/>
      <c r="AJ102" s="1184"/>
      <c r="AK102" s="1184"/>
      <c r="AL102" s="1771"/>
      <c r="AM102" s="1771"/>
      <c r="AN102" s="1771"/>
      <c r="AO102" s="1771"/>
      <c r="AP102" s="1771"/>
      <c r="AQ102" s="1771"/>
    </row>
    <row r="103" spans="1:43" ht="17.25" customHeight="1">
      <c r="A103" s="1758"/>
      <c r="B103" s="1771"/>
      <c r="C103" s="1760"/>
      <c r="D103" s="8781"/>
      <c r="E103" s="8782"/>
      <c r="F103" s="8772"/>
      <c r="G103" s="8785"/>
      <c r="H103" s="8806" t="s">
        <v>100</v>
      </c>
      <c r="I103" s="8806" t="s">
        <v>89</v>
      </c>
      <c r="J103" s="8805" t="s">
        <v>341</v>
      </c>
      <c r="K103" s="8808" t="s">
        <v>63</v>
      </c>
      <c r="L103" s="8735"/>
      <c r="M103" s="8735" t="s">
        <v>95</v>
      </c>
      <c r="N103" s="8810" t="str">
        <f>IF(Z103="","",INDEX(TERRITORY_MR_LIST,MATCH(Z103,TERRITORY_LIST_ID,0)))</f>
        <v>Территория 2</v>
      </c>
      <c r="O103" s="8808" t="s">
        <v>53</v>
      </c>
      <c r="P103" s="8735"/>
      <c r="Q103" s="8735" t="s">
        <v>95</v>
      </c>
      <c r="R103" s="8812" t="s">
        <v>24</v>
      </c>
      <c r="S103" s="8804" t="s">
        <v>53</v>
      </c>
      <c r="T103" s="1722"/>
      <c r="U103" s="1722" t="s">
        <v>95</v>
      </c>
      <c r="V103" s="1354"/>
      <c r="W103" s="8805"/>
      <c r="Y103" s="1191"/>
      <c r="Z103" s="1191" t="s">
        <v>101</v>
      </c>
      <c r="AA103" s="1191"/>
      <c r="AB103" s="1191"/>
      <c r="AC103" s="1191" t="s">
        <v>310</v>
      </c>
      <c r="AD103" s="1191" t="s">
        <v>342</v>
      </c>
      <c r="AE103" s="1191" t="s">
        <v>343</v>
      </c>
      <c r="AF103" s="1191" t="s">
        <v>344</v>
      </c>
      <c r="AG103" s="1191" t="s">
        <v>345</v>
      </c>
      <c r="AH103" s="1191" t="str">
        <f>IF($E$79=0,"",$E$79)</f>
        <v>Тариф на подвоз воды</v>
      </c>
      <c r="AI103" s="1191" t="str">
        <f>IF($G$79=0,"",$G$79)</f>
        <v>Холодное водоснабжение. Подвозная вода</v>
      </c>
      <c r="AJ103" s="1191" t="str">
        <f>IF($J$103=0,"",$J$103)</f>
        <v>Подвоз воды потребителям хутора Весёлого</v>
      </c>
      <c r="AK103" s="1191" t="str">
        <f>IF($K$103="нет","без дифференциации",IF($N$103=0,"",$N$103))</f>
        <v>Территория 2</v>
      </c>
      <c r="AL103" s="1762" t="str">
        <f>IF($O$103="нет","без дифференциации",IF($R$103=0,"",$R$103))</f>
        <v>без дифференциации</v>
      </c>
      <c r="AM103" s="1762"/>
      <c r="AN103" s="1191" t="str">
        <f>$I$103</f>
        <v>7</v>
      </c>
      <c r="AO103" s="1191" t="str">
        <f>$I$103&amp;"."&amp;$M$103</f>
        <v>7.1</v>
      </c>
      <c r="AP103" s="1191" t="str">
        <f>$I$103&amp;"."&amp;$M$103&amp;"."&amp;$Q$103</f>
        <v>7.1.1</v>
      </c>
      <c r="AQ103" s="1191"/>
    </row>
    <row r="104" spans="1:43" ht="17.25" customHeight="1">
      <c r="A104" s="1758"/>
      <c r="B104" s="1771"/>
      <c r="C104" s="1763"/>
      <c r="D104" s="8781"/>
      <c r="E104" s="8782"/>
      <c r="F104" s="8772"/>
      <c r="G104" s="8785"/>
      <c r="H104" s="8806"/>
      <c r="I104" s="8806"/>
      <c r="J104" s="8805"/>
      <c r="K104" s="8809"/>
      <c r="L104" s="8735"/>
      <c r="M104" s="8735"/>
      <c r="N104" s="8810"/>
      <c r="O104" s="8809"/>
      <c r="P104" s="8735"/>
      <c r="Q104" s="8735"/>
      <c r="R104" s="8812" t="s">
        <v>24</v>
      </c>
      <c r="S104" s="8804"/>
      <c r="T104" s="1355"/>
      <c r="U104" s="1356"/>
      <c r="V104" s="1356"/>
      <c r="W104" s="8805"/>
      <c r="Y104" s="1184"/>
      <c r="Z104" s="1184"/>
      <c r="AA104" s="1184"/>
      <c r="AB104" s="1184"/>
      <c r="AC104" s="1184"/>
      <c r="AD104" s="1184"/>
      <c r="AE104" s="1184"/>
      <c r="AF104" s="1184"/>
      <c r="AG104" s="1184"/>
      <c r="AH104" s="1184"/>
      <c r="AI104" s="1184"/>
      <c r="AJ104" s="1184"/>
      <c r="AK104" s="1184"/>
      <c r="AL104" s="1771"/>
      <c r="AM104" s="1771"/>
      <c r="AN104" s="1771"/>
      <c r="AO104" s="1771"/>
      <c r="AP104" s="1771"/>
      <c r="AQ104" s="1771"/>
    </row>
    <row r="105" spans="1:43" ht="17.25" customHeight="1">
      <c r="A105" s="1758"/>
      <c r="B105" s="1771"/>
      <c r="C105" s="1763"/>
      <c r="D105" s="8781"/>
      <c r="E105" s="8782"/>
      <c r="F105" s="8772"/>
      <c r="G105" s="8785"/>
      <c r="H105" s="8768"/>
      <c r="I105" s="8768"/>
      <c r="J105" s="8807"/>
      <c r="K105" s="8809"/>
      <c r="L105" s="8768"/>
      <c r="M105" s="8768"/>
      <c r="N105" s="8811"/>
      <c r="O105" s="8739"/>
      <c r="P105" s="236"/>
      <c r="Q105" s="237"/>
      <c r="R105" s="237" t="s">
        <v>314</v>
      </c>
      <c r="S105" s="1764"/>
      <c r="T105" s="1764"/>
      <c r="U105" s="1764"/>
      <c r="V105" s="1764"/>
      <c r="W105" s="1353"/>
      <c r="Y105" s="1184"/>
      <c r="Z105" s="1184"/>
      <c r="AA105" s="1184"/>
      <c r="AB105" s="1184"/>
      <c r="AC105" s="1184"/>
      <c r="AD105" s="1184"/>
      <c r="AE105" s="1184"/>
      <c r="AF105" s="1184"/>
      <c r="AG105" s="1184"/>
      <c r="AH105" s="1184"/>
      <c r="AI105" s="1184"/>
      <c r="AJ105" s="1184"/>
      <c r="AK105" s="1184"/>
      <c r="AL105" s="1771"/>
      <c r="AM105" s="1771"/>
      <c r="AN105" s="1771"/>
      <c r="AO105" s="1771"/>
      <c r="AP105" s="1771"/>
      <c r="AQ105" s="1771"/>
    </row>
    <row r="106" spans="1:43" ht="17.25" customHeight="1">
      <c r="A106" s="1758"/>
      <c r="B106" s="1771"/>
      <c r="C106" s="1763"/>
      <c r="D106" s="8781"/>
      <c r="E106" s="8782"/>
      <c r="F106" s="8772"/>
      <c r="G106" s="8785"/>
      <c r="H106" s="8768"/>
      <c r="I106" s="8768"/>
      <c r="J106" s="8807"/>
      <c r="K106" s="8739"/>
      <c r="L106" s="236"/>
      <c r="M106" s="237"/>
      <c r="N106" s="237" t="s">
        <v>315</v>
      </c>
      <c r="O106" s="237"/>
      <c r="P106" s="237"/>
      <c r="Q106" s="237"/>
      <c r="R106" s="237"/>
      <c r="S106" s="1764"/>
      <c r="T106" s="1764"/>
      <c r="U106" s="1764"/>
      <c r="V106" s="1764"/>
      <c r="W106" s="238"/>
      <c r="Y106" s="1184"/>
      <c r="Z106" s="1184"/>
      <c r="AA106" s="1184"/>
      <c r="AB106" s="1184"/>
      <c r="AC106" s="1184"/>
      <c r="AD106" s="1184"/>
      <c r="AE106" s="1184"/>
      <c r="AF106" s="1184"/>
      <c r="AG106" s="1184"/>
      <c r="AH106" s="1184"/>
      <c r="AI106" s="1184"/>
      <c r="AJ106" s="1184"/>
      <c r="AK106" s="1184"/>
      <c r="AL106" s="1771"/>
      <c r="AM106" s="1771"/>
      <c r="AN106" s="1771"/>
      <c r="AO106" s="1771"/>
      <c r="AP106" s="1771"/>
      <c r="AQ106" s="1771"/>
    </row>
    <row r="107" spans="1:43" ht="17.25" customHeight="1">
      <c r="A107" s="1758"/>
      <c r="B107" s="1771"/>
      <c r="C107" s="1760"/>
      <c r="D107" s="8781"/>
      <c r="E107" s="8782"/>
      <c r="F107" s="8772"/>
      <c r="G107" s="8785"/>
      <c r="H107" s="8806" t="s">
        <v>100</v>
      </c>
      <c r="I107" s="8806" t="s">
        <v>126</v>
      </c>
      <c r="J107" s="8805" t="s">
        <v>346</v>
      </c>
      <c r="K107" s="8808" t="s">
        <v>63</v>
      </c>
      <c r="L107" s="8735"/>
      <c r="M107" s="8735" t="s">
        <v>95</v>
      </c>
      <c r="N107" s="8810" t="str">
        <f>IF(Z107="","",INDEX(TERRITORY_MR_LIST,MATCH(Z107,TERRITORY_LIST_ID,0)))</f>
        <v>Территория 3</v>
      </c>
      <c r="O107" s="8808" t="s">
        <v>53</v>
      </c>
      <c r="P107" s="8735"/>
      <c r="Q107" s="8735" t="s">
        <v>95</v>
      </c>
      <c r="R107" s="8812" t="s">
        <v>24</v>
      </c>
      <c r="S107" s="8804" t="s">
        <v>53</v>
      </c>
      <c r="T107" s="1722"/>
      <c r="U107" s="1722" t="s">
        <v>95</v>
      </c>
      <c r="V107" s="1354"/>
      <c r="W107" s="8805"/>
      <c r="Y107" s="1191"/>
      <c r="Z107" s="1191" t="s">
        <v>105</v>
      </c>
      <c r="AA107" s="1191"/>
      <c r="AB107" s="1191"/>
      <c r="AC107" s="1191" t="s">
        <v>310</v>
      </c>
      <c r="AD107" s="1191" t="s">
        <v>347</v>
      </c>
      <c r="AE107" s="1191" t="s">
        <v>348</v>
      </c>
      <c r="AF107" s="1191" t="s">
        <v>349</v>
      </c>
      <c r="AG107" s="1191" t="s">
        <v>350</v>
      </c>
      <c r="AH107" s="1191" t="str">
        <f>IF($E$79=0,"",$E$79)</f>
        <v>Тариф на подвоз воды</v>
      </c>
      <c r="AI107" s="1191" t="str">
        <f>IF($G$79=0,"",$G$79)</f>
        <v>Холодное водоснабжение. Подвозная вода</v>
      </c>
      <c r="AJ107" s="1191" t="str">
        <f>IF($J$107=0,"",$J$107)</f>
        <v>Подвоз воды потребителям поселка Вишнёвого</v>
      </c>
      <c r="AK107" s="1191" t="str">
        <f>IF($K$107="нет","без дифференциации",IF($N$107=0,"",$N$107))</f>
        <v>Территория 3</v>
      </c>
      <c r="AL107" s="1762" t="str">
        <f>IF($O$107="нет","без дифференциации",IF($R$107=0,"",$R$107))</f>
        <v>без дифференциации</v>
      </c>
      <c r="AM107" s="1762"/>
      <c r="AN107" s="1191" t="str">
        <f>$I$107</f>
        <v>8</v>
      </c>
      <c r="AO107" s="1191" t="str">
        <f>$I$107&amp;"."&amp;$M$107</f>
        <v>8.1</v>
      </c>
      <c r="AP107" s="1191" t="str">
        <f>$I$107&amp;"."&amp;$M$107&amp;"."&amp;$Q$107</f>
        <v>8.1.1</v>
      </c>
      <c r="AQ107" s="1191"/>
    </row>
    <row r="108" spans="1:43" ht="17.25" customHeight="1">
      <c r="A108" s="1758"/>
      <c r="B108" s="1771"/>
      <c r="C108" s="1763"/>
      <c r="D108" s="8781"/>
      <c r="E108" s="8782"/>
      <c r="F108" s="8772"/>
      <c r="G108" s="8785"/>
      <c r="H108" s="8806"/>
      <c r="I108" s="8806"/>
      <c r="J108" s="8805"/>
      <c r="K108" s="8809"/>
      <c r="L108" s="8735"/>
      <c r="M108" s="8735"/>
      <c r="N108" s="8810"/>
      <c r="O108" s="8809"/>
      <c r="P108" s="8735"/>
      <c r="Q108" s="8735"/>
      <c r="R108" s="8812" t="s">
        <v>24</v>
      </c>
      <c r="S108" s="8804"/>
      <c r="T108" s="1355"/>
      <c r="U108" s="1356"/>
      <c r="V108" s="1356"/>
      <c r="W108" s="8805"/>
      <c r="Y108" s="1184"/>
      <c r="Z108" s="1184"/>
      <c r="AA108" s="1184"/>
      <c r="AB108" s="1184"/>
      <c r="AC108" s="1184"/>
      <c r="AD108" s="1184"/>
      <c r="AE108" s="1184"/>
      <c r="AF108" s="1184"/>
      <c r="AG108" s="1184"/>
      <c r="AH108" s="1184"/>
      <c r="AI108" s="1184"/>
      <c r="AJ108" s="1184"/>
      <c r="AK108" s="1184"/>
      <c r="AL108" s="1771"/>
      <c r="AM108" s="1771"/>
      <c r="AN108" s="1771"/>
      <c r="AO108" s="1771"/>
      <c r="AP108" s="1771"/>
      <c r="AQ108" s="1771"/>
    </row>
    <row r="109" spans="1:43" ht="17.25" customHeight="1">
      <c r="A109" s="1758"/>
      <c r="B109" s="1771"/>
      <c r="C109" s="1763"/>
      <c r="D109" s="8781"/>
      <c r="E109" s="8782"/>
      <c r="F109" s="8772"/>
      <c r="G109" s="8785"/>
      <c r="H109" s="8768"/>
      <c r="I109" s="8768"/>
      <c r="J109" s="8807"/>
      <c r="K109" s="8809"/>
      <c r="L109" s="8768"/>
      <c r="M109" s="8768"/>
      <c r="N109" s="8811"/>
      <c r="O109" s="8739"/>
      <c r="P109" s="236"/>
      <c r="Q109" s="237"/>
      <c r="R109" s="237" t="s">
        <v>314</v>
      </c>
      <c r="S109" s="1764"/>
      <c r="T109" s="1764"/>
      <c r="U109" s="1764"/>
      <c r="V109" s="1764"/>
      <c r="W109" s="1353"/>
      <c r="Y109" s="1184"/>
      <c r="Z109" s="1184"/>
      <c r="AA109" s="1184"/>
      <c r="AB109" s="1184"/>
      <c r="AC109" s="1184"/>
      <c r="AD109" s="1184"/>
      <c r="AE109" s="1184"/>
      <c r="AF109" s="1184"/>
      <c r="AG109" s="1184"/>
      <c r="AH109" s="1184"/>
      <c r="AI109" s="1184"/>
      <c r="AJ109" s="1184"/>
      <c r="AK109" s="1184"/>
      <c r="AL109" s="1771"/>
      <c r="AM109" s="1771"/>
      <c r="AN109" s="1771"/>
      <c r="AO109" s="1771"/>
      <c r="AP109" s="1771"/>
      <c r="AQ109" s="1771"/>
    </row>
    <row r="110" spans="1:43" ht="17.25" customHeight="1">
      <c r="A110" s="1758"/>
      <c r="B110" s="1771"/>
      <c r="C110" s="1763"/>
      <c r="D110" s="8781"/>
      <c r="E110" s="8782"/>
      <c r="F110" s="8772"/>
      <c r="G110" s="8785"/>
      <c r="H110" s="8768"/>
      <c r="I110" s="8768"/>
      <c r="J110" s="8807"/>
      <c r="K110" s="8739"/>
      <c r="L110" s="236"/>
      <c r="M110" s="237"/>
      <c r="N110" s="237" t="s">
        <v>315</v>
      </c>
      <c r="O110" s="237"/>
      <c r="P110" s="237"/>
      <c r="Q110" s="237"/>
      <c r="R110" s="237"/>
      <c r="S110" s="1764"/>
      <c r="T110" s="1764"/>
      <c r="U110" s="1764"/>
      <c r="V110" s="1764"/>
      <c r="W110" s="238"/>
      <c r="Y110" s="1184"/>
      <c r="Z110" s="1184"/>
      <c r="AA110" s="1184"/>
      <c r="AB110" s="1184"/>
      <c r="AC110" s="1184"/>
      <c r="AD110" s="1184"/>
      <c r="AE110" s="1184"/>
      <c r="AF110" s="1184"/>
      <c r="AG110" s="1184"/>
      <c r="AH110" s="1184"/>
      <c r="AI110" s="1184"/>
      <c r="AJ110" s="1184"/>
      <c r="AK110" s="1184"/>
      <c r="AL110" s="1771"/>
      <c r="AM110" s="1771"/>
      <c r="AN110" s="1771"/>
      <c r="AO110" s="1771"/>
      <c r="AP110" s="1771"/>
      <c r="AQ110" s="1771"/>
    </row>
    <row r="111" spans="1:43" ht="17.25" customHeight="1">
      <c r="A111" s="1758"/>
      <c r="B111" s="1771"/>
      <c r="C111" s="1760"/>
      <c r="D111" s="8781"/>
      <c r="E111" s="8782"/>
      <c r="F111" s="8772"/>
      <c r="G111" s="8785"/>
      <c r="H111" s="8806" t="s">
        <v>100</v>
      </c>
      <c r="I111" s="8806" t="s">
        <v>131</v>
      </c>
      <c r="J111" s="8805" t="s">
        <v>351</v>
      </c>
      <c r="K111" s="8808" t="s">
        <v>63</v>
      </c>
      <c r="L111" s="8735"/>
      <c r="M111" s="8735" t="s">
        <v>95</v>
      </c>
      <c r="N111" s="8810" t="str">
        <f>IF(Z111="","",INDEX(TERRITORY_MR_LIST,MATCH(Z111,TERRITORY_LIST_ID,0)))</f>
        <v>Территория 4</v>
      </c>
      <c r="O111" s="8808" t="s">
        <v>53</v>
      </c>
      <c r="P111" s="8735"/>
      <c r="Q111" s="8735" t="s">
        <v>95</v>
      </c>
      <c r="R111" s="8812" t="s">
        <v>24</v>
      </c>
      <c r="S111" s="8804" t="s">
        <v>53</v>
      </c>
      <c r="T111" s="1722"/>
      <c r="U111" s="1722" t="s">
        <v>95</v>
      </c>
      <c r="V111" s="1354"/>
      <c r="W111" s="8805"/>
      <c r="Y111" s="1191"/>
      <c r="Z111" s="1191" t="s">
        <v>109</v>
      </c>
      <c r="AA111" s="1191"/>
      <c r="AB111" s="1191"/>
      <c r="AC111" s="1191" t="s">
        <v>310</v>
      </c>
      <c r="AD111" s="1191" t="s">
        <v>352</v>
      </c>
      <c r="AE111" s="1191" t="s">
        <v>353</v>
      </c>
      <c r="AF111" s="1191" t="s">
        <v>354</v>
      </c>
      <c r="AG111" s="1191" t="s">
        <v>355</v>
      </c>
      <c r="AH111" s="1191" t="str">
        <f>IF($E$79=0,"",$E$79)</f>
        <v>Тариф на подвоз воды</v>
      </c>
      <c r="AI111" s="1191" t="str">
        <f>IF($G$79=0,"",$G$79)</f>
        <v>Холодное водоснабжение. Подвозная вода</v>
      </c>
      <c r="AJ111" s="1191" t="str">
        <f>IF($J$111=0,"",$J$111)</f>
        <v>Подвоз воды потребителям поселка Степного</v>
      </c>
      <c r="AK111" s="1191" t="str">
        <f>IF($K$111="нет","без дифференциации",IF($N$111=0,"",$N$111))</f>
        <v>Территория 4</v>
      </c>
      <c r="AL111" s="1762" t="str">
        <f>IF($O$111="нет","без дифференциации",IF($R$111=0,"",$R$111))</f>
        <v>без дифференциации</v>
      </c>
      <c r="AM111" s="1762"/>
      <c r="AN111" s="1191" t="str">
        <f>$I$111</f>
        <v>9</v>
      </c>
      <c r="AO111" s="1191" t="str">
        <f>$I$111&amp;"."&amp;$M$111</f>
        <v>9.1</v>
      </c>
      <c r="AP111" s="1191" t="str">
        <f>$I$111&amp;"."&amp;$M$111&amp;"."&amp;$Q$111</f>
        <v>9.1.1</v>
      </c>
      <c r="AQ111" s="1191"/>
    </row>
    <row r="112" spans="1:43" ht="17.25" customHeight="1">
      <c r="A112" s="1758"/>
      <c r="B112" s="1771"/>
      <c r="C112" s="1763"/>
      <c r="D112" s="8781"/>
      <c r="E112" s="8782"/>
      <c r="F112" s="8772"/>
      <c r="G112" s="8785"/>
      <c r="H112" s="8806"/>
      <c r="I112" s="8806"/>
      <c r="J112" s="8805"/>
      <c r="K112" s="8809"/>
      <c r="L112" s="8735"/>
      <c r="M112" s="8735"/>
      <c r="N112" s="8810"/>
      <c r="O112" s="8809"/>
      <c r="P112" s="8735"/>
      <c r="Q112" s="8735"/>
      <c r="R112" s="8812" t="s">
        <v>24</v>
      </c>
      <c r="S112" s="8804"/>
      <c r="T112" s="1355"/>
      <c r="U112" s="1356"/>
      <c r="V112" s="1356"/>
      <c r="W112" s="8805"/>
      <c r="Y112" s="1184"/>
      <c r="Z112" s="1184"/>
      <c r="AA112" s="1184"/>
      <c r="AB112" s="1184"/>
      <c r="AC112" s="1184"/>
      <c r="AD112" s="1184"/>
      <c r="AE112" s="1184"/>
      <c r="AF112" s="1184"/>
      <c r="AG112" s="1184"/>
      <c r="AH112" s="1184"/>
      <c r="AI112" s="1184"/>
      <c r="AJ112" s="1184"/>
      <c r="AK112" s="1184"/>
      <c r="AL112" s="1771"/>
      <c r="AM112" s="1771"/>
      <c r="AN112" s="1771"/>
      <c r="AO112" s="1771"/>
      <c r="AP112" s="1771"/>
      <c r="AQ112" s="1771"/>
    </row>
    <row r="113" spans="1:43" ht="17.25" customHeight="1">
      <c r="A113" s="1758"/>
      <c r="B113" s="1771"/>
      <c r="C113" s="1763"/>
      <c r="D113" s="8781"/>
      <c r="E113" s="8782"/>
      <c r="F113" s="8772"/>
      <c r="G113" s="8785"/>
      <c r="H113" s="8768"/>
      <c r="I113" s="8768"/>
      <c r="J113" s="8807"/>
      <c r="K113" s="8809"/>
      <c r="L113" s="8768"/>
      <c r="M113" s="8768"/>
      <c r="N113" s="8811"/>
      <c r="O113" s="8739"/>
      <c r="P113" s="236"/>
      <c r="Q113" s="237"/>
      <c r="R113" s="237" t="s">
        <v>314</v>
      </c>
      <c r="S113" s="1764"/>
      <c r="T113" s="1764"/>
      <c r="U113" s="1764"/>
      <c r="V113" s="1764"/>
      <c r="W113" s="1353"/>
      <c r="Y113" s="1184"/>
      <c r="Z113" s="1184"/>
      <c r="AA113" s="1184"/>
      <c r="AB113" s="1184"/>
      <c r="AC113" s="1184"/>
      <c r="AD113" s="1184"/>
      <c r="AE113" s="1184"/>
      <c r="AF113" s="1184"/>
      <c r="AG113" s="1184"/>
      <c r="AH113" s="1184"/>
      <c r="AI113" s="1184"/>
      <c r="AJ113" s="1184"/>
      <c r="AK113" s="1184"/>
      <c r="AL113" s="1771"/>
      <c r="AM113" s="1771"/>
      <c r="AN113" s="1771"/>
      <c r="AO113" s="1771"/>
      <c r="AP113" s="1771"/>
      <c r="AQ113" s="1771"/>
    </row>
    <row r="114" spans="1:43" ht="17.25" customHeight="1">
      <c r="A114" s="1758"/>
      <c r="B114" s="1771"/>
      <c r="C114" s="1763"/>
      <c r="D114" s="8781"/>
      <c r="E114" s="8782"/>
      <c r="F114" s="8772"/>
      <c r="G114" s="8785"/>
      <c r="H114" s="8768"/>
      <c r="I114" s="8768"/>
      <c r="J114" s="8807"/>
      <c r="K114" s="8739"/>
      <c r="L114" s="236"/>
      <c r="M114" s="237"/>
      <c r="N114" s="237" t="s">
        <v>315</v>
      </c>
      <c r="O114" s="237"/>
      <c r="P114" s="237"/>
      <c r="Q114" s="237"/>
      <c r="R114" s="237"/>
      <c r="S114" s="1764"/>
      <c r="T114" s="1764"/>
      <c r="U114" s="1764"/>
      <c r="V114" s="1764"/>
      <c r="W114" s="238"/>
      <c r="Y114" s="1184"/>
      <c r="Z114" s="1184"/>
      <c r="AA114" s="1184"/>
      <c r="AB114" s="1184"/>
      <c r="AC114" s="1184"/>
      <c r="AD114" s="1184"/>
      <c r="AE114" s="1184"/>
      <c r="AF114" s="1184"/>
      <c r="AG114" s="1184"/>
      <c r="AH114" s="1184"/>
      <c r="AI114" s="1184"/>
      <c r="AJ114" s="1184"/>
      <c r="AK114" s="1184"/>
      <c r="AL114" s="1771"/>
      <c r="AM114" s="1771"/>
      <c r="AN114" s="1771"/>
      <c r="AO114" s="1771"/>
      <c r="AP114" s="1771"/>
      <c r="AQ114" s="1771"/>
    </row>
    <row r="115" spans="1:43" ht="17.25" customHeight="1">
      <c r="A115" s="1758"/>
      <c r="B115" s="1771"/>
      <c r="C115" s="1760"/>
      <c r="D115" s="8781"/>
      <c r="E115" s="8782"/>
      <c r="F115" s="8772"/>
      <c r="G115" s="8785"/>
      <c r="H115" s="8806" t="s">
        <v>100</v>
      </c>
      <c r="I115" s="8806" t="s">
        <v>136</v>
      </c>
      <c r="J115" s="8805" t="s">
        <v>356</v>
      </c>
      <c r="K115" s="8808" t="s">
        <v>63</v>
      </c>
      <c r="L115" s="8735"/>
      <c r="M115" s="8735" t="s">
        <v>95</v>
      </c>
      <c r="N115" s="8810" t="str">
        <f>IF(Z115="","",INDEX(TERRITORY_MR_LIST,MATCH(Z115,TERRITORY_LIST_ID,0)))</f>
        <v>Территория 5</v>
      </c>
      <c r="O115" s="8808" t="s">
        <v>53</v>
      </c>
      <c r="P115" s="8735"/>
      <c r="Q115" s="8735" t="s">
        <v>95</v>
      </c>
      <c r="R115" s="8812" t="s">
        <v>24</v>
      </c>
      <c r="S115" s="8804" t="s">
        <v>53</v>
      </c>
      <c r="T115" s="1722"/>
      <c r="U115" s="1722" t="s">
        <v>95</v>
      </c>
      <c r="V115" s="1354"/>
      <c r="W115" s="8805"/>
      <c r="Y115" s="1191"/>
      <c r="Z115" s="1191" t="s">
        <v>114</v>
      </c>
      <c r="AA115" s="1191"/>
      <c r="AB115" s="1191"/>
      <c r="AC115" s="1191" t="s">
        <v>310</v>
      </c>
      <c r="AD115" s="1191" t="s">
        <v>357</v>
      </c>
      <c r="AE115" s="1191" t="s">
        <v>358</v>
      </c>
      <c r="AF115" s="1191" t="s">
        <v>359</v>
      </c>
      <c r="AG115" s="1191" t="s">
        <v>360</v>
      </c>
      <c r="AH115" s="1191" t="str">
        <f>IF($E$79=0,"",$E$79)</f>
        <v>Тариф на подвоз воды</v>
      </c>
      <c r="AI115" s="1191" t="str">
        <f>IF($G$79=0,"",$G$79)</f>
        <v>Холодное водоснабжение. Подвозная вода</v>
      </c>
      <c r="AJ115" s="1191" t="str">
        <f>IF($J$115=0,"",$J$115)</f>
        <v>Подвоз воды потребителям поселка Лугового</v>
      </c>
      <c r="AK115" s="1191" t="str">
        <f>IF($K$115="нет","без дифференциации",IF($N$115=0,"",$N$115))</f>
        <v>Территория 5</v>
      </c>
      <c r="AL115" s="1762" t="str">
        <f>IF($O$115="нет","без дифференциации",IF($R$115=0,"",$R$115))</f>
        <v>без дифференциации</v>
      </c>
      <c r="AM115" s="1762"/>
      <c r="AN115" s="1191" t="str">
        <f>$I$115</f>
        <v>10</v>
      </c>
      <c r="AO115" s="1191" t="str">
        <f>$I$115&amp;"."&amp;$M$115</f>
        <v>10.1</v>
      </c>
      <c r="AP115" s="1191" t="str">
        <f>$I$115&amp;"."&amp;$M$115&amp;"."&amp;$Q$115</f>
        <v>10.1.1</v>
      </c>
      <c r="AQ115" s="1191"/>
    </row>
    <row r="116" spans="1:43" ht="17.25" customHeight="1">
      <c r="A116" s="1758"/>
      <c r="B116" s="1771"/>
      <c r="C116" s="1763"/>
      <c r="D116" s="8781"/>
      <c r="E116" s="8782"/>
      <c r="F116" s="8772"/>
      <c r="G116" s="8785"/>
      <c r="H116" s="8806"/>
      <c r="I116" s="8806"/>
      <c r="J116" s="8805"/>
      <c r="K116" s="8809"/>
      <c r="L116" s="8735"/>
      <c r="M116" s="8735"/>
      <c r="N116" s="8810"/>
      <c r="O116" s="8809"/>
      <c r="P116" s="8735"/>
      <c r="Q116" s="8735"/>
      <c r="R116" s="8812" t="s">
        <v>24</v>
      </c>
      <c r="S116" s="8804"/>
      <c r="T116" s="1355"/>
      <c r="U116" s="1356"/>
      <c r="V116" s="1356"/>
      <c r="W116" s="8805"/>
      <c r="Y116" s="1184"/>
      <c r="Z116" s="1184"/>
      <c r="AA116" s="1184"/>
      <c r="AB116" s="1184"/>
      <c r="AC116" s="1184"/>
      <c r="AD116" s="1184"/>
      <c r="AE116" s="1184"/>
      <c r="AF116" s="1184"/>
      <c r="AG116" s="1184"/>
      <c r="AH116" s="1184"/>
      <c r="AI116" s="1184"/>
      <c r="AJ116" s="1184"/>
      <c r="AK116" s="1184"/>
      <c r="AL116" s="1771"/>
      <c r="AM116" s="1771"/>
      <c r="AN116" s="1771"/>
      <c r="AO116" s="1771"/>
      <c r="AP116" s="1771"/>
      <c r="AQ116" s="1771"/>
    </row>
    <row r="117" spans="1:43" ht="17.25" customHeight="1">
      <c r="A117" s="1758"/>
      <c r="B117" s="1771"/>
      <c r="C117" s="1763"/>
      <c r="D117" s="8781"/>
      <c r="E117" s="8782"/>
      <c r="F117" s="8772"/>
      <c r="G117" s="8785"/>
      <c r="H117" s="8768"/>
      <c r="I117" s="8768"/>
      <c r="J117" s="8807"/>
      <c r="K117" s="8809"/>
      <c r="L117" s="8768"/>
      <c r="M117" s="8768"/>
      <c r="N117" s="8811"/>
      <c r="O117" s="8739"/>
      <c r="P117" s="236"/>
      <c r="Q117" s="237"/>
      <c r="R117" s="237" t="s">
        <v>314</v>
      </c>
      <c r="S117" s="1764"/>
      <c r="T117" s="1764"/>
      <c r="U117" s="1764"/>
      <c r="V117" s="1764"/>
      <c r="W117" s="1353"/>
      <c r="Y117" s="1184"/>
      <c r="Z117" s="1184"/>
      <c r="AA117" s="1184"/>
      <c r="AB117" s="1184"/>
      <c r="AC117" s="1184"/>
      <c r="AD117" s="1184"/>
      <c r="AE117" s="1184"/>
      <c r="AF117" s="1184"/>
      <c r="AG117" s="1184"/>
      <c r="AH117" s="1184"/>
      <c r="AI117" s="1184"/>
      <c r="AJ117" s="1184"/>
      <c r="AK117" s="1184"/>
      <c r="AL117" s="1771"/>
      <c r="AM117" s="1771"/>
      <c r="AN117" s="1771"/>
      <c r="AO117" s="1771"/>
      <c r="AP117" s="1771"/>
      <c r="AQ117" s="1771"/>
    </row>
    <row r="118" spans="1:43" ht="17.25" customHeight="1">
      <c r="A118" s="1758"/>
      <c r="B118" s="1771"/>
      <c r="C118" s="1763"/>
      <c r="D118" s="8781"/>
      <c r="E118" s="8782"/>
      <c r="F118" s="8772"/>
      <c r="G118" s="8785"/>
      <c r="H118" s="8768"/>
      <c r="I118" s="8768"/>
      <c r="J118" s="8807"/>
      <c r="K118" s="8739"/>
      <c r="L118" s="236"/>
      <c r="M118" s="237"/>
      <c r="N118" s="237" t="s">
        <v>315</v>
      </c>
      <c r="O118" s="237"/>
      <c r="P118" s="237"/>
      <c r="Q118" s="237"/>
      <c r="R118" s="237"/>
      <c r="S118" s="1764"/>
      <c r="T118" s="1764"/>
      <c r="U118" s="1764"/>
      <c r="V118" s="1764"/>
      <c r="W118" s="238"/>
      <c r="Y118" s="1184"/>
      <c r="Z118" s="1184"/>
      <c r="AA118" s="1184"/>
      <c r="AB118" s="1184"/>
      <c r="AC118" s="1184"/>
      <c r="AD118" s="1184"/>
      <c r="AE118" s="1184"/>
      <c r="AF118" s="1184"/>
      <c r="AG118" s="1184"/>
      <c r="AH118" s="1184"/>
      <c r="AI118" s="1184"/>
      <c r="AJ118" s="1184"/>
      <c r="AK118" s="1184"/>
      <c r="AL118" s="1771"/>
      <c r="AM118" s="1771"/>
      <c r="AN118" s="1771"/>
      <c r="AO118" s="1771"/>
      <c r="AP118" s="1771"/>
      <c r="AQ118" s="1771"/>
    </row>
    <row r="119" spans="1:43" ht="17.25" customHeight="1">
      <c r="A119" s="1758"/>
      <c r="B119" s="1771"/>
      <c r="C119" s="1760"/>
      <c r="D119" s="8781"/>
      <c r="E119" s="8782"/>
      <c r="F119" s="8772"/>
      <c r="G119" s="8785"/>
      <c r="H119" s="8806" t="s">
        <v>100</v>
      </c>
      <c r="I119" s="8806" t="s">
        <v>102</v>
      </c>
      <c r="J119" s="8805" t="s">
        <v>361</v>
      </c>
      <c r="K119" s="8808" t="s">
        <v>63</v>
      </c>
      <c r="L119" s="8735"/>
      <c r="M119" s="8735" t="s">
        <v>95</v>
      </c>
      <c r="N119" s="8810" t="str">
        <f>IF(Z119="","",INDEX(TERRITORY_MR_LIST,MATCH(Z119,TERRITORY_LIST_ID,0)))</f>
        <v>Территория 5</v>
      </c>
      <c r="O119" s="8808" t="s">
        <v>53</v>
      </c>
      <c r="P119" s="8735"/>
      <c r="Q119" s="8735" t="s">
        <v>95</v>
      </c>
      <c r="R119" s="8812" t="s">
        <v>24</v>
      </c>
      <c r="S119" s="8804" t="s">
        <v>53</v>
      </c>
      <c r="T119" s="1722"/>
      <c r="U119" s="1722" t="s">
        <v>95</v>
      </c>
      <c r="V119" s="1354"/>
      <c r="W119" s="8805"/>
      <c r="Y119" s="1191"/>
      <c r="Z119" s="1191" t="s">
        <v>114</v>
      </c>
      <c r="AA119" s="1191"/>
      <c r="AB119" s="1191"/>
      <c r="AC119" s="1191" t="s">
        <v>310</v>
      </c>
      <c r="AD119" s="1191" t="s">
        <v>362</v>
      </c>
      <c r="AE119" s="1191" t="s">
        <v>363</v>
      </c>
      <c r="AF119" s="1191" t="s">
        <v>364</v>
      </c>
      <c r="AG119" s="1191" t="s">
        <v>365</v>
      </c>
      <c r="AH119" s="1191" t="str">
        <f>IF($E$79=0,"",$E$79)</f>
        <v>Тариф на подвоз воды</v>
      </c>
      <c r="AI119" s="1191" t="str">
        <f>IF($G$79=0,"",$G$79)</f>
        <v>Холодное водоснабжение. Подвозная вода</v>
      </c>
      <c r="AJ119" s="1191" t="str">
        <f>IF($J$119=0,"",$J$119)</f>
        <v>Подвоз воды потребителям поселка Правобережного</v>
      </c>
      <c r="AK119" s="1191" t="str">
        <f>IF($K$119="нет","без дифференциации",IF($N$119=0,"",$N$119))</f>
        <v>Территория 5</v>
      </c>
      <c r="AL119" s="1762" t="str">
        <f>IF($O$119="нет","без дифференциации",IF($R$119=0,"",$R$119))</f>
        <v>без дифференциации</v>
      </c>
      <c r="AM119" s="1762"/>
      <c r="AN119" s="1191" t="str">
        <f>$I$119</f>
        <v>11</v>
      </c>
      <c r="AO119" s="1191" t="str">
        <f>$I$119&amp;"."&amp;$M$119</f>
        <v>11.1</v>
      </c>
      <c r="AP119" s="1191" t="str">
        <f>$I$119&amp;"."&amp;$M$119&amp;"."&amp;$Q$119</f>
        <v>11.1.1</v>
      </c>
      <c r="AQ119" s="1191"/>
    </row>
    <row r="120" spans="1:43" ht="17.25" customHeight="1">
      <c r="A120" s="1758"/>
      <c r="B120" s="1771"/>
      <c r="C120" s="1763"/>
      <c r="D120" s="8781"/>
      <c r="E120" s="8782"/>
      <c r="F120" s="8772"/>
      <c r="G120" s="8785"/>
      <c r="H120" s="8806"/>
      <c r="I120" s="8806"/>
      <c r="J120" s="8805"/>
      <c r="K120" s="8809"/>
      <c r="L120" s="8735"/>
      <c r="M120" s="8735"/>
      <c r="N120" s="8810"/>
      <c r="O120" s="8809"/>
      <c r="P120" s="8735"/>
      <c r="Q120" s="8735"/>
      <c r="R120" s="8812" t="s">
        <v>24</v>
      </c>
      <c r="S120" s="8804"/>
      <c r="T120" s="1355"/>
      <c r="U120" s="1356"/>
      <c r="V120" s="1356"/>
      <c r="W120" s="8805"/>
      <c r="Y120" s="1184"/>
      <c r="Z120" s="1184"/>
      <c r="AA120" s="1184"/>
      <c r="AB120" s="1184"/>
      <c r="AC120" s="1184"/>
      <c r="AD120" s="1184"/>
      <c r="AE120" s="1184"/>
      <c r="AF120" s="1184"/>
      <c r="AG120" s="1184"/>
      <c r="AH120" s="1184"/>
      <c r="AI120" s="1184"/>
      <c r="AJ120" s="1184"/>
      <c r="AK120" s="1184"/>
      <c r="AL120" s="1771"/>
      <c r="AM120" s="1771"/>
      <c r="AN120" s="1771"/>
      <c r="AO120" s="1771"/>
      <c r="AP120" s="1771"/>
      <c r="AQ120" s="1771"/>
    </row>
    <row r="121" spans="1:43" ht="17.25" customHeight="1">
      <c r="A121" s="1758"/>
      <c r="B121" s="1771"/>
      <c r="C121" s="1763"/>
      <c r="D121" s="8781"/>
      <c r="E121" s="8782"/>
      <c r="F121" s="8772"/>
      <c r="G121" s="8785"/>
      <c r="H121" s="8768"/>
      <c r="I121" s="8768"/>
      <c r="J121" s="8807"/>
      <c r="K121" s="8809"/>
      <c r="L121" s="8768"/>
      <c r="M121" s="8768"/>
      <c r="N121" s="8811"/>
      <c r="O121" s="8739"/>
      <c r="P121" s="236"/>
      <c r="Q121" s="237"/>
      <c r="R121" s="237" t="s">
        <v>314</v>
      </c>
      <c r="S121" s="1764"/>
      <c r="T121" s="1764"/>
      <c r="U121" s="1764"/>
      <c r="V121" s="1764"/>
      <c r="W121" s="1353"/>
      <c r="Y121" s="1184"/>
      <c r="Z121" s="1184"/>
      <c r="AA121" s="1184"/>
      <c r="AB121" s="1184"/>
      <c r="AC121" s="1184"/>
      <c r="AD121" s="1184"/>
      <c r="AE121" s="1184"/>
      <c r="AF121" s="1184"/>
      <c r="AG121" s="1184"/>
      <c r="AH121" s="1184"/>
      <c r="AI121" s="1184"/>
      <c r="AJ121" s="1184"/>
      <c r="AK121" s="1184"/>
      <c r="AL121" s="1771"/>
      <c r="AM121" s="1771"/>
      <c r="AN121" s="1771"/>
      <c r="AO121" s="1771"/>
      <c r="AP121" s="1771"/>
      <c r="AQ121" s="1771"/>
    </row>
    <row r="122" spans="1:43" ht="17.25" customHeight="1">
      <c r="A122" s="1758"/>
      <c r="B122" s="1771"/>
      <c r="C122" s="1763"/>
      <c r="D122" s="8781"/>
      <c r="E122" s="8782"/>
      <c r="F122" s="8772"/>
      <c r="G122" s="8785"/>
      <c r="H122" s="8768"/>
      <c r="I122" s="8768"/>
      <c r="J122" s="8807"/>
      <c r="K122" s="8739"/>
      <c r="L122" s="236"/>
      <c r="M122" s="237"/>
      <c r="N122" s="237" t="s">
        <v>315</v>
      </c>
      <c r="O122" s="237"/>
      <c r="P122" s="237"/>
      <c r="Q122" s="237"/>
      <c r="R122" s="237"/>
      <c r="S122" s="1764"/>
      <c r="T122" s="1764"/>
      <c r="U122" s="1764"/>
      <c r="V122" s="1764"/>
      <c r="W122" s="238"/>
      <c r="Y122" s="1184"/>
      <c r="Z122" s="1184"/>
      <c r="AA122" s="1184"/>
      <c r="AB122" s="1184"/>
      <c r="AC122" s="1184"/>
      <c r="AD122" s="1184"/>
      <c r="AE122" s="1184"/>
      <c r="AF122" s="1184"/>
      <c r="AG122" s="1184"/>
      <c r="AH122" s="1184"/>
      <c r="AI122" s="1184"/>
      <c r="AJ122" s="1184"/>
      <c r="AK122" s="1184"/>
      <c r="AL122" s="1771"/>
      <c r="AM122" s="1771"/>
      <c r="AN122" s="1771"/>
      <c r="AO122" s="1771"/>
      <c r="AP122" s="1771"/>
      <c r="AQ122" s="1771"/>
    </row>
    <row r="123" spans="1:43" ht="17.25" customHeight="1">
      <c r="A123" s="1758"/>
      <c r="B123" s="1771"/>
      <c r="C123" s="1760"/>
      <c r="D123" s="8781"/>
      <c r="E123" s="8782"/>
      <c r="F123" s="8772"/>
      <c r="G123" s="8785"/>
      <c r="H123" s="8806" t="s">
        <v>100</v>
      </c>
      <c r="I123" s="8806" t="s">
        <v>145</v>
      </c>
      <c r="J123" s="8805" t="s">
        <v>366</v>
      </c>
      <c r="K123" s="8808" t="s">
        <v>63</v>
      </c>
      <c r="L123" s="8735"/>
      <c r="M123" s="8735" t="s">
        <v>95</v>
      </c>
      <c r="N123" s="8810" t="str">
        <f>IF(Z123="","",INDEX(TERRITORY_MR_LIST,MATCH(Z123,TERRITORY_LIST_ID,0)))</f>
        <v>Территория 6</v>
      </c>
      <c r="O123" s="8808" t="s">
        <v>53</v>
      </c>
      <c r="P123" s="8735"/>
      <c r="Q123" s="8735" t="s">
        <v>95</v>
      </c>
      <c r="R123" s="8812" t="s">
        <v>24</v>
      </c>
      <c r="S123" s="8804" t="s">
        <v>53</v>
      </c>
      <c r="T123" s="1722"/>
      <c r="U123" s="1722" t="s">
        <v>95</v>
      </c>
      <c r="V123" s="1354"/>
      <c r="W123" s="8805"/>
      <c r="Y123" s="1191"/>
      <c r="Z123" s="1191" t="s">
        <v>118</v>
      </c>
      <c r="AA123" s="1191"/>
      <c r="AB123" s="1191"/>
      <c r="AC123" s="1191" t="s">
        <v>310</v>
      </c>
      <c r="AD123" s="1191" t="s">
        <v>367</v>
      </c>
      <c r="AE123" s="1191" t="s">
        <v>368</v>
      </c>
      <c r="AF123" s="1191" t="s">
        <v>369</v>
      </c>
      <c r="AG123" s="1191" t="s">
        <v>370</v>
      </c>
      <c r="AH123" s="1191" t="str">
        <f>IF($E$79=0,"",$E$79)</f>
        <v>Тариф на подвоз воды</v>
      </c>
      <c r="AI123" s="1191" t="str">
        <f>IF($G$79=0,"",$G$79)</f>
        <v>Холодное водоснабжение. Подвозная вода</v>
      </c>
      <c r="AJ123" s="1191" t="str">
        <f>IF($J$123=0,"",$J$123)</f>
        <v>Подвоз воды потребителям хутора Добровольного</v>
      </c>
      <c r="AK123" s="1191" t="str">
        <f>IF($K$123="нет","без дифференциации",IF($N$123=0,"",$N$123))</f>
        <v>Территория 6</v>
      </c>
      <c r="AL123" s="1762" t="str">
        <f>IF($O$123="нет","без дифференциации",IF($R$123=0,"",$R$123))</f>
        <v>без дифференциации</v>
      </c>
      <c r="AM123" s="1762"/>
      <c r="AN123" s="1191" t="str">
        <f>$I$123</f>
        <v>12</v>
      </c>
      <c r="AO123" s="1191" t="str">
        <f>$I$123&amp;"."&amp;$M$123</f>
        <v>12.1</v>
      </c>
      <c r="AP123" s="1191" t="str">
        <f>$I$123&amp;"."&amp;$M$123&amp;"."&amp;$Q$123</f>
        <v>12.1.1</v>
      </c>
      <c r="AQ123" s="1191"/>
    </row>
    <row r="124" spans="1:43" ht="17.25" customHeight="1">
      <c r="A124" s="1758"/>
      <c r="B124" s="1771"/>
      <c r="C124" s="1763"/>
      <c r="D124" s="8781"/>
      <c r="E124" s="8782"/>
      <c r="F124" s="8772"/>
      <c r="G124" s="8785"/>
      <c r="H124" s="8806"/>
      <c r="I124" s="8806"/>
      <c r="J124" s="8805"/>
      <c r="K124" s="8809"/>
      <c r="L124" s="8735"/>
      <c r="M124" s="8735"/>
      <c r="N124" s="8810"/>
      <c r="O124" s="8809"/>
      <c r="P124" s="8735"/>
      <c r="Q124" s="8735"/>
      <c r="R124" s="8812" t="s">
        <v>24</v>
      </c>
      <c r="S124" s="8804"/>
      <c r="T124" s="1355"/>
      <c r="U124" s="1356"/>
      <c r="V124" s="1356"/>
      <c r="W124" s="8805"/>
      <c r="Y124" s="1184"/>
      <c r="Z124" s="1184"/>
      <c r="AA124" s="1184"/>
      <c r="AB124" s="1184"/>
      <c r="AC124" s="1184"/>
      <c r="AD124" s="1184"/>
      <c r="AE124" s="1184"/>
      <c r="AF124" s="1184"/>
      <c r="AG124" s="1184"/>
      <c r="AH124" s="1184"/>
      <c r="AI124" s="1184"/>
      <c r="AJ124" s="1184"/>
      <c r="AK124" s="1184"/>
      <c r="AL124" s="1771"/>
      <c r="AM124" s="1771"/>
      <c r="AN124" s="1771"/>
      <c r="AO124" s="1771"/>
      <c r="AP124" s="1771"/>
      <c r="AQ124" s="1771"/>
    </row>
    <row r="125" spans="1:43" ht="17.25" customHeight="1">
      <c r="A125" s="1758"/>
      <c r="B125" s="1771"/>
      <c r="C125" s="1763"/>
      <c r="D125" s="8781"/>
      <c r="E125" s="8782"/>
      <c r="F125" s="8772"/>
      <c r="G125" s="8785"/>
      <c r="H125" s="8768"/>
      <c r="I125" s="8768"/>
      <c r="J125" s="8807"/>
      <c r="K125" s="8809"/>
      <c r="L125" s="8768"/>
      <c r="M125" s="8768"/>
      <c r="N125" s="8811"/>
      <c r="O125" s="8739"/>
      <c r="P125" s="236"/>
      <c r="Q125" s="237"/>
      <c r="R125" s="237" t="s">
        <v>314</v>
      </c>
      <c r="S125" s="1764"/>
      <c r="T125" s="1764"/>
      <c r="U125" s="1764"/>
      <c r="V125" s="1764"/>
      <c r="W125" s="1353"/>
      <c r="Y125" s="1184"/>
      <c r="Z125" s="1184"/>
      <c r="AA125" s="1184"/>
      <c r="AB125" s="1184"/>
      <c r="AC125" s="1184"/>
      <c r="AD125" s="1184"/>
      <c r="AE125" s="1184"/>
      <c r="AF125" s="1184"/>
      <c r="AG125" s="1184"/>
      <c r="AH125" s="1184"/>
      <c r="AI125" s="1184"/>
      <c r="AJ125" s="1184"/>
      <c r="AK125" s="1184"/>
      <c r="AL125" s="1771"/>
      <c r="AM125" s="1771"/>
      <c r="AN125" s="1771"/>
      <c r="AO125" s="1771"/>
      <c r="AP125" s="1771"/>
      <c r="AQ125" s="1771"/>
    </row>
    <row r="126" spans="1:43" ht="17.25" customHeight="1">
      <c r="A126" s="1758"/>
      <c r="B126" s="1771"/>
      <c r="C126" s="1763"/>
      <c r="D126" s="8781"/>
      <c r="E126" s="8782"/>
      <c r="F126" s="8772"/>
      <c r="G126" s="8785"/>
      <c r="H126" s="8768"/>
      <c r="I126" s="8768"/>
      <c r="J126" s="8807"/>
      <c r="K126" s="8739"/>
      <c r="L126" s="236"/>
      <c r="M126" s="237"/>
      <c r="N126" s="237" t="s">
        <v>315</v>
      </c>
      <c r="O126" s="237"/>
      <c r="P126" s="237"/>
      <c r="Q126" s="237"/>
      <c r="R126" s="237"/>
      <c r="S126" s="1764"/>
      <c r="T126" s="1764"/>
      <c r="U126" s="1764"/>
      <c r="V126" s="1764"/>
      <c r="W126" s="238"/>
      <c r="Y126" s="1184"/>
      <c r="Z126" s="1184"/>
      <c r="AA126" s="1184"/>
      <c r="AB126" s="1184"/>
      <c r="AC126" s="1184"/>
      <c r="AD126" s="1184"/>
      <c r="AE126" s="1184"/>
      <c r="AF126" s="1184"/>
      <c r="AG126" s="1184"/>
      <c r="AH126" s="1184"/>
      <c r="AI126" s="1184"/>
      <c r="AJ126" s="1184"/>
      <c r="AK126" s="1184"/>
      <c r="AL126" s="1771"/>
      <c r="AM126" s="1771"/>
      <c r="AN126" s="1771"/>
      <c r="AO126" s="1771"/>
      <c r="AP126" s="1771"/>
      <c r="AQ126" s="1771"/>
    </row>
    <row r="127" spans="1:43" ht="17.25" customHeight="1">
      <c r="A127" s="1758"/>
      <c r="B127" s="1771"/>
      <c r="C127" s="1760"/>
      <c r="D127" s="8781"/>
      <c r="E127" s="8782"/>
      <c r="F127" s="8772"/>
      <c r="G127" s="8785"/>
      <c r="H127" s="8806" t="s">
        <v>100</v>
      </c>
      <c r="I127" s="8806" t="s">
        <v>150</v>
      </c>
      <c r="J127" s="8805" t="s">
        <v>371</v>
      </c>
      <c r="K127" s="8808" t="s">
        <v>63</v>
      </c>
      <c r="L127" s="8735"/>
      <c r="M127" s="8735" t="s">
        <v>95</v>
      </c>
      <c r="N127" s="8810" t="str">
        <f>IF(Z127="","",INDEX(TERRITORY_MR_LIST,MATCH(Z127,TERRITORY_LIST_ID,0)))</f>
        <v>Территория 6</v>
      </c>
      <c r="O127" s="8808" t="s">
        <v>53</v>
      </c>
      <c r="P127" s="8735"/>
      <c r="Q127" s="8735" t="s">
        <v>95</v>
      </c>
      <c r="R127" s="8812" t="s">
        <v>24</v>
      </c>
      <c r="S127" s="8804" t="s">
        <v>53</v>
      </c>
      <c r="T127" s="1722"/>
      <c r="U127" s="1722" t="s">
        <v>95</v>
      </c>
      <c r="V127" s="1354"/>
      <c r="W127" s="8805"/>
      <c r="Y127" s="1191"/>
      <c r="Z127" s="1191" t="s">
        <v>118</v>
      </c>
      <c r="AA127" s="1191"/>
      <c r="AB127" s="1191"/>
      <c r="AC127" s="1191" t="s">
        <v>310</v>
      </c>
      <c r="AD127" s="1191" t="s">
        <v>372</v>
      </c>
      <c r="AE127" s="1191" t="s">
        <v>373</v>
      </c>
      <c r="AF127" s="1191" t="s">
        <v>374</v>
      </c>
      <c r="AG127" s="1191" t="s">
        <v>375</v>
      </c>
      <c r="AH127" s="1191" t="str">
        <f>IF($E$79=0,"",$E$79)</f>
        <v>Тариф на подвоз воды</v>
      </c>
      <c r="AI127" s="1191" t="str">
        <f>IF($G$79=0,"",$G$79)</f>
        <v>Холодное водоснабжение. Подвозная вода</v>
      </c>
      <c r="AJ127" s="1191" t="str">
        <f>IF($J$127=0,"",$J$127)</f>
        <v>Подвоз воды потребителям хутора Среднего</v>
      </c>
      <c r="AK127" s="1191" t="str">
        <f>IF($K$127="нет","без дифференциации",IF($N$127=0,"",$N$127))</f>
        <v>Территория 6</v>
      </c>
      <c r="AL127" s="1762" t="str">
        <f>IF($O$127="нет","без дифференциации",IF($R$127=0,"",$R$127))</f>
        <v>без дифференциации</v>
      </c>
      <c r="AM127" s="1762"/>
      <c r="AN127" s="1191" t="str">
        <f>$I$127</f>
        <v>13</v>
      </c>
      <c r="AO127" s="1191" t="str">
        <f>$I$127&amp;"."&amp;$M$127</f>
        <v>13.1</v>
      </c>
      <c r="AP127" s="1191" t="str">
        <f>$I$127&amp;"."&amp;$M$127&amp;"."&amp;$Q$127</f>
        <v>13.1.1</v>
      </c>
      <c r="AQ127" s="1191"/>
    </row>
    <row r="128" spans="1:43" ht="17.25" customHeight="1">
      <c r="A128" s="1758"/>
      <c r="B128" s="1771"/>
      <c r="C128" s="1763"/>
      <c r="D128" s="8781"/>
      <c r="E128" s="8782"/>
      <c r="F128" s="8772"/>
      <c r="G128" s="8785"/>
      <c r="H128" s="8806"/>
      <c r="I128" s="8806"/>
      <c r="J128" s="8805"/>
      <c r="K128" s="8809"/>
      <c r="L128" s="8735"/>
      <c r="M128" s="8735"/>
      <c r="N128" s="8810"/>
      <c r="O128" s="8809"/>
      <c r="P128" s="8735"/>
      <c r="Q128" s="8735"/>
      <c r="R128" s="8812" t="s">
        <v>24</v>
      </c>
      <c r="S128" s="8804"/>
      <c r="T128" s="1355"/>
      <c r="U128" s="1356"/>
      <c r="V128" s="1356"/>
      <c r="W128" s="8805"/>
      <c r="Y128" s="1184"/>
      <c r="Z128" s="1184"/>
      <c r="AA128" s="1184"/>
      <c r="AB128" s="1184"/>
      <c r="AC128" s="1184"/>
      <c r="AD128" s="1184"/>
      <c r="AE128" s="1184"/>
      <c r="AF128" s="1184"/>
      <c r="AG128" s="1184"/>
      <c r="AH128" s="1184"/>
      <c r="AI128" s="1184"/>
      <c r="AJ128" s="1184"/>
      <c r="AK128" s="1184"/>
      <c r="AL128" s="1771"/>
      <c r="AM128" s="1771"/>
      <c r="AN128" s="1771"/>
      <c r="AO128" s="1771"/>
      <c r="AP128" s="1771"/>
      <c r="AQ128" s="1771"/>
    </row>
    <row r="129" spans="1:43" ht="17.25" customHeight="1">
      <c r="A129" s="1758"/>
      <c r="B129" s="1771"/>
      <c r="C129" s="1763"/>
      <c r="D129" s="8781"/>
      <c r="E129" s="8782"/>
      <c r="F129" s="8772"/>
      <c r="G129" s="8785"/>
      <c r="H129" s="8768"/>
      <c r="I129" s="8768"/>
      <c r="J129" s="8807"/>
      <c r="K129" s="8809"/>
      <c r="L129" s="8768"/>
      <c r="M129" s="8768"/>
      <c r="N129" s="8811"/>
      <c r="O129" s="8739"/>
      <c r="P129" s="236"/>
      <c r="Q129" s="237"/>
      <c r="R129" s="237" t="s">
        <v>314</v>
      </c>
      <c r="S129" s="1764"/>
      <c r="T129" s="1764"/>
      <c r="U129" s="1764"/>
      <c r="V129" s="1764"/>
      <c r="W129" s="1353"/>
      <c r="Y129" s="1184"/>
      <c r="Z129" s="1184"/>
      <c r="AA129" s="1184"/>
      <c r="AB129" s="1184"/>
      <c r="AC129" s="1184"/>
      <c r="AD129" s="1184"/>
      <c r="AE129" s="1184"/>
      <c r="AF129" s="1184"/>
      <c r="AG129" s="1184"/>
      <c r="AH129" s="1184"/>
      <c r="AI129" s="1184"/>
      <c r="AJ129" s="1184"/>
      <c r="AK129" s="1184"/>
      <c r="AL129" s="1771"/>
      <c r="AM129" s="1771"/>
      <c r="AN129" s="1771"/>
      <c r="AO129" s="1771"/>
      <c r="AP129" s="1771"/>
      <c r="AQ129" s="1771"/>
    </row>
    <row r="130" spans="1:43" ht="17.25" customHeight="1">
      <c r="A130" s="1758"/>
      <c r="B130" s="1771"/>
      <c r="C130" s="1763"/>
      <c r="D130" s="8781"/>
      <c r="E130" s="8782"/>
      <c r="F130" s="8772"/>
      <c r="G130" s="8785"/>
      <c r="H130" s="8768"/>
      <c r="I130" s="8768"/>
      <c r="J130" s="8807"/>
      <c r="K130" s="8739"/>
      <c r="L130" s="236"/>
      <c r="M130" s="237"/>
      <c r="N130" s="237" t="s">
        <v>315</v>
      </c>
      <c r="O130" s="237"/>
      <c r="P130" s="237"/>
      <c r="Q130" s="237"/>
      <c r="R130" s="237"/>
      <c r="S130" s="1764"/>
      <c r="T130" s="1764"/>
      <c r="U130" s="1764"/>
      <c r="V130" s="1764"/>
      <c r="W130" s="238"/>
      <c r="Y130" s="1184"/>
      <c r="Z130" s="1184"/>
      <c r="AA130" s="1184"/>
      <c r="AB130" s="1184"/>
      <c r="AC130" s="1184"/>
      <c r="AD130" s="1184"/>
      <c r="AE130" s="1184"/>
      <c r="AF130" s="1184"/>
      <c r="AG130" s="1184"/>
      <c r="AH130" s="1184"/>
      <c r="AI130" s="1184"/>
      <c r="AJ130" s="1184"/>
      <c r="AK130" s="1184"/>
      <c r="AL130" s="1771"/>
      <c r="AM130" s="1771"/>
      <c r="AN130" s="1771"/>
      <c r="AO130" s="1771"/>
      <c r="AP130" s="1771"/>
      <c r="AQ130" s="1771"/>
    </row>
    <row r="131" spans="1:43" ht="17.25" customHeight="1">
      <c r="A131" s="1758"/>
      <c r="B131" s="1771"/>
      <c r="C131" s="1760"/>
      <c r="D131" s="8781"/>
      <c r="E131" s="8782"/>
      <c r="F131" s="8772"/>
      <c r="G131" s="8785"/>
      <c r="H131" s="8806" t="s">
        <v>100</v>
      </c>
      <c r="I131" s="8806" t="s">
        <v>155</v>
      </c>
      <c r="J131" s="8805" t="s">
        <v>376</v>
      </c>
      <c r="K131" s="8808" t="s">
        <v>63</v>
      </c>
      <c r="L131" s="8735"/>
      <c r="M131" s="8735" t="s">
        <v>95</v>
      </c>
      <c r="N131" s="8810" t="str">
        <f>IF(Z131="","",INDEX(TERRITORY_MR_LIST,MATCH(Z131,TERRITORY_LIST_ID,0)))</f>
        <v>Территория 7</v>
      </c>
      <c r="O131" s="8808" t="s">
        <v>53</v>
      </c>
      <c r="P131" s="8735"/>
      <c r="Q131" s="8735" t="s">
        <v>95</v>
      </c>
      <c r="R131" s="8812" t="s">
        <v>24</v>
      </c>
      <c r="S131" s="8804" t="s">
        <v>53</v>
      </c>
      <c r="T131" s="1722"/>
      <c r="U131" s="1722" t="s">
        <v>95</v>
      </c>
      <c r="V131" s="1354"/>
      <c r="W131" s="8805"/>
      <c r="Y131" s="1191"/>
      <c r="Z131" s="1191" t="s">
        <v>122</v>
      </c>
      <c r="AA131" s="1191"/>
      <c r="AB131" s="1191"/>
      <c r="AC131" s="1191" t="s">
        <v>310</v>
      </c>
      <c r="AD131" s="1191" t="s">
        <v>377</v>
      </c>
      <c r="AE131" s="1191" t="s">
        <v>378</v>
      </c>
      <c r="AF131" s="1191" t="s">
        <v>379</v>
      </c>
      <c r="AG131" s="1191" t="s">
        <v>380</v>
      </c>
      <c r="AH131" s="1191" t="str">
        <f>IF($E$79=0,"",$E$79)</f>
        <v>Тариф на подвоз воды</v>
      </c>
      <c r="AI131" s="1191" t="str">
        <f>IF($G$79=0,"",$G$79)</f>
        <v>Холодное водоснабжение. Подвозная вода</v>
      </c>
      <c r="AJ131" s="1191" t="str">
        <f>IF($J$131=0,"",$J$131)</f>
        <v xml:space="preserve">Подвоз воды потребителям поселка Новобалтийского </v>
      </c>
      <c r="AK131" s="1191" t="str">
        <f>IF($K$131="нет","без дифференциации",IF($N$131=0,"",$N$131))</f>
        <v>Территория 7</v>
      </c>
      <c r="AL131" s="1762" t="str">
        <f>IF($O$131="нет","без дифференциации",IF($R$131=0,"",$R$131))</f>
        <v>без дифференциации</v>
      </c>
      <c r="AM131" s="1762"/>
      <c r="AN131" s="1191" t="str">
        <f>$I$131</f>
        <v>14</v>
      </c>
      <c r="AO131" s="1191" t="str">
        <f>$I$131&amp;"."&amp;$M$131</f>
        <v>14.1</v>
      </c>
      <c r="AP131" s="1191" t="str">
        <f>$I$131&amp;"."&amp;$M$131&amp;"."&amp;$Q$131</f>
        <v>14.1.1</v>
      </c>
      <c r="AQ131" s="1191"/>
    </row>
    <row r="132" spans="1:43" ht="17.25" customHeight="1">
      <c r="A132" s="1758"/>
      <c r="B132" s="1771"/>
      <c r="C132" s="1763"/>
      <c r="D132" s="8781"/>
      <c r="E132" s="8782"/>
      <c r="F132" s="8772"/>
      <c r="G132" s="8785"/>
      <c r="H132" s="8806"/>
      <c r="I132" s="8806"/>
      <c r="J132" s="8805"/>
      <c r="K132" s="8809"/>
      <c r="L132" s="8735"/>
      <c r="M132" s="8735"/>
      <c r="N132" s="8810"/>
      <c r="O132" s="8809"/>
      <c r="P132" s="8735"/>
      <c r="Q132" s="8735"/>
      <c r="R132" s="8812" t="s">
        <v>24</v>
      </c>
      <c r="S132" s="8804"/>
      <c r="T132" s="1355"/>
      <c r="U132" s="1356"/>
      <c r="V132" s="1356"/>
      <c r="W132" s="8805"/>
      <c r="Y132" s="1184"/>
      <c r="Z132" s="1184"/>
      <c r="AA132" s="1184"/>
      <c r="AB132" s="1184"/>
      <c r="AC132" s="1184"/>
      <c r="AD132" s="1184"/>
      <c r="AE132" s="1184"/>
      <c r="AF132" s="1184"/>
      <c r="AG132" s="1184"/>
      <c r="AH132" s="1184"/>
      <c r="AI132" s="1184"/>
      <c r="AJ132" s="1184"/>
      <c r="AK132" s="1184"/>
      <c r="AL132" s="1771"/>
      <c r="AM132" s="1771"/>
      <c r="AN132" s="1771"/>
      <c r="AO132" s="1771"/>
      <c r="AP132" s="1771"/>
      <c r="AQ132" s="1771"/>
    </row>
    <row r="133" spans="1:43" ht="17.25" customHeight="1">
      <c r="A133" s="1758"/>
      <c r="B133" s="1771"/>
      <c r="C133" s="1763"/>
      <c r="D133" s="8781"/>
      <c r="E133" s="8782"/>
      <c r="F133" s="8772"/>
      <c r="G133" s="8785"/>
      <c r="H133" s="8768"/>
      <c r="I133" s="8768"/>
      <c r="J133" s="8807"/>
      <c r="K133" s="8809"/>
      <c r="L133" s="8768"/>
      <c r="M133" s="8768"/>
      <c r="N133" s="8811"/>
      <c r="O133" s="8739"/>
      <c r="P133" s="236"/>
      <c r="Q133" s="237"/>
      <c r="R133" s="237" t="s">
        <v>314</v>
      </c>
      <c r="S133" s="1764"/>
      <c r="T133" s="1764"/>
      <c r="U133" s="1764"/>
      <c r="V133" s="1764"/>
      <c r="W133" s="1353"/>
      <c r="Y133" s="1184"/>
      <c r="Z133" s="1184"/>
      <c r="AA133" s="1184"/>
      <c r="AB133" s="1184"/>
      <c r="AC133" s="1184"/>
      <c r="AD133" s="1184"/>
      <c r="AE133" s="1184"/>
      <c r="AF133" s="1184"/>
      <c r="AG133" s="1184"/>
      <c r="AH133" s="1184"/>
      <c r="AI133" s="1184"/>
      <c r="AJ133" s="1184"/>
      <c r="AK133" s="1184"/>
      <c r="AL133" s="1771"/>
      <c r="AM133" s="1771"/>
      <c r="AN133" s="1771"/>
      <c r="AO133" s="1771"/>
      <c r="AP133" s="1771"/>
      <c r="AQ133" s="1771"/>
    </row>
    <row r="134" spans="1:43" ht="17.25" customHeight="1">
      <c r="A134" s="1758"/>
      <c r="B134" s="1771"/>
      <c r="C134" s="1763"/>
      <c r="D134" s="8781"/>
      <c r="E134" s="8782"/>
      <c r="F134" s="8772"/>
      <c r="G134" s="8785"/>
      <c r="H134" s="8768"/>
      <c r="I134" s="8768"/>
      <c r="J134" s="8807"/>
      <c r="K134" s="8739"/>
      <c r="L134" s="236"/>
      <c r="M134" s="237"/>
      <c r="N134" s="237" t="s">
        <v>315</v>
      </c>
      <c r="O134" s="237"/>
      <c r="P134" s="237"/>
      <c r="Q134" s="237"/>
      <c r="R134" s="237"/>
      <c r="S134" s="1764"/>
      <c r="T134" s="1764"/>
      <c r="U134" s="1764"/>
      <c r="V134" s="1764"/>
      <c r="W134" s="238"/>
      <c r="Y134" s="1184"/>
      <c r="Z134" s="1184"/>
      <c r="AA134" s="1184"/>
      <c r="AB134" s="1184"/>
      <c r="AC134" s="1184"/>
      <c r="AD134" s="1184"/>
      <c r="AE134" s="1184"/>
      <c r="AF134" s="1184"/>
      <c r="AG134" s="1184"/>
      <c r="AH134" s="1184"/>
      <c r="AI134" s="1184"/>
      <c r="AJ134" s="1184"/>
      <c r="AK134" s="1184"/>
      <c r="AL134" s="1771"/>
      <c r="AM134" s="1771"/>
      <c r="AN134" s="1771"/>
      <c r="AO134" s="1771"/>
      <c r="AP134" s="1771"/>
      <c r="AQ134" s="1771"/>
    </row>
    <row r="135" spans="1:43" ht="17.25" customHeight="1">
      <c r="A135" s="1758"/>
      <c r="B135" s="1771"/>
      <c r="C135" s="1760"/>
      <c r="D135" s="8781"/>
      <c r="E135" s="8782"/>
      <c r="F135" s="8772"/>
      <c r="G135" s="8785"/>
      <c r="H135" s="8806" t="s">
        <v>100</v>
      </c>
      <c r="I135" s="8806" t="s">
        <v>160</v>
      </c>
      <c r="J135" s="8805" t="s">
        <v>381</v>
      </c>
      <c r="K135" s="8808" t="s">
        <v>63</v>
      </c>
      <c r="L135" s="8735"/>
      <c r="M135" s="8735" t="s">
        <v>95</v>
      </c>
      <c r="N135" s="8810" t="str">
        <f>IF(Z135="","",INDEX(TERRITORY_MR_LIST,MATCH(Z135,TERRITORY_LIST_ID,0)))</f>
        <v>Территория 7</v>
      </c>
      <c r="O135" s="8808" t="s">
        <v>53</v>
      </c>
      <c r="P135" s="8735"/>
      <c r="Q135" s="8735" t="s">
        <v>95</v>
      </c>
      <c r="R135" s="8812" t="s">
        <v>24</v>
      </c>
      <c r="S135" s="8804" t="s">
        <v>53</v>
      </c>
      <c r="T135" s="1722"/>
      <c r="U135" s="1722" t="s">
        <v>95</v>
      </c>
      <c r="V135" s="1354"/>
      <c r="W135" s="8805"/>
      <c r="Y135" s="1191"/>
      <c r="Z135" s="1191" t="s">
        <v>122</v>
      </c>
      <c r="AA135" s="1191"/>
      <c r="AB135" s="1191"/>
      <c r="AC135" s="1191" t="s">
        <v>310</v>
      </c>
      <c r="AD135" s="1191" t="s">
        <v>382</v>
      </c>
      <c r="AE135" s="1191" t="s">
        <v>383</v>
      </c>
      <c r="AF135" s="1191" t="s">
        <v>384</v>
      </c>
      <c r="AG135" s="1191" t="s">
        <v>385</v>
      </c>
      <c r="AH135" s="1191" t="str">
        <f>IF($E$79=0,"",$E$79)</f>
        <v>Тариф на подвоз воды</v>
      </c>
      <c r="AI135" s="1191" t="str">
        <f>IF($G$79=0,"",$G$79)</f>
        <v>Холодное водоснабжение. Подвозная вода</v>
      </c>
      <c r="AJ135" s="1191" t="str">
        <f>IF($J$135=0,"",$J$135)</f>
        <v>Подвоз воды потребителям хутора Берёзкина</v>
      </c>
      <c r="AK135" s="1191" t="str">
        <f>IF($K$135="нет","без дифференциации",IF($N$135=0,"",$N$135))</f>
        <v>Территория 7</v>
      </c>
      <c r="AL135" s="1762" t="str">
        <f>IF($O$135="нет","без дифференциации",IF($R$135=0,"",$R$135))</f>
        <v>без дифференциации</v>
      </c>
      <c r="AM135" s="1762"/>
      <c r="AN135" s="1191" t="str">
        <f>$I$135</f>
        <v>15</v>
      </c>
      <c r="AO135" s="1191" t="str">
        <f>$I$135&amp;"."&amp;$M$135</f>
        <v>15.1</v>
      </c>
      <c r="AP135" s="1191" t="str">
        <f>$I$135&amp;"."&amp;$M$135&amp;"."&amp;$Q$135</f>
        <v>15.1.1</v>
      </c>
      <c r="AQ135" s="1191"/>
    </row>
    <row r="136" spans="1:43" ht="17.25" customHeight="1">
      <c r="A136" s="1758"/>
      <c r="B136" s="1771"/>
      <c r="C136" s="1763"/>
      <c r="D136" s="8781"/>
      <c r="E136" s="8782"/>
      <c r="F136" s="8772"/>
      <c r="G136" s="8785"/>
      <c r="H136" s="8806"/>
      <c r="I136" s="8806"/>
      <c r="J136" s="8805"/>
      <c r="K136" s="8809"/>
      <c r="L136" s="8735"/>
      <c r="M136" s="8735"/>
      <c r="N136" s="8810"/>
      <c r="O136" s="8809"/>
      <c r="P136" s="8735"/>
      <c r="Q136" s="8735"/>
      <c r="R136" s="8812" t="s">
        <v>24</v>
      </c>
      <c r="S136" s="8804"/>
      <c r="T136" s="1355"/>
      <c r="U136" s="1356"/>
      <c r="V136" s="1356"/>
      <c r="W136" s="8805"/>
      <c r="Y136" s="1184"/>
      <c r="Z136" s="1184"/>
      <c r="AA136" s="1184"/>
      <c r="AB136" s="1184"/>
      <c r="AC136" s="1184"/>
      <c r="AD136" s="1184"/>
      <c r="AE136" s="1184"/>
      <c r="AF136" s="1184"/>
      <c r="AG136" s="1184"/>
      <c r="AH136" s="1184"/>
      <c r="AI136" s="1184"/>
      <c r="AJ136" s="1184"/>
      <c r="AK136" s="1184"/>
      <c r="AL136" s="1771"/>
      <c r="AM136" s="1771"/>
      <c r="AN136" s="1771"/>
      <c r="AO136" s="1771"/>
      <c r="AP136" s="1771"/>
      <c r="AQ136" s="1771"/>
    </row>
    <row r="137" spans="1:43" ht="17.25" customHeight="1">
      <c r="A137" s="1758"/>
      <c r="B137" s="1771"/>
      <c r="C137" s="1763"/>
      <c r="D137" s="8781"/>
      <c r="E137" s="8782"/>
      <c r="F137" s="8772"/>
      <c r="G137" s="8785"/>
      <c r="H137" s="8768"/>
      <c r="I137" s="8768"/>
      <c r="J137" s="8807"/>
      <c r="K137" s="8809"/>
      <c r="L137" s="8768"/>
      <c r="M137" s="8768"/>
      <c r="N137" s="8811"/>
      <c r="O137" s="8739"/>
      <c r="P137" s="236"/>
      <c r="Q137" s="237"/>
      <c r="R137" s="237" t="s">
        <v>314</v>
      </c>
      <c r="S137" s="1764"/>
      <c r="T137" s="1764"/>
      <c r="U137" s="1764"/>
      <c r="V137" s="1764"/>
      <c r="W137" s="1353"/>
      <c r="Y137" s="1184"/>
      <c r="Z137" s="1184"/>
      <c r="AA137" s="1184"/>
      <c r="AB137" s="1184"/>
      <c r="AC137" s="1184"/>
      <c r="AD137" s="1184"/>
      <c r="AE137" s="1184"/>
      <c r="AF137" s="1184"/>
      <c r="AG137" s="1184"/>
      <c r="AH137" s="1184"/>
      <c r="AI137" s="1184"/>
      <c r="AJ137" s="1184"/>
      <c r="AK137" s="1184"/>
      <c r="AL137" s="1771"/>
      <c r="AM137" s="1771"/>
      <c r="AN137" s="1771"/>
      <c r="AO137" s="1771"/>
      <c r="AP137" s="1771"/>
      <c r="AQ137" s="1771"/>
    </row>
    <row r="138" spans="1:43" ht="17.25" customHeight="1">
      <c r="A138" s="1758"/>
      <c r="B138" s="1771"/>
      <c r="C138" s="1763"/>
      <c r="D138" s="8781"/>
      <c r="E138" s="8782"/>
      <c r="F138" s="8772"/>
      <c r="G138" s="8785"/>
      <c r="H138" s="8768"/>
      <c r="I138" s="8768"/>
      <c r="J138" s="8807"/>
      <c r="K138" s="8739"/>
      <c r="L138" s="236"/>
      <c r="M138" s="237"/>
      <c r="N138" s="237" t="s">
        <v>315</v>
      </c>
      <c r="O138" s="237"/>
      <c r="P138" s="237"/>
      <c r="Q138" s="237"/>
      <c r="R138" s="237"/>
      <c r="S138" s="1764"/>
      <c r="T138" s="1764"/>
      <c r="U138" s="1764"/>
      <c r="V138" s="1764"/>
      <c r="W138" s="238"/>
      <c r="Y138" s="1184"/>
      <c r="Z138" s="1184"/>
      <c r="AA138" s="1184"/>
      <c r="AB138" s="1184"/>
      <c r="AC138" s="1184"/>
      <c r="AD138" s="1184"/>
      <c r="AE138" s="1184"/>
      <c r="AF138" s="1184"/>
      <c r="AG138" s="1184"/>
      <c r="AH138" s="1184"/>
      <c r="AI138" s="1184"/>
      <c r="AJ138" s="1184"/>
      <c r="AK138" s="1184"/>
      <c r="AL138" s="1771"/>
      <c r="AM138" s="1771"/>
      <c r="AN138" s="1771"/>
      <c r="AO138" s="1771"/>
      <c r="AP138" s="1771"/>
      <c r="AQ138" s="1771"/>
    </row>
    <row r="139" spans="1:43" ht="17.25" customHeight="1">
      <c r="A139" s="1758"/>
      <c r="B139" s="1771"/>
      <c r="C139" s="1760"/>
      <c r="D139" s="8781"/>
      <c r="E139" s="8782"/>
      <c r="F139" s="8772"/>
      <c r="G139" s="8785"/>
      <c r="H139" s="8806" t="s">
        <v>100</v>
      </c>
      <c r="I139" s="8806" t="s">
        <v>165</v>
      </c>
      <c r="J139" s="8805" t="s">
        <v>386</v>
      </c>
      <c r="K139" s="8808" t="s">
        <v>63</v>
      </c>
      <c r="L139" s="8735"/>
      <c r="M139" s="8735" t="s">
        <v>95</v>
      </c>
      <c r="N139" s="8810" t="str">
        <f>IF(Z139="","",INDEX(TERRITORY_MR_LIST,MATCH(Z139,TERRITORY_LIST_ID,0)))</f>
        <v>Территория 7</v>
      </c>
      <c r="O139" s="8808" t="s">
        <v>53</v>
      </c>
      <c r="P139" s="8735"/>
      <c r="Q139" s="8735" t="s">
        <v>95</v>
      </c>
      <c r="R139" s="8812" t="s">
        <v>24</v>
      </c>
      <c r="S139" s="8804" t="s">
        <v>53</v>
      </c>
      <c r="T139" s="1722"/>
      <c r="U139" s="1722" t="s">
        <v>95</v>
      </c>
      <c r="V139" s="1354"/>
      <c r="W139" s="8805"/>
      <c r="Y139" s="1191"/>
      <c r="Z139" s="1191" t="s">
        <v>122</v>
      </c>
      <c r="AA139" s="1191"/>
      <c r="AB139" s="1191"/>
      <c r="AC139" s="1191" t="s">
        <v>310</v>
      </c>
      <c r="AD139" s="1191" t="s">
        <v>387</v>
      </c>
      <c r="AE139" s="1191" t="s">
        <v>388</v>
      </c>
      <c r="AF139" s="1191" t="s">
        <v>389</v>
      </c>
      <c r="AG139" s="1191" t="s">
        <v>390</v>
      </c>
      <c r="AH139" s="1191" t="str">
        <f>IF($E$79=0,"",$E$79)</f>
        <v>Тариф на подвоз воды</v>
      </c>
      <c r="AI139" s="1191" t="str">
        <f>IF($G$79=0,"",$G$79)</f>
        <v>Холодное водоснабжение. Подвозная вода</v>
      </c>
      <c r="AJ139" s="1191" t="str">
        <f>IF($J$139=0,"",$J$139)</f>
        <v>Подвоз воды потребителям поселка Бурунного</v>
      </c>
      <c r="AK139" s="1191" t="str">
        <f>IF($K$139="нет","без дифференциации",IF($N$139=0,"",$N$139))</f>
        <v>Территория 7</v>
      </c>
      <c r="AL139" s="1762" t="str">
        <f>IF($O$139="нет","без дифференциации",IF($R$139=0,"",$R$139))</f>
        <v>без дифференциации</v>
      </c>
      <c r="AM139" s="1762"/>
      <c r="AN139" s="1191" t="str">
        <f>$I$139</f>
        <v>16</v>
      </c>
      <c r="AO139" s="1191" t="str">
        <f>$I$139&amp;"."&amp;$M$139</f>
        <v>16.1</v>
      </c>
      <c r="AP139" s="1191" t="str">
        <f>$I$139&amp;"."&amp;$M$139&amp;"."&amp;$Q$139</f>
        <v>16.1.1</v>
      </c>
      <c r="AQ139" s="1191"/>
    </row>
    <row r="140" spans="1:43" ht="17.25" customHeight="1">
      <c r="A140" s="1758"/>
      <c r="B140" s="1771"/>
      <c r="C140" s="1763"/>
      <c r="D140" s="8781"/>
      <c r="E140" s="8782"/>
      <c r="F140" s="8772"/>
      <c r="G140" s="8785"/>
      <c r="H140" s="8806"/>
      <c r="I140" s="8806"/>
      <c r="J140" s="8805"/>
      <c r="K140" s="8809"/>
      <c r="L140" s="8735"/>
      <c r="M140" s="8735"/>
      <c r="N140" s="8810"/>
      <c r="O140" s="8809"/>
      <c r="P140" s="8735"/>
      <c r="Q140" s="8735"/>
      <c r="R140" s="8812" t="s">
        <v>24</v>
      </c>
      <c r="S140" s="8804"/>
      <c r="T140" s="1355"/>
      <c r="U140" s="1356"/>
      <c r="V140" s="1356"/>
      <c r="W140" s="8805"/>
      <c r="Y140" s="1184"/>
      <c r="Z140" s="1184"/>
      <c r="AA140" s="1184"/>
      <c r="AB140" s="1184"/>
      <c r="AC140" s="1184"/>
      <c r="AD140" s="1184"/>
      <c r="AE140" s="1184"/>
      <c r="AF140" s="1184"/>
      <c r="AG140" s="1184"/>
      <c r="AH140" s="1184"/>
      <c r="AI140" s="1184"/>
      <c r="AJ140" s="1184"/>
      <c r="AK140" s="1184"/>
      <c r="AL140" s="1771"/>
      <c r="AM140" s="1771"/>
      <c r="AN140" s="1771"/>
      <c r="AO140" s="1771"/>
      <c r="AP140" s="1771"/>
      <c r="AQ140" s="1771"/>
    </row>
    <row r="141" spans="1:43" ht="17.25" customHeight="1">
      <c r="A141" s="1758"/>
      <c r="B141" s="1771"/>
      <c r="C141" s="1763"/>
      <c r="D141" s="8781"/>
      <c r="E141" s="8782"/>
      <c r="F141" s="8772"/>
      <c r="G141" s="8785"/>
      <c r="H141" s="8768"/>
      <c r="I141" s="8768"/>
      <c r="J141" s="8807"/>
      <c r="K141" s="8809"/>
      <c r="L141" s="8768"/>
      <c r="M141" s="8768"/>
      <c r="N141" s="8811"/>
      <c r="O141" s="8739"/>
      <c r="P141" s="236"/>
      <c r="Q141" s="237"/>
      <c r="R141" s="237" t="s">
        <v>314</v>
      </c>
      <c r="S141" s="1764"/>
      <c r="T141" s="1764"/>
      <c r="U141" s="1764"/>
      <c r="V141" s="1764"/>
      <c r="W141" s="1353"/>
      <c r="Y141" s="1184"/>
      <c r="Z141" s="1184"/>
      <c r="AA141" s="1184"/>
      <c r="AB141" s="1184"/>
      <c r="AC141" s="1184"/>
      <c r="AD141" s="1184"/>
      <c r="AE141" s="1184"/>
      <c r="AF141" s="1184"/>
      <c r="AG141" s="1184"/>
      <c r="AH141" s="1184"/>
      <c r="AI141" s="1184"/>
      <c r="AJ141" s="1184"/>
      <c r="AK141" s="1184"/>
      <c r="AL141" s="1771"/>
      <c r="AM141" s="1771"/>
      <c r="AN141" s="1771"/>
      <c r="AO141" s="1771"/>
      <c r="AP141" s="1771"/>
      <c r="AQ141" s="1771"/>
    </row>
    <row r="142" spans="1:43" ht="17.25" customHeight="1">
      <c r="A142" s="1758"/>
      <c r="B142" s="1771"/>
      <c r="C142" s="1763"/>
      <c r="D142" s="8781"/>
      <c r="E142" s="8782"/>
      <c r="F142" s="8772"/>
      <c r="G142" s="8785"/>
      <c r="H142" s="8768"/>
      <c r="I142" s="8768"/>
      <c r="J142" s="8807"/>
      <c r="K142" s="8739"/>
      <c r="L142" s="236"/>
      <c r="M142" s="237"/>
      <c r="N142" s="237" t="s">
        <v>315</v>
      </c>
      <c r="O142" s="237"/>
      <c r="P142" s="237"/>
      <c r="Q142" s="237"/>
      <c r="R142" s="237"/>
      <c r="S142" s="1764"/>
      <c r="T142" s="1764"/>
      <c r="U142" s="1764"/>
      <c r="V142" s="1764"/>
      <c r="W142" s="238"/>
      <c r="Y142" s="1184"/>
      <c r="Z142" s="1184"/>
      <c r="AA142" s="1184"/>
      <c r="AB142" s="1184"/>
      <c r="AC142" s="1184"/>
      <c r="AD142" s="1184"/>
      <c r="AE142" s="1184"/>
      <c r="AF142" s="1184"/>
      <c r="AG142" s="1184"/>
      <c r="AH142" s="1184"/>
      <c r="AI142" s="1184"/>
      <c r="AJ142" s="1184"/>
      <c r="AK142" s="1184"/>
      <c r="AL142" s="1771"/>
      <c r="AM142" s="1771"/>
      <c r="AN142" s="1771"/>
      <c r="AO142" s="1771"/>
      <c r="AP142" s="1771"/>
      <c r="AQ142" s="1771"/>
    </row>
    <row r="143" spans="1:43" ht="17.25" customHeight="1">
      <c r="A143" s="1758"/>
      <c r="B143" s="1771"/>
      <c r="C143" s="1760"/>
      <c r="D143" s="8781"/>
      <c r="E143" s="8782"/>
      <c r="F143" s="8772"/>
      <c r="G143" s="8785"/>
      <c r="H143" s="8806" t="s">
        <v>100</v>
      </c>
      <c r="I143" s="8806" t="s">
        <v>170</v>
      </c>
      <c r="J143" s="8805" t="s">
        <v>391</v>
      </c>
      <c r="K143" s="8808" t="s">
        <v>63</v>
      </c>
      <c r="L143" s="8735"/>
      <c r="M143" s="8735" t="s">
        <v>95</v>
      </c>
      <c r="N143" s="8810" t="str">
        <f>IF(Z143="","",INDEX(TERRITORY_MR_LIST,MATCH(Z143,TERRITORY_LIST_ID,0)))</f>
        <v>Территория 7</v>
      </c>
      <c r="O143" s="8808" t="s">
        <v>53</v>
      </c>
      <c r="P143" s="8735"/>
      <c r="Q143" s="8735" t="s">
        <v>95</v>
      </c>
      <c r="R143" s="8812" t="s">
        <v>24</v>
      </c>
      <c r="S143" s="8804" t="s">
        <v>53</v>
      </c>
      <c r="T143" s="1722"/>
      <c r="U143" s="1722" t="s">
        <v>95</v>
      </c>
      <c r="V143" s="1354"/>
      <c r="W143" s="8805"/>
      <c r="Y143" s="1191"/>
      <c r="Z143" s="1191" t="s">
        <v>122</v>
      </c>
      <c r="AA143" s="1191"/>
      <c r="AB143" s="1191"/>
      <c r="AC143" s="1191" t="s">
        <v>310</v>
      </c>
      <c r="AD143" s="1191" t="s">
        <v>392</v>
      </c>
      <c r="AE143" s="1191" t="s">
        <v>393</v>
      </c>
      <c r="AF143" s="1191" t="s">
        <v>394</v>
      </c>
      <c r="AG143" s="1191" t="s">
        <v>395</v>
      </c>
      <c r="AH143" s="1191" t="str">
        <f>IF($E$79=0,"",$E$79)</f>
        <v>Тариф на подвоз воды</v>
      </c>
      <c r="AI143" s="1191" t="str">
        <f>IF($G$79=0,"",$G$79)</f>
        <v>Холодное водоснабжение. Подвозная вода</v>
      </c>
      <c r="AJ143" s="1191" t="str">
        <f>IF($J$143=0,"",$J$143)</f>
        <v>Подвоз воды потребителям поселка Мирного</v>
      </c>
      <c r="AK143" s="1191" t="str">
        <f>IF($K$143="нет","без дифференциации",IF($N$143=0,"",$N$143))</f>
        <v>Территория 7</v>
      </c>
      <c r="AL143" s="1762" t="str">
        <f>IF($O$143="нет","без дифференциации",IF($R$143=0,"",$R$143))</f>
        <v>без дифференциации</v>
      </c>
      <c r="AM143" s="1762"/>
      <c r="AN143" s="1191" t="str">
        <f>$I$143</f>
        <v>17</v>
      </c>
      <c r="AO143" s="1191" t="str">
        <f>$I$143&amp;"."&amp;$M$143</f>
        <v>17.1</v>
      </c>
      <c r="AP143" s="1191" t="str">
        <f>$I$143&amp;"."&amp;$M$143&amp;"."&amp;$Q$143</f>
        <v>17.1.1</v>
      </c>
      <c r="AQ143" s="1191"/>
    </row>
    <row r="144" spans="1:43" ht="17.25" customHeight="1">
      <c r="A144" s="1758"/>
      <c r="B144" s="1771"/>
      <c r="C144" s="1763"/>
      <c r="D144" s="8781"/>
      <c r="E144" s="8782"/>
      <c r="F144" s="8772"/>
      <c r="G144" s="8785"/>
      <c r="H144" s="8806"/>
      <c r="I144" s="8806"/>
      <c r="J144" s="8805"/>
      <c r="K144" s="8809"/>
      <c r="L144" s="8735"/>
      <c r="M144" s="8735"/>
      <c r="N144" s="8810"/>
      <c r="O144" s="8809"/>
      <c r="P144" s="8735"/>
      <c r="Q144" s="8735"/>
      <c r="R144" s="8812" t="s">
        <v>24</v>
      </c>
      <c r="S144" s="8804"/>
      <c r="T144" s="1355"/>
      <c r="U144" s="1356"/>
      <c r="V144" s="1356"/>
      <c r="W144" s="8805"/>
      <c r="Y144" s="1184"/>
      <c r="Z144" s="1184"/>
      <c r="AA144" s="1184"/>
      <c r="AB144" s="1184"/>
      <c r="AC144" s="1184"/>
      <c r="AD144" s="1184"/>
      <c r="AE144" s="1184"/>
      <c r="AF144" s="1184"/>
      <c r="AG144" s="1184"/>
      <c r="AH144" s="1184"/>
      <c r="AI144" s="1184"/>
      <c r="AJ144" s="1184"/>
      <c r="AK144" s="1184"/>
      <c r="AL144" s="1771"/>
      <c r="AM144" s="1771"/>
      <c r="AN144" s="1771"/>
      <c r="AO144" s="1771"/>
      <c r="AP144" s="1771"/>
      <c r="AQ144" s="1771"/>
    </row>
    <row r="145" spans="1:43" ht="17.25" customHeight="1">
      <c r="A145" s="1758"/>
      <c r="B145" s="1771"/>
      <c r="C145" s="1763"/>
      <c r="D145" s="8781"/>
      <c r="E145" s="8782"/>
      <c r="F145" s="8772"/>
      <c r="G145" s="8785"/>
      <c r="H145" s="8768"/>
      <c r="I145" s="8768"/>
      <c r="J145" s="8807"/>
      <c r="K145" s="8809"/>
      <c r="L145" s="8768"/>
      <c r="M145" s="8768"/>
      <c r="N145" s="8811"/>
      <c r="O145" s="8739"/>
      <c r="P145" s="236"/>
      <c r="Q145" s="237"/>
      <c r="R145" s="237" t="s">
        <v>314</v>
      </c>
      <c r="S145" s="1764"/>
      <c r="T145" s="1764"/>
      <c r="U145" s="1764"/>
      <c r="V145" s="1764"/>
      <c r="W145" s="1353"/>
      <c r="Y145" s="1184"/>
      <c r="Z145" s="1184"/>
      <c r="AA145" s="1184"/>
      <c r="AB145" s="1184"/>
      <c r="AC145" s="1184"/>
      <c r="AD145" s="1184"/>
      <c r="AE145" s="1184"/>
      <c r="AF145" s="1184"/>
      <c r="AG145" s="1184"/>
      <c r="AH145" s="1184"/>
      <c r="AI145" s="1184"/>
      <c r="AJ145" s="1184"/>
      <c r="AK145" s="1184"/>
      <c r="AL145" s="1771"/>
      <c r="AM145" s="1771"/>
      <c r="AN145" s="1771"/>
      <c r="AO145" s="1771"/>
      <c r="AP145" s="1771"/>
      <c r="AQ145" s="1771"/>
    </row>
    <row r="146" spans="1:43" ht="17.25" customHeight="1">
      <c r="A146" s="1758"/>
      <c r="B146" s="1771"/>
      <c r="C146" s="1763"/>
      <c r="D146" s="8781"/>
      <c r="E146" s="8782"/>
      <c r="F146" s="8772"/>
      <c r="G146" s="8785"/>
      <c r="H146" s="8768"/>
      <c r="I146" s="8768"/>
      <c r="J146" s="8807"/>
      <c r="K146" s="8739"/>
      <c r="L146" s="236"/>
      <c r="M146" s="237"/>
      <c r="N146" s="237" t="s">
        <v>315</v>
      </c>
      <c r="O146" s="237"/>
      <c r="P146" s="237"/>
      <c r="Q146" s="237"/>
      <c r="R146" s="237"/>
      <c r="S146" s="1764"/>
      <c r="T146" s="1764"/>
      <c r="U146" s="1764"/>
      <c r="V146" s="1764"/>
      <c r="W146" s="238"/>
      <c r="Y146" s="1184"/>
      <c r="Z146" s="1184"/>
      <c r="AA146" s="1184"/>
      <c r="AB146" s="1184"/>
      <c r="AC146" s="1184"/>
      <c r="AD146" s="1184"/>
      <c r="AE146" s="1184"/>
      <c r="AF146" s="1184"/>
      <c r="AG146" s="1184"/>
      <c r="AH146" s="1184"/>
      <c r="AI146" s="1184"/>
      <c r="AJ146" s="1184"/>
      <c r="AK146" s="1184"/>
      <c r="AL146" s="1771"/>
      <c r="AM146" s="1771"/>
      <c r="AN146" s="1771"/>
      <c r="AO146" s="1771"/>
      <c r="AP146" s="1771"/>
      <c r="AQ146" s="1771"/>
    </row>
    <row r="147" spans="1:43" ht="17.25" customHeight="1">
      <c r="A147" s="1758"/>
      <c r="B147" s="1771"/>
      <c r="C147" s="1760"/>
      <c r="D147" s="8781"/>
      <c r="E147" s="8782"/>
      <c r="F147" s="8772"/>
      <c r="G147" s="8785"/>
      <c r="H147" s="8806" t="s">
        <v>100</v>
      </c>
      <c r="I147" s="8806" t="s">
        <v>175</v>
      </c>
      <c r="J147" s="8805" t="s">
        <v>396</v>
      </c>
      <c r="K147" s="8808" t="s">
        <v>63</v>
      </c>
      <c r="L147" s="8735"/>
      <c r="M147" s="8735" t="s">
        <v>95</v>
      </c>
      <c r="N147" s="8810" t="str">
        <f>IF(Z147="","",INDEX(TERRITORY_MR_LIST,MATCH(Z147,TERRITORY_LIST_ID,0)))</f>
        <v>Территория 7</v>
      </c>
      <c r="O147" s="8808" t="s">
        <v>53</v>
      </c>
      <c r="P147" s="8735"/>
      <c r="Q147" s="8735" t="s">
        <v>95</v>
      </c>
      <c r="R147" s="8812" t="s">
        <v>24</v>
      </c>
      <c r="S147" s="8804" t="s">
        <v>53</v>
      </c>
      <c r="T147" s="1722"/>
      <c r="U147" s="1722" t="s">
        <v>95</v>
      </c>
      <c r="V147" s="1354"/>
      <c r="W147" s="8805"/>
      <c r="Y147" s="1191"/>
      <c r="Z147" s="1191" t="s">
        <v>122</v>
      </c>
      <c r="AA147" s="1191"/>
      <c r="AB147" s="1191"/>
      <c r="AC147" s="1191" t="s">
        <v>310</v>
      </c>
      <c r="AD147" s="1191" t="s">
        <v>397</v>
      </c>
      <c r="AE147" s="1191" t="s">
        <v>398</v>
      </c>
      <c r="AF147" s="1191" t="s">
        <v>399</v>
      </c>
      <c r="AG147" s="1191" t="s">
        <v>400</v>
      </c>
      <c r="AH147" s="1191" t="str">
        <f>IF($E$79=0,"",$E$79)</f>
        <v>Тариф на подвоз воды</v>
      </c>
      <c r="AI147" s="1191" t="str">
        <f>IF($G$79=0,"",$G$79)</f>
        <v>Холодное водоснабжение. Подвозная вода</v>
      </c>
      <c r="AJ147" s="1191" t="str">
        <f>IF($J$147=0,"",$J$147)</f>
        <v>Подвоз воды потребителям поселка Ага-Батыр</v>
      </c>
      <c r="AK147" s="1191" t="str">
        <f>IF($K$147="нет","без дифференциации",IF($N$147=0,"",$N$147))</f>
        <v>Территория 7</v>
      </c>
      <c r="AL147" s="1762" t="str">
        <f>IF($O$147="нет","без дифференциации",IF($R$147=0,"",$R$147))</f>
        <v>без дифференциации</v>
      </c>
      <c r="AM147" s="1762"/>
      <c r="AN147" s="1191" t="str">
        <f>$I$147</f>
        <v>18</v>
      </c>
      <c r="AO147" s="1191" t="str">
        <f>$I$147&amp;"."&amp;$M$147</f>
        <v>18.1</v>
      </c>
      <c r="AP147" s="1191" t="str">
        <f>$I$147&amp;"."&amp;$M$147&amp;"."&amp;$Q$147</f>
        <v>18.1.1</v>
      </c>
      <c r="AQ147" s="1191"/>
    </row>
    <row r="148" spans="1:43" ht="17.25" customHeight="1">
      <c r="A148" s="1758"/>
      <c r="B148" s="1771"/>
      <c r="C148" s="1763"/>
      <c r="D148" s="8781"/>
      <c r="E148" s="8782"/>
      <c r="F148" s="8772"/>
      <c r="G148" s="8785"/>
      <c r="H148" s="8806"/>
      <c r="I148" s="8806"/>
      <c r="J148" s="8805"/>
      <c r="K148" s="8809"/>
      <c r="L148" s="8735"/>
      <c r="M148" s="8735"/>
      <c r="N148" s="8810"/>
      <c r="O148" s="8809"/>
      <c r="P148" s="8735"/>
      <c r="Q148" s="8735"/>
      <c r="R148" s="8812" t="s">
        <v>24</v>
      </c>
      <c r="S148" s="8804"/>
      <c r="T148" s="1355"/>
      <c r="U148" s="1356"/>
      <c r="V148" s="1356"/>
      <c r="W148" s="8805"/>
      <c r="Y148" s="1184"/>
      <c r="Z148" s="1184"/>
      <c r="AA148" s="1184"/>
      <c r="AB148" s="1184"/>
      <c r="AC148" s="1184"/>
      <c r="AD148" s="1184"/>
      <c r="AE148" s="1184"/>
      <c r="AF148" s="1184"/>
      <c r="AG148" s="1184"/>
      <c r="AH148" s="1184"/>
      <c r="AI148" s="1184"/>
      <c r="AJ148" s="1184"/>
      <c r="AK148" s="1184"/>
      <c r="AL148" s="1771"/>
      <c r="AM148" s="1771"/>
      <c r="AN148" s="1771"/>
      <c r="AO148" s="1771"/>
      <c r="AP148" s="1771"/>
      <c r="AQ148" s="1771"/>
    </row>
    <row r="149" spans="1:43" ht="17.25" customHeight="1">
      <c r="A149" s="1758"/>
      <c r="B149" s="1771"/>
      <c r="C149" s="1763"/>
      <c r="D149" s="8781"/>
      <c r="E149" s="8782"/>
      <c r="F149" s="8772"/>
      <c r="G149" s="8785"/>
      <c r="H149" s="8768"/>
      <c r="I149" s="8768"/>
      <c r="J149" s="8807"/>
      <c r="K149" s="8809"/>
      <c r="L149" s="8768"/>
      <c r="M149" s="8768"/>
      <c r="N149" s="8811"/>
      <c r="O149" s="8739"/>
      <c r="P149" s="236"/>
      <c r="Q149" s="237"/>
      <c r="R149" s="237" t="s">
        <v>314</v>
      </c>
      <c r="S149" s="1764"/>
      <c r="T149" s="1764"/>
      <c r="U149" s="1764"/>
      <c r="V149" s="1764"/>
      <c r="W149" s="1353"/>
      <c r="Y149" s="1184"/>
      <c r="Z149" s="1184"/>
      <c r="AA149" s="1184"/>
      <c r="AB149" s="1184"/>
      <c r="AC149" s="1184"/>
      <c r="AD149" s="1184"/>
      <c r="AE149" s="1184"/>
      <c r="AF149" s="1184"/>
      <c r="AG149" s="1184"/>
      <c r="AH149" s="1184"/>
      <c r="AI149" s="1184"/>
      <c r="AJ149" s="1184"/>
      <c r="AK149" s="1184"/>
      <c r="AL149" s="1771"/>
      <c r="AM149" s="1771"/>
      <c r="AN149" s="1771"/>
      <c r="AO149" s="1771"/>
      <c r="AP149" s="1771"/>
      <c r="AQ149" s="1771"/>
    </row>
    <row r="150" spans="1:43" ht="17.25" customHeight="1">
      <c r="A150" s="1758"/>
      <c r="B150" s="1771"/>
      <c r="C150" s="1763"/>
      <c r="D150" s="8781"/>
      <c r="E150" s="8782"/>
      <c r="F150" s="8772"/>
      <c r="G150" s="8785"/>
      <c r="H150" s="8768"/>
      <c r="I150" s="8768"/>
      <c r="J150" s="8807"/>
      <c r="K150" s="8739"/>
      <c r="L150" s="236"/>
      <c r="M150" s="237"/>
      <c r="N150" s="237" t="s">
        <v>315</v>
      </c>
      <c r="O150" s="237"/>
      <c r="P150" s="237"/>
      <c r="Q150" s="237"/>
      <c r="R150" s="237"/>
      <c r="S150" s="1764"/>
      <c r="T150" s="1764"/>
      <c r="U150" s="1764"/>
      <c r="V150" s="1764"/>
      <c r="W150" s="238"/>
      <c r="Y150" s="1184"/>
      <c r="Z150" s="1184"/>
      <c r="AA150" s="1184"/>
      <c r="AB150" s="1184"/>
      <c r="AC150" s="1184"/>
      <c r="AD150" s="1184"/>
      <c r="AE150" s="1184"/>
      <c r="AF150" s="1184"/>
      <c r="AG150" s="1184"/>
      <c r="AH150" s="1184"/>
      <c r="AI150" s="1184"/>
      <c r="AJ150" s="1184"/>
      <c r="AK150" s="1184"/>
      <c r="AL150" s="1771"/>
      <c r="AM150" s="1771"/>
      <c r="AN150" s="1771"/>
      <c r="AO150" s="1771"/>
      <c r="AP150" s="1771"/>
      <c r="AQ150" s="1771"/>
    </row>
    <row r="151" spans="1:43" ht="17.25" customHeight="1">
      <c r="A151" s="1758"/>
      <c r="B151" s="1771"/>
      <c r="C151" s="1760"/>
      <c r="D151" s="8781"/>
      <c r="E151" s="8782"/>
      <c r="F151" s="8772"/>
      <c r="G151" s="8785"/>
      <c r="H151" s="8806" t="s">
        <v>100</v>
      </c>
      <c r="I151" s="8806" t="s">
        <v>180</v>
      </c>
      <c r="J151" s="8805" t="s">
        <v>401</v>
      </c>
      <c r="K151" s="8808" t="s">
        <v>63</v>
      </c>
      <c r="L151" s="8735"/>
      <c r="M151" s="8735" t="s">
        <v>95</v>
      </c>
      <c r="N151" s="8810" t="str">
        <f>IF(Z151="","",INDEX(TERRITORY_MR_LIST,MATCH(Z151,TERRITORY_LIST_ID,0)))</f>
        <v>Территория 7</v>
      </c>
      <c r="O151" s="8808" t="s">
        <v>53</v>
      </c>
      <c r="P151" s="8735"/>
      <c r="Q151" s="8735" t="s">
        <v>95</v>
      </c>
      <c r="R151" s="8812" t="s">
        <v>24</v>
      </c>
      <c r="S151" s="8804" t="s">
        <v>53</v>
      </c>
      <c r="T151" s="1722"/>
      <c r="U151" s="1722" t="s">
        <v>95</v>
      </c>
      <c r="V151" s="1354"/>
      <c r="W151" s="8805"/>
      <c r="Y151" s="1191"/>
      <c r="Z151" s="1191" t="s">
        <v>122</v>
      </c>
      <c r="AA151" s="1191"/>
      <c r="AB151" s="1191"/>
      <c r="AC151" s="1191" t="s">
        <v>310</v>
      </c>
      <c r="AD151" s="1191" t="s">
        <v>402</v>
      </c>
      <c r="AE151" s="1191" t="s">
        <v>403</v>
      </c>
      <c r="AF151" s="1191" t="s">
        <v>404</v>
      </c>
      <c r="AG151" s="1191" t="s">
        <v>405</v>
      </c>
      <c r="AH151" s="1191" t="str">
        <f>IF($E$79=0,"",$E$79)</f>
        <v>Тариф на подвоз воды</v>
      </c>
      <c r="AI151" s="1191" t="str">
        <f>IF($G$79=0,"",$G$79)</f>
        <v>Холодное водоснабжение. Подвозная вода</v>
      </c>
      <c r="AJ151" s="1191" t="str">
        <f>IF($J$151=0,"",$J$151)</f>
        <v>Подвоз воды потребителям хутора Кировского</v>
      </c>
      <c r="AK151" s="1191" t="str">
        <f>IF($K$151="нет","без дифференциации",IF($N$151=0,"",$N$151))</f>
        <v>Территория 7</v>
      </c>
      <c r="AL151" s="1762" t="str">
        <f>IF($O$151="нет","без дифференциации",IF($R$151=0,"",$R$151))</f>
        <v>без дифференциации</v>
      </c>
      <c r="AM151" s="1762"/>
      <c r="AN151" s="1191" t="str">
        <f>$I$151</f>
        <v>19</v>
      </c>
      <c r="AO151" s="1191" t="str">
        <f>$I$151&amp;"."&amp;$M$151</f>
        <v>19.1</v>
      </c>
      <c r="AP151" s="1191" t="str">
        <f>$I$151&amp;"."&amp;$M$151&amp;"."&amp;$Q$151</f>
        <v>19.1.1</v>
      </c>
      <c r="AQ151" s="1191"/>
    </row>
    <row r="152" spans="1:43" ht="17.25" customHeight="1">
      <c r="A152" s="1758"/>
      <c r="B152" s="1771"/>
      <c r="C152" s="1763"/>
      <c r="D152" s="8781"/>
      <c r="E152" s="8782"/>
      <c r="F152" s="8772"/>
      <c r="G152" s="8785"/>
      <c r="H152" s="8806"/>
      <c r="I152" s="8806"/>
      <c r="J152" s="8805"/>
      <c r="K152" s="8809"/>
      <c r="L152" s="8735"/>
      <c r="M152" s="8735"/>
      <c r="N152" s="8810"/>
      <c r="O152" s="8809"/>
      <c r="P152" s="8735"/>
      <c r="Q152" s="8735"/>
      <c r="R152" s="8812" t="s">
        <v>24</v>
      </c>
      <c r="S152" s="8804"/>
      <c r="T152" s="1355"/>
      <c r="U152" s="1356"/>
      <c r="V152" s="1356"/>
      <c r="W152" s="8805"/>
      <c r="Y152" s="1184"/>
      <c r="Z152" s="1184"/>
      <c r="AA152" s="1184"/>
      <c r="AB152" s="1184"/>
      <c r="AC152" s="1184"/>
      <c r="AD152" s="1184"/>
      <c r="AE152" s="1184"/>
      <c r="AF152" s="1184"/>
      <c r="AG152" s="1184"/>
      <c r="AH152" s="1184"/>
      <c r="AI152" s="1184"/>
      <c r="AJ152" s="1184"/>
      <c r="AK152" s="1184"/>
      <c r="AL152" s="1771"/>
      <c r="AM152" s="1771"/>
      <c r="AN152" s="1771"/>
      <c r="AO152" s="1771"/>
      <c r="AP152" s="1771"/>
      <c r="AQ152" s="1771"/>
    </row>
    <row r="153" spans="1:43" ht="17.25" customHeight="1">
      <c r="A153" s="1758"/>
      <c r="B153" s="1771"/>
      <c r="C153" s="1763"/>
      <c r="D153" s="8781"/>
      <c r="E153" s="8782"/>
      <c r="F153" s="8772"/>
      <c r="G153" s="8785"/>
      <c r="H153" s="8768"/>
      <c r="I153" s="8768"/>
      <c r="J153" s="8807"/>
      <c r="K153" s="8809"/>
      <c r="L153" s="8768"/>
      <c r="M153" s="8768"/>
      <c r="N153" s="8811"/>
      <c r="O153" s="8739"/>
      <c r="P153" s="236"/>
      <c r="Q153" s="237"/>
      <c r="R153" s="237" t="s">
        <v>314</v>
      </c>
      <c r="S153" s="1764"/>
      <c r="T153" s="1764"/>
      <c r="U153" s="1764"/>
      <c r="V153" s="1764"/>
      <c r="W153" s="1353"/>
      <c r="Y153" s="1184"/>
      <c r="Z153" s="1184"/>
      <c r="AA153" s="1184"/>
      <c r="AB153" s="1184"/>
      <c r="AC153" s="1184"/>
      <c r="AD153" s="1184"/>
      <c r="AE153" s="1184"/>
      <c r="AF153" s="1184"/>
      <c r="AG153" s="1184"/>
      <c r="AH153" s="1184"/>
      <c r="AI153" s="1184"/>
      <c r="AJ153" s="1184"/>
      <c r="AK153" s="1184"/>
      <c r="AL153" s="1771"/>
      <c r="AM153" s="1771"/>
      <c r="AN153" s="1771"/>
      <c r="AO153" s="1771"/>
      <c r="AP153" s="1771"/>
      <c r="AQ153" s="1771"/>
    </row>
    <row r="154" spans="1:43" ht="17.25" customHeight="1">
      <c r="A154" s="1758"/>
      <c r="B154" s="1771"/>
      <c r="C154" s="1763"/>
      <c r="D154" s="8781"/>
      <c r="E154" s="8782"/>
      <c r="F154" s="8772"/>
      <c r="G154" s="8785"/>
      <c r="H154" s="8768"/>
      <c r="I154" s="8768"/>
      <c r="J154" s="8807"/>
      <c r="K154" s="8739"/>
      <c r="L154" s="236"/>
      <c r="M154" s="237"/>
      <c r="N154" s="237" t="s">
        <v>315</v>
      </c>
      <c r="O154" s="237"/>
      <c r="P154" s="237"/>
      <c r="Q154" s="237"/>
      <c r="R154" s="237"/>
      <c r="S154" s="1764"/>
      <c r="T154" s="1764"/>
      <c r="U154" s="1764"/>
      <c r="V154" s="1764"/>
      <c r="W154" s="238"/>
      <c r="Y154" s="1184"/>
      <c r="Z154" s="1184"/>
      <c r="AA154" s="1184"/>
      <c r="AB154" s="1184"/>
      <c r="AC154" s="1184"/>
      <c r="AD154" s="1184"/>
      <c r="AE154" s="1184"/>
      <c r="AF154" s="1184"/>
      <c r="AG154" s="1184"/>
      <c r="AH154" s="1184"/>
      <c r="AI154" s="1184"/>
      <c r="AJ154" s="1184"/>
      <c r="AK154" s="1184"/>
      <c r="AL154" s="1771"/>
      <c r="AM154" s="1771"/>
      <c r="AN154" s="1771"/>
      <c r="AO154" s="1771"/>
      <c r="AP154" s="1771"/>
      <c r="AQ154" s="1771"/>
    </row>
    <row r="155" spans="1:43" ht="17.25" customHeight="1">
      <c r="A155" s="1758"/>
      <c r="B155" s="1771"/>
      <c r="C155" s="1760"/>
      <c r="D155" s="8781"/>
      <c r="E155" s="8782"/>
      <c r="F155" s="8772"/>
      <c r="G155" s="8785"/>
      <c r="H155" s="8806" t="s">
        <v>100</v>
      </c>
      <c r="I155" s="8806" t="s">
        <v>185</v>
      </c>
      <c r="J155" s="8805" t="s">
        <v>406</v>
      </c>
      <c r="K155" s="8808" t="s">
        <v>63</v>
      </c>
      <c r="L155" s="8735"/>
      <c r="M155" s="8735" t="s">
        <v>95</v>
      </c>
      <c r="N155" s="8810" t="str">
        <f>IF(Z155="","",INDEX(TERRITORY_MR_LIST,MATCH(Z155,TERRITORY_LIST_ID,0)))</f>
        <v>Территория 7</v>
      </c>
      <c r="O155" s="8808" t="s">
        <v>53</v>
      </c>
      <c r="P155" s="8735"/>
      <c r="Q155" s="8735" t="s">
        <v>95</v>
      </c>
      <c r="R155" s="8812" t="s">
        <v>24</v>
      </c>
      <c r="S155" s="8804" t="s">
        <v>53</v>
      </c>
      <c r="T155" s="1722"/>
      <c r="U155" s="1722" t="s">
        <v>95</v>
      </c>
      <c r="V155" s="1354"/>
      <c r="W155" s="8805"/>
      <c r="Y155" s="1191"/>
      <c r="Z155" s="1191" t="s">
        <v>122</v>
      </c>
      <c r="AA155" s="1191"/>
      <c r="AB155" s="1191"/>
      <c r="AC155" s="1191" t="s">
        <v>310</v>
      </c>
      <c r="AD155" s="1191" t="s">
        <v>407</v>
      </c>
      <c r="AE155" s="1191" t="s">
        <v>408</v>
      </c>
      <c r="AF155" s="1191" t="s">
        <v>409</v>
      </c>
      <c r="AG155" s="1191" t="s">
        <v>410</v>
      </c>
      <c r="AH155" s="1191" t="str">
        <f>IF($E$79=0,"",$E$79)</f>
        <v>Тариф на подвоз воды</v>
      </c>
      <c r="AI155" s="1191" t="str">
        <f>IF($G$79=0,"",$G$79)</f>
        <v>Холодное водоснабжение. Подвозная вода</v>
      </c>
      <c r="AJ155" s="1191" t="str">
        <f>IF($J$155=0,"",$J$155)</f>
        <v>Подвоз воды потребителям хутора Моздокского</v>
      </c>
      <c r="AK155" s="1191" t="str">
        <f>IF($K$155="нет","без дифференциации",IF($N$155=0,"",$N$155))</f>
        <v>Территория 7</v>
      </c>
      <c r="AL155" s="1762" t="str">
        <f>IF($O$155="нет","без дифференциации",IF($R$155=0,"",$R$155))</f>
        <v>без дифференциации</v>
      </c>
      <c r="AM155" s="1762"/>
      <c r="AN155" s="1191" t="str">
        <f>$I$155</f>
        <v>20</v>
      </c>
      <c r="AO155" s="1191" t="str">
        <f>$I$155&amp;"."&amp;$M$155</f>
        <v>20.1</v>
      </c>
      <c r="AP155" s="1191" t="str">
        <f>$I$155&amp;"."&amp;$M$155&amp;"."&amp;$Q$155</f>
        <v>20.1.1</v>
      </c>
      <c r="AQ155" s="1191"/>
    </row>
    <row r="156" spans="1:43" ht="17.25" customHeight="1">
      <c r="A156" s="1758"/>
      <c r="B156" s="1771"/>
      <c r="C156" s="1763"/>
      <c r="D156" s="8781"/>
      <c r="E156" s="8782"/>
      <c r="F156" s="8772"/>
      <c r="G156" s="8785"/>
      <c r="H156" s="8806"/>
      <c r="I156" s="8806"/>
      <c r="J156" s="8805"/>
      <c r="K156" s="8809"/>
      <c r="L156" s="8735"/>
      <c r="M156" s="8735"/>
      <c r="N156" s="8810"/>
      <c r="O156" s="8809"/>
      <c r="P156" s="8735"/>
      <c r="Q156" s="8735"/>
      <c r="R156" s="8812" t="s">
        <v>24</v>
      </c>
      <c r="S156" s="8804"/>
      <c r="T156" s="1355"/>
      <c r="U156" s="1356"/>
      <c r="V156" s="1356"/>
      <c r="W156" s="8805"/>
      <c r="Y156" s="1184"/>
      <c r="Z156" s="1184"/>
      <c r="AA156" s="1184"/>
      <c r="AB156" s="1184"/>
      <c r="AC156" s="1184"/>
      <c r="AD156" s="1184"/>
      <c r="AE156" s="1184"/>
      <c r="AF156" s="1184"/>
      <c r="AG156" s="1184"/>
      <c r="AH156" s="1184"/>
      <c r="AI156" s="1184"/>
      <c r="AJ156" s="1184"/>
      <c r="AK156" s="1184"/>
      <c r="AL156" s="1771"/>
      <c r="AM156" s="1771"/>
      <c r="AN156" s="1771"/>
      <c r="AO156" s="1771"/>
      <c r="AP156" s="1771"/>
      <c r="AQ156" s="1771"/>
    </row>
    <row r="157" spans="1:43" ht="17.25" customHeight="1">
      <c r="A157" s="1758"/>
      <c r="B157" s="1771"/>
      <c r="C157" s="1763"/>
      <c r="D157" s="8781"/>
      <c r="E157" s="8782"/>
      <c r="F157" s="8772"/>
      <c r="G157" s="8785"/>
      <c r="H157" s="8768"/>
      <c r="I157" s="8768"/>
      <c r="J157" s="8807"/>
      <c r="K157" s="8809"/>
      <c r="L157" s="8768"/>
      <c r="M157" s="8768"/>
      <c r="N157" s="8811"/>
      <c r="O157" s="8739"/>
      <c r="P157" s="236"/>
      <c r="Q157" s="237"/>
      <c r="R157" s="237" t="s">
        <v>314</v>
      </c>
      <c r="S157" s="1764"/>
      <c r="T157" s="1764"/>
      <c r="U157" s="1764"/>
      <c r="V157" s="1764"/>
      <c r="W157" s="1353"/>
      <c r="Y157" s="1184"/>
      <c r="Z157" s="1184"/>
      <c r="AA157" s="1184"/>
      <c r="AB157" s="1184"/>
      <c r="AC157" s="1184"/>
      <c r="AD157" s="1184"/>
      <c r="AE157" s="1184"/>
      <c r="AF157" s="1184"/>
      <c r="AG157" s="1184"/>
      <c r="AH157" s="1184"/>
      <c r="AI157" s="1184"/>
      <c r="AJ157" s="1184"/>
      <c r="AK157" s="1184"/>
      <c r="AL157" s="1771"/>
      <c r="AM157" s="1771"/>
      <c r="AN157" s="1771"/>
      <c r="AO157" s="1771"/>
      <c r="AP157" s="1771"/>
      <c r="AQ157" s="1771"/>
    </row>
    <row r="158" spans="1:43" ht="17.25" customHeight="1">
      <c r="A158" s="1758"/>
      <c r="B158" s="1771"/>
      <c r="C158" s="1763"/>
      <c r="D158" s="8781"/>
      <c r="E158" s="8782"/>
      <c r="F158" s="8772"/>
      <c r="G158" s="8785"/>
      <c r="H158" s="8768"/>
      <c r="I158" s="8768"/>
      <c r="J158" s="8807"/>
      <c r="K158" s="8739"/>
      <c r="L158" s="236"/>
      <c r="M158" s="237"/>
      <c r="N158" s="237" t="s">
        <v>315</v>
      </c>
      <c r="O158" s="237"/>
      <c r="P158" s="237"/>
      <c r="Q158" s="237"/>
      <c r="R158" s="237"/>
      <c r="S158" s="1764"/>
      <c r="T158" s="1764"/>
      <c r="U158" s="1764"/>
      <c r="V158" s="1764"/>
      <c r="W158" s="238"/>
      <c r="Y158" s="1184"/>
      <c r="Z158" s="1184"/>
      <c r="AA158" s="1184"/>
      <c r="AB158" s="1184"/>
      <c r="AC158" s="1184"/>
      <c r="AD158" s="1184"/>
      <c r="AE158" s="1184"/>
      <c r="AF158" s="1184"/>
      <c r="AG158" s="1184"/>
      <c r="AH158" s="1184"/>
      <c r="AI158" s="1184"/>
      <c r="AJ158" s="1184"/>
      <c r="AK158" s="1184"/>
      <c r="AL158" s="1771"/>
      <c r="AM158" s="1771"/>
      <c r="AN158" s="1771"/>
      <c r="AO158" s="1771"/>
      <c r="AP158" s="1771"/>
      <c r="AQ158" s="1771"/>
    </row>
    <row r="159" spans="1:43" ht="17.25" customHeight="1">
      <c r="A159" s="1758"/>
      <c r="B159" s="1771"/>
      <c r="C159" s="1760"/>
      <c r="D159" s="8781"/>
      <c r="E159" s="8782"/>
      <c r="F159" s="8772"/>
      <c r="G159" s="8785"/>
      <c r="H159" s="8806" t="s">
        <v>100</v>
      </c>
      <c r="I159" s="8806" t="s">
        <v>190</v>
      </c>
      <c r="J159" s="8805" t="s">
        <v>411</v>
      </c>
      <c r="K159" s="8808" t="s">
        <v>63</v>
      </c>
      <c r="L159" s="8735"/>
      <c r="M159" s="8735" t="s">
        <v>95</v>
      </c>
      <c r="N159" s="8810" t="str">
        <f>IF(Z159="","",INDEX(TERRITORY_MR_LIST,MATCH(Z159,TERRITORY_LIST_ID,0)))</f>
        <v>Территория 7</v>
      </c>
      <c r="O159" s="8808" t="s">
        <v>53</v>
      </c>
      <c r="P159" s="8735"/>
      <c r="Q159" s="8735" t="s">
        <v>95</v>
      </c>
      <c r="R159" s="8812" t="s">
        <v>24</v>
      </c>
      <c r="S159" s="8804" t="s">
        <v>53</v>
      </c>
      <c r="T159" s="1722"/>
      <c r="U159" s="1722" t="s">
        <v>95</v>
      </c>
      <c r="V159" s="1354"/>
      <c r="W159" s="8805"/>
      <c r="Y159" s="1191"/>
      <c r="Z159" s="1191" t="s">
        <v>122</v>
      </c>
      <c r="AA159" s="1191"/>
      <c r="AB159" s="1191"/>
      <c r="AC159" s="1191" t="s">
        <v>310</v>
      </c>
      <c r="AD159" s="1191" t="s">
        <v>412</v>
      </c>
      <c r="AE159" s="1191" t="s">
        <v>413</v>
      </c>
      <c r="AF159" s="1191" t="s">
        <v>414</v>
      </c>
      <c r="AG159" s="1191" t="s">
        <v>415</v>
      </c>
      <c r="AH159" s="1191" t="str">
        <f>IF($E$79=0,"",$E$79)</f>
        <v>Тариф на подвоз воды</v>
      </c>
      <c r="AI159" s="1191" t="str">
        <f>IF($G$79=0,"",$G$79)</f>
        <v>Холодное водоснабжение. Подвозная вода</v>
      </c>
      <c r="AJ159" s="1191" t="str">
        <f>IF($J$159=0,"",$J$159)</f>
        <v>Подвоз воды потребителям поселка Южанин</v>
      </c>
      <c r="AK159" s="1191" t="str">
        <f>IF($K$159="нет","без дифференциации",IF($N$159=0,"",$N$159))</f>
        <v>Территория 7</v>
      </c>
      <c r="AL159" s="1762" t="str">
        <f>IF($O$159="нет","без дифференциации",IF($R$159=0,"",$R$159))</f>
        <v>без дифференциации</v>
      </c>
      <c r="AM159" s="1762"/>
      <c r="AN159" s="1191" t="str">
        <f>$I$159</f>
        <v>21</v>
      </c>
      <c r="AO159" s="1191" t="str">
        <f>$I$159&amp;"."&amp;$M$159</f>
        <v>21.1</v>
      </c>
      <c r="AP159" s="1191" t="str">
        <f>$I$159&amp;"."&amp;$M$159&amp;"."&amp;$Q$159</f>
        <v>21.1.1</v>
      </c>
      <c r="AQ159" s="1191"/>
    </row>
    <row r="160" spans="1:43" ht="17.25" customHeight="1">
      <c r="A160" s="1758"/>
      <c r="B160" s="1771"/>
      <c r="C160" s="1763"/>
      <c r="D160" s="8781"/>
      <c r="E160" s="8782"/>
      <c r="F160" s="8772"/>
      <c r="G160" s="8785"/>
      <c r="H160" s="8806"/>
      <c r="I160" s="8806"/>
      <c r="J160" s="8805"/>
      <c r="K160" s="8809"/>
      <c r="L160" s="8735"/>
      <c r="M160" s="8735"/>
      <c r="N160" s="8810"/>
      <c r="O160" s="8809"/>
      <c r="P160" s="8735"/>
      <c r="Q160" s="8735"/>
      <c r="R160" s="8812" t="s">
        <v>24</v>
      </c>
      <c r="S160" s="8804"/>
      <c r="T160" s="1355"/>
      <c r="U160" s="1356"/>
      <c r="V160" s="1356"/>
      <c r="W160" s="8805"/>
      <c r="Y160" s="1184"/>
      <c r="Z160" s="1184"/>
      <c r="AA160" s="1184"/>
      <c r="AB160" s="1184"/>
      <c r="AC160" s="1184"/>
      <c r="AD160" s="1184"/>
      <c r="AE160" s="1184"/>
      <c r="AF160" s="1184"/>
      <c r="AG160" s="1184"/>
      <c r="AH160" s="1184"/>
      <c r="AI160" s="1184"/>
      <c r="AJ160" s="1184"/>
      <c r="AK160" s="1184"/>
      <c r="AL160" s="1771"/>
      <c r="AM160" s="1771"/>
      <c r="AN160" s="1771"/>
      <c r="AO160" s="1771"/>
      <c r="AP160" s="1771"/>
      <c r="AQ160" s="1771"/>
    </row>
    <row r="161" spans="1:43" ht="17.25" customHeight="1">
      <c r="A161" s="1758"/>
      <c r="B161" s="1771"/>
      <c r="C161" s="1763"/>
      <c r="D161" s="8781"/>
      <c r="E161" s="8782"/>
      <c r="F161" s="8772"/>
      <c r="G161" s="8785"/>
      <c r="H161" s="8768"/>
      <c r="I161" s="8768"/>
      <c r="J161" s="8807"/>
      <c r="K161" s="8809"/>
      <c r="L161" s="8768"/>
      <c r="M161" s="8768"/>
      <c r="N161" s="8811"/>
      <c r="O161" s="8739"/>
      <c r="P161" s="236"/>
      <c r="Q161" s="237"/>
      <c r="R161" s="237" t="s">
        <v>314</v>
      </c>
      <c r="S161" s="1764"/>
      <c r="T161" s="1764"/>
      <c r="U161" s="1764"/>
      <c r="V161" s="1764"/>
      <c r="W161" s="1353"/>
      <c r="Y161" s="1184"/>
      <c r="Z161" s="1184"/>
      <c r="AA161" s="1184"/>
      <c r="AB161" s="1184"/>
      <c r="AC161" s="1184"/>
      <c r="AD161" s="1184"/>
      <c r="AE161" s="1184"/>
      <c r="AF161" s="1184"/>
      <c r="AG161" s="1184"/>
      <c r="AH161" s="1184"/>
      <c r="AI161" s="1184"/>
      <c r="AJ161" s="1184"/>
      <c r="AK161" s="1184"/>
      <c r="AL161" s="1771"/>
      <c r="AM161" s="1771"/>
      <c r="AN161" s="1771"/>
      <c r="AO161" s="1771"/>
      <c r="AP161" s="1771"/>
      <c r="AQ161" s="1771"/>
    </row>
    <row r="162" spans="1:43" ht="17.25" customHeight="1">
      <c r="A162" s="1758"/>
      <c r="B162" s="1771"/>
      <c r="C162" s="1763"/>
      <c r="D162" s="8781"/>
      <c r="E162" s="8782"/>
      <c r="F162" s="8772"/>
      <c r="G162" s="8785"/>
      <c r="H162" s="8768"/>
      <c r="I162" s="8768"/>
      <c r="J162" s="8807"/>
      <c r="K162" s="8739"/>
      <c r="L162" s="236"/>
      <c r="M162" s="237"/>
      <c r="N162" s="237" t="s">
        <v>315</v>
      </c>
      <c r="O162" s="237"/>
      <c r="P162" s="237"/>
      <c r="Q162" s="237"/>
      <c r="R162" s="237"/>
      <c r="S162" s="1764"/>
      <c r="T162" s="1764"/>
      <c r="U162" s="1764"/>
      <c r="V162" s="1764"/>
      <c r="W162" s="238"/>
      <c r="Y162" s="1184"/>
      <c r="Z162" s="1184"/>
      <c r="AA162" s="1184"/>
      <c r="AB162" s="1184"/>
      <c r="AC162" s="1184"/>
      <c r="AD162" s="1184"/>
      <c r="AE162" s="1184"/>
      <c r="AF162" s="1184"/>
      <c r="AG162" s="1184"/>
      <c r="AH162" s="1184"/>
      <c r="AI162" s="1184"/>
      <c r="AJ162" s="1184"/>
      <c r="AK162" s="1184"/>
      <c r="AL162" s="1771"/>
      <c r="AM162" s="1771"/>
      <c r="AN162" s="1771"/>
      <c r="AO162" s="1771"/>
      <c r="AP162" s="1771"/>
      <c r="AQ162" s="1771"/>
    </row>
    <row r="163" spans="1:43" ht="17.25" customHeight="1">
      <c r="A163" s="1758"/>
      <c r="B163" s="1771"/>
      <c r="C163" s="1760"/>
      <c r="D163" s="8781"/>
      <c r="E163" s="8782"/>
      <c r="F163" s="8772"/>
      <c r="G163" s="8785"/>
      <c r="H163" s="8806" t="s">
        <v>100</v>
      </c>
      <c r="I163" s="8806" t="s">
        <v>416</v>
      </c>
      <c r="J163" s="8805" t="s">
        <v>417</v>
      </c>
      <c r="K163" s="8808" t="s">
        <v>63</v>
      </c>
      <c r="L163" s="8735"/>
      <c r="M163" s="8735" t="s">
        <v>95</v>
      </c>
      <c r="N163" s="8810" t="str">
        <f>IF(Z163="","",INDEX(TERRITORY_MR_LIST,MATCH(Z163,TERRITORY_LIST_ID,0)))</f>
        <v>Территория 7</v>
      </c>
      <c r="O163" s="8808" t="s">
        <v>53</v>
      </c>
      <c r="P163" s="8735"/>
      <c r="Q163" s="8735" t="s">
        <v>95</v>
      </c>
      <c r="R163" s="8812" t="s">
        <v>24</v>
      </c>
      <c r="S163" s="8804" t="s">
        <v>53</v>
      </c>
      <c r="T163" s="1722"/>
      <c r="U163" s="1722" t="s">
        <v>95</v>
      </c>
      <c r="V163" s="1354"/>
      <c r="W163" s="8805"/>
      <c r="Y163" s="1191"/>
      <c r="Z163" s="1191" t="s">
        <v>122</v>
      </c>
      <c r="AA163" s="1191"/>
      <c r="AB163" s="1191"/>
      <c r="AC163" s="1191" t="s">
        <v>310</v>
      </c>
      <c r="AD163" s="1191" t="s">
        <v>418</v>
      </c>
      <c r="AE163" s="1191" t="s">
        <v>419</v>
      </c>
      <c r="AF163" s="1191" t="s">
        <v>420</v>
      </c>
      <c r="AG163" s="1191" t="s">
        <v>421</v>
      </c>
      <c r="AH163" s="1191" t="str">
        <f>IF($E$79=0,"",$E$79)</f>
        <v>Тариф на подвоз воды</v>
      </c>
      <c r="AI163" s="1191" t="str">
        <f>IF($G$79=0,"",$G$79)</f>
        <v>Холодное водоснабжение. Подвозная вода</v>
      </c>
      <c r="AJ163" s="1191" t="str">
        <f>IF($J$163=0,"",$J$163)</f>
        <v>Подвоз воды потребителям поселка Совхозного</v>
      </c>
      <c r="AK163" s="1191" t="str">
        <f>IF($K$163="нет","без дифференциации",IF($N$163=0,"",$N$163))</f>
        <v>Территория 7</v>
      </c>
      <c r="AL163" s="1762" t="str">
        <f>IF($O$163="нет","без дифференциации",IF($R$163=0,"",$R$163))</f>
        <v>без дифференциации</v>
      </c>
      <c r="AM163" s="1762"/>
      <c r="AN163" s="1191" t="str">
        <f>$I$163</f>
        <v>22</v>
      </c>
      <c r="AO163" s="1191" t="str">
        <f>$I$163&amp;"."&amp;$M$163</f>
        <v>22.1</v>
      </c>
      <c r="AP163" s="1191" t="str">
        <f>$I$163&amp;"."&amp;$M$163&amp;"."&amp;$Q$163</f>
        <v>22.1.1</v>
      </c>
      <c r="AQ163" s="1191"/>
    </row>
    <row r="164" spans="1:43" ht="17.25" customHeight="1">
      <c r="A164" s="1758"/>
      <c r="B164" s="1771"/>
      <c r="C164" s="1763"/>
      <c r="D164" s="8781"/>
      <c r="E164" s="8782"/>
      <c r="F164" s="8772"/>
      <c r="G164" s="8785"/>
      <c r="H164" s="8806"/>
      <c r="I164" s="8806"/>
      <c r="J164" s="8805"/>
      <c r="K164" s="8809"/>
      <c r="L164" s="8735"/>
      <c r="M164" s="8735"/>
      <c r="N164" s="8810"/>
      <c r="O164" s="8809"/>
      <c r="P164" s="8735"/>
      <c r="Q164" s="8735"/>
      <c r="R164" s="8812" t="s">
        <v>24</v>
      </c>
      <c r="S164" s="8804"/>
      <c r="T164" s="1355"/>
      <c r="U164" s="1356"/>
      <c r="V164" s="1356"/>
      <c r="W164" s="8805"/>
      <c r="Y164" s="1184"/>
      <c r="Z164" s="1184"/>
      <c r="AA164" s="1184"/>
      <c r="AB164" s="1184"/>
      <c r="AC164" s="1184"/>
      <c r="AD164" s="1184"/>
      <c r="AE164" s="1184"/>
      <c r="AF164" s="1184"/>
      <c r="AG164" s="1184"/>
      <c r="AH164" s="1184"/>
      <c r="AI164" s="1184"/>
      <c r="AJ164" s="1184"/>
      <c r="AK164" s="1184"/>
      <c r="AL164" s="1771"/>
      <c r="AM164" s="1771"/>
      <c r="AN164" s="1771"/>
      <c r="AO164" s="1771"/>
      <c r="AP164" s="1771"/>
      <c r="AQ164" s="1771"/>
    </row>
    <row r="165" spans="1:43" ht="17.25" customHeight="1">
      <c r="A165" s="1758"/>
      <c r="B165" s="1771"/>
      <c r="C165" s="1763"/>
      <c r="D165" s="8781"/>
      <c r="E165" s="8782"/>
      <c r="F165" s="8772"/>
      <c r="G165" s="8785"/>
      <c r="H165" s="8768"/>
      <c r="I165" s="8768"/>
      <c r="J165" s="8807"/>
      <c r="K165" s="8809"/>
      <c r="L165" s="8768"/>
      <c r="M165" s="8768"/>
      <c r="N165" s="8811"/>
      <c r="O165" s="8739"/>
      <c r="P165" s="236"/>
      <c r="Q165" s="237"/>
      <c r="R165" s="237" t="s">
        <v>314</v>
      </c>
      <c r="S165" s="1764"/>
      <c r="T165" s="1764"/>
      <c r="U165" s="1764"/>
      <c r="V165" s="1764"/>
      <c r="W165" s="1353"/>
      <c r="Y165" s="1184"/>
      <c r="Z165" s="1184"/>
      <c r="AA165" s="1184"/>
      <c r="AB165" s="1184"/>
      <c r="AC165" s="1184"/>
      <c r="AD165" s="1184"/>
      <c r="AE165" s="1184"/>
      <c r="AF165" s="1184"/>
      <c r="AG165" s="1184"/>
      <c r="AH165" s="1184"/>
      <c r="AI165" s="1184"/>
      <c r="AJ165" s="1184"/>
      <c r="AK165" s="1184"/>
      <c r="AL165" s="1771"/>
      <c r="AM165" s="1771"/>
      <c r="AN165" s="1771"/>
      <c r="AO165" s="1771"/>
      <c r="AP165" s="1771"/>
      <c r="AQ165" s="1771"/>
    </row>
    <row r="166" spans="1:43" ht="17.25" customHeight="1">
      <c r="A166" s="1758"/>
      <c r="B166" s="1771"/>
      <c r="C166" s="1763"/>
      <c r="D166" s="8781"/>
      <c r="E166" s="8782"/>
      <c r="F166" s="8772"/>
      <c r="G166" s="8785"/>
      <c r="H166" s="8768"/>
      <c r="I166" s="8768"/>
      <c r="J166" s="8807"/>
      <c r="K166" s="8739"/>
      <c r="L166" s="236"/>
      <c r="M166" s="237"/>
      <c r="N166" s="237" t="s">
        <v>315</v>
      </c>
      <c r="O166" s="237"/>
      <c r="P166" s="237"/>
      <c r="Q166" s="237"/>
      <c r="R166" s="237"/>
      <c r="S166" s="1764"/>
      <c r="T166" s="1764"/>
      <c r="U166" s="1764"/>
      <c r="V166" s="1764"/>
      <c r="W166" s="238"/>
      <c r="Y166" s="1184"/>
      <c r="Z166" s="1184"/>
      <c r="AA166" s="1184"/>
      <c r="AB166" s="1184"/>
      <c r="AC166" s="1184"/>
      <c r="AD166" s="1184"/>
      <c r="AE166" s="1184"/>
      <c r="AF166" s="1184"/>
      <c r="AG166" s="1184"/>
      <c r="AH166" s="1184"/>
      <c r="AI166" s="1184"/>
      <c r="AJ166" s="1184"/>
      <c r="AK166" s="1184"/>
      <c r="AL166" s="1771"/>
      <c r="AM166" s="1771"/>
      <c r="AN166" s="1771"/>
      <c r="AO166" s="1771"/>
      <c r="AP166" s="1771"/>
      <c r="AQ166" s="1771"/>
    </row>
    <row r="167" spans="1:43" ht="17.25" customHeight="1">
      <c r="A167" s="1758"/>
      <c r="B167" s="1771"/>
      <c r="C167" s="1760"/>
      <c r="D167" s="8781"/>
      <c r="E167" s="8782"/>
      <c r="F167" s="8772"/>
      <c r="G167" s="8785"/>
      <c r="H167" s="8806" t="s">
        <v>100</v>
      </c>
      <c r="I167" s="8806" t="s">
        <v>422</v>
      </c>
      <c r="J167" s="8805" t="s">
        <v>423</v>
      </c>
      <c r="K167" s="8808" t="s">
        <v>63</v>
      </c>
      <c r="L167" s="8735"/>
      <c r="M167" s="8735" t="s">
        <v>95</v>
      </c>
      <c r="N167" s="8810" t="str">
        <f>IF(Z167="","",INDEX(TERRITORY_MR_LIST,MATCH(Z167,TERRITORY_LIST_ID,0)))</f>
        <v>Территория 7</v>
      </c>
      <c r="O167" s="8808" t="s">
        <v>53</v>
      </c>
      <c r="P167" s="8735"/>
      <c r="Q167" s="8735" t="s">
        <v>95</v>
      </c>
      <c r="R167" s="8812" t="s">
        <v>24</v>
      </c>
      <c r="S167" s="8804" t="s">
        <v>53</v>
      </c>
      <c r="T167" s="1722"/>
      <c r="U167" s="1722" t="s">
        <v>95</v>
      </c>
      <c r="V167" s="1354"/>
      <c r="W167" s="8805"/>
      <c r="Y167" s="1191"/>
      <c r="Z167" s="1191" t="s">
        <v>122</v>
      </c>
      <c r="AA167" s="1191"/>
      <c r="AB167" s="1191"/>
      <c r="AC167" s="1191" t="s">
        <v>310</v>
      </c>
      <c r="AD167" s="1191" t="s">
        <v>424</v>
      </c>
      <c r="AE167" s="1191" t="s">
        <v>425</v>
      </c>
      <c r="AF167" s="1191" t="s">
        <v>426</v>
      </c>
      <c r="AG167" s="1191" t="s">
        <v>427</v>
      </c>
      <c r="AH167" s="1191" t="str">
        <f>IF($E$79=0,"",$E$79)</f>
        <v>Тариф на подвоз воды</v>
      </c>
      <c r="AI167" s="1191" t="str">
        <f>IF($G$79=0,"",$G$79)</f>
        <v>Холодное водоснабжение. Подвозная вода</v>
      </c>
      <c r="AJ167" s="1191" t="str">
        <f>IF($J$167=0,"",$J$167)</f>
        <v>Подвоз воды потребителям поселка Песчаного</v>
      </c>
      <c r="AK167" s="1191" t="str">
        <f>IF($K$167="нет","без дифференциации",IF($N$167=0,"",$N$167))</f>
        <v>Территория 7</v>
      </c>
      <c r="AL167" s="1762" t="str">
        <f>IF($O$167="нет","без дифференциации",IF($R$167=0,"",$R$167))</f>
        <v>без дифференциации</v>
      </c>
      <c r="AM167" s="1762"/>
      <c r="AN167" s="1191" t="str">
        <f>$I$167</f>
        <v>23</v>
      </c>
      <c r="AO167" s="1191" t="str">
        <f>$I$167&amp;"."&amp;$M$167</f>
        <v>23.1</v>
      </c>
      <c r="AP167" s="1191" t="str">
        <f>$I$167&amp;"."&amp;$M$167&amp;"."&amp;$Q$167</f>
        <v>23.1.1</v>
      </c>
      <c r="AQ167" s="1191"/>
    </row>
    <row r="168" spans="1:43" ht="17.25" customHeight="1">
      <c r="A168" s="1758"/>
      <c r="B168" s="1771"/>
      <c r="C168" s="1763"/>
      <c r="D168" s="8781"/>
      <c r="E168" s="8782"/>
      <c r="F168" s="8772"/>
      <c r="G168" s="8785"/>
      <c r="H168" s="8806"/>
      <c r="I168" s="8806"/>
      <c r="J168" s="8805"/>
      <c r="K168" s="8809"/>
      <c r="L168" s="8735"/>
      <c r="M168" s="8735"/>
      <c r="N168" s="8810"/>
      <c r="O168" s="8809"/>
      <c r="P168" s="8735"/>
      <c r="Q168" s="8735"/>
      <c r="R168" s="8812" t="s">
        <v>24</v>
      </c>
      <c r="S168" s="8804"/>
      <c r="T168" s="1355"/>
      <c r="U168" s="1356"/>
      <c r="V168" s="1356"/>
      <c r="W168" s="8805"/>
      <c r="Y168" s="1184"/>
      <c r="Z168" s="1184"/>
      <c r="AA168" s="1184"/>
      <c r="AB168" s="1184"/>
      <c r="AC168" s="1184"/>
      <c r="AD168" s="1184"/>
      <c r="AE168" s="1184"/>
      <c r="AF168" s="1184"/>
      <c r="AG168" s="1184"/>
      <c r="AH168" s="1184"/>
      <c r="AI168" s="1184"/>
      <c r="AJ168" s="1184"/>
      <c r="AK168" s="1184"/>
      <c r="AL168" s="1771"/>
      <c r="AM168" s="1771"/>
      <c r="AN168" s="1771"/>
      <c r="AO168" s="1771"/>
      <c r="AP168" s="1771"/>
      <c r="AQ168" s="1771"/>
    </row>
    <row r="169" spans="1:43" ht="17.25" customHeight="1">
      <c r="A169" s="1758"/>
      <c r="B169" s="1771"/>
      <c r="C169" s="1763"/>
      <c r="D169" s="8781"/>
      <c r="E169" s="8782"/>
      <c r="F169" s="8772"/>
      <c r="G169" s="8785"/>
      <c r="H169" s="8768"/>
      <c r="I169" s="8768"/>
      <c r="J169" s="8807"/>
      <c r="K169" s="8809"/>
      <c r="L169" s="8768"/>
      <c r="M169" s="8768"/>
      <c r="N169" s="8811"/>
      <c r="O169" s="8739"/>
      <c r="P169" s="236"/>
      <c r="Q169" s="237"/>
      <c r="R169" s="237" t="s">
        <v>314</v>
      </c>
      <c r="S169" s="1764"/>
      <c r="T169" s="1764"/>
      <c r="U169" s="1764"/>
      <c r="V169" s="1764"/>
      <c r="W169" s="1353"/>
      <c r="Y169" s="1184"/>
      <c r="Z169" s="1184"/>
      <c r="AA169" s="1184"/>
      <c r="AB169" s="1184"/>
      <c r="AC169" s="1184"/>
      <c r="AD169" s="1184"/>
      <c r="AE169" s="1184"/>
      <c r="AF169" s="1184"/>
      <c r="AG169" s="1184"/>
      <c r="AH169" s="1184"/>
      <c r="AI169" s="1184"/>
      <c r="AJ169" s="1184"/>
      <c r="AK169" s="1184"/>
      <c r="AL169" s="1771"/>
      <c r="AM169" s="1771"/>
      <c r="AN169" s="1771"/>
      <c r="AO169" s="1771"/>
      <c r="AP169" s="1771"/>
      <c r="AQ169" s="1771"/>
    </row>
    <row r="170" spans="1:43" ht="17.25" customHeight="1">
      <c r="A170" s="1758"/>
      <c r="B170" s="1771"/>
      <c r="C170" s="1763"/>
      <c r="D170" s="8781"/>
      <c r="E170" s="8782"/>
      <c r="F170" s="8772"/>
      <c r="G170" s="8785"/>
      <c r="H170" s="8768"/>
      <c r="I170" s="8768"/>
      <c r="J170" s="8807"/>
      <c r="K170" s="8739"/>
      <c r="L170" s="236"/>
      <c r="M170" s="237"/>
      <c r="N170" s="237" t="s">
        <v>315</v>
      </c>
      <c r="O170" s="237"/>
      <c r="P170" s="237"/>
      <c r="Q170" s="237"/>
      <c r="R170" s="237"/>
      <c r="S170" s="1764"/>
      <c r="T170" s="1764"/>
      <c r="U170" s="1764"/>
      <c r="V170" s="1764"/>
      <c r="W170" s="238"/>
      <c r="Y170" s="1184"/>
      <c r="Z170" s="1184"/>
      <c r="AA170" s="1184"/>
      <c r="AB170" s="1184"/>
      <c r="AC170" s="1184"/>
      <c r="AD170" s="1184"/>
      <c r="AE170" s="1184"/>
      <c r="AF170" s="1184"/>
      <c r="AG170" s="1184"/>
      <c r="AH170" s="1184"/>
      <c r="AI170" s="1184"/>
      <c r="AJ170" s="1184"/>
      <c r="AK170" s="1184"/>
      <c r="AL170" s="1771"/>
      <c r="AM170" s="1771"/>
      <c r="AN170" s="1771"/>
      <c r="AO170" s="1771"/>
      <c r="AP170" s="1771"/>
      <c r="AQ170" s="1771"/>
    </row>
    <row r="171" spans="1:43" ht="17.25" customHeight="1">
      <c r="A171" s="1758"/>
      <c r="B171" s="1771"/>
      <c r="C171" s="1760"/>
      <c r="D171" s="8781"/>
      <c r="E171" s="8782"/>
      <c r="F171" s="8772"/>
      <c r="G171" s="8785"/>
      <c r="H171" s="8806" t="s">
        <v>100</v>
      </c>
      <c r="I171" s="8806" t="s">
        <v>106</v>
      </c>
      <c r="J171" s="8805" t="s">
        <v>428</v>
      </c>
      <c r="K171" s="8808" t="s">
        <v>63</v>
      </c>
      <c r="L171" s="8735"/>
      <c r="M171" s="8735" t="s">
        <v>95</v>
      </c>
      <c r="N171" s="8810" t="str">
        <f>IF(Z171="","",INDEX(TERRITORY_MR_LIST,MATCH(Z171,TERRITORY_LIST_ID,0)))</f>
        <v>Территория 7</v>
      </c>
      <c r="O171" s="8808" t="s">
        <v>53</v>
      </c>
      <c r="P171" s="8735"/>
      <c r="Q171" s="8735" t="s">
        <v>95</v>
      </c>
      <c r="R171" s="8812" t="s">
        <v>24</v>
      </c>
      <c r="S171" s="8804" t="s">
        <v>53</v>
      </c>
      <c r="T171" s="1722"/>
      <c r="U171" s="1722" t="s">
        <v>95</v>
      </c>
      <c r="V171" s="1354"/>
      <c r="W171" s="8805"/>
      <c r="Y171" s="1191"/>
      <c r="Z171" s="1191" t="s">
        <v>122</v>
      </c>
      <c r="AA171" s="1191"/>
      <c r="AB171" s="1191"/>
      <c r="AC171" s="1191" t="s">
        <v>310</v>
      </c>
      <c r="AD171" s="1191" t="s">
        <v>429</v>
      </c>
      <c r="AE171" s="1191" t="s">
        <v>430</v>
      </c>
      <c r="AF171" s="1191" t="s">
        <v>431</v>
      </c>
      <c r="AG171" s="1191" t="s">
        <v>432</v>
      </c>
      <c r="AH171" s="1191" t="str">
        <f>IF($E$79=0,"",$E$79)</f>
        <v>Тариф на подвоз воды</v>
      </c>
      <c r="AI171" s="1191" t="str">
        <f>IF($G$79=0,"",$G$79)</f>
        <v>Холодное водоснабжение. Подвозная вода</v>
      </c>
      <c r="AJ171" s="1191" t="str">
        <f>IF($J$171=0,"",$J$171)</f>
        <v>Подвоз воды потребителям аула Али-Кую</v>
      </c>
      <c r="AK171" s="1191" t="str">
        <f>IF($K$171="нет","без дифференциации",IF($N$171=0,"",$N$171))</f>
        <v>Территория 7</v>
      </c>
      <c r="AL171" s="1762" t="str">
        <f>IF($O$171="нет","без дифференциации",IF($R$171=0,"",$R$171))</f>
        <v>без дифференциации</v>
      </c>
      <c r="AM171" s="1762"/>
      <c r="AN171" s="1191" t="str">
        <f>$I$171</f>
        <v>24</v>
      </c>
      <c r="AO171" s="1191" t="str">
        <f>$I$171&amp;"."&amp;$M$171</f>
        <v>24.1</v>
      </c>
      <c r="AP171" s="1191" t="str">
        <f>$I$171&amp;"."&amp;$M$171&amp;"."&amp;$Q$171</f>
        <v>24.1.1</v>
      </c>
      <c r="AQ171" s="1191"/>
    </row>
    <row r="172" spans="1:43" ht="17.25" customHeight="1">
      <c r="A172" s="1758"/>
      <c r="B172" s="1771"/>
      <c r="C172" s="1763"/>
      <c r="D172" s="8781"/>
      <c r="E172" s="8782"/>
      <c r="F172" s="8772"/>
      <c r="G172" s="8785"/>
      <c r="H172" s="8806"/>
      <c r="I172" s="8806"/>
      <c r="J172" s="8805"/>
      <c r="K172" s="8809"/>
      <c r="L172" s="8735"/>
      <c r="M172" s="8735"/>
      <c r="N172" s="8810"/>
      <c r="O172" s="8809"/>
      <c r="P172" s="8735"/>
      <c r="Q172" s="8735"/>
      <c r="R172" s="8812" t="s">
        <v>24</v>
      </c>
      <c r="S172" s="8804"/>
      <c r="T172" s="1355"/>
      <c r="U172" s="1356"/>
      <c r="V172" s="1356"/>
      <c r="W172" s="8805"/>
      <c r="Y172" s="1184"/>
      <c r="Z172" s="1184"/>
      <c r="AA172" s="1184"/>
      <c r="AB172" s="1184"/>
      <c r="AC172" s="1184"/>
      <c r="AD172" s="1184"/>
      <c r="AE172" s="1184"/>
      <c r="AF172" s="1184"/>
      <c r="AG172" s="1184"/>
      <c r="AH172" s="1184"/>
      <c r="AI172" s="1184"/>
      <c r="AJ172" s="1184"/>
      <c r="AK172" s="1184"/>
      <c r="AL172" s="1771"/>
      <c r="AM172" s="1771"/>
      <c r="AN172" s="1771"/>
      <c r="AO172" s="1771"/>
      <c r="AP172" s="1771"/>
      <c r="AQ172" s="1771"/>
    </row>
    <row r="173" spans="1:43" ht="17.25" customHeight="1">
      <c r="A173" s="1758"/>
      <c r="B173" s="1771"/>
      <c r="C173" s="1763"/>
      <c r="D173" s="8781"/>
      <c r="E173" s="8782"/>
      <c r="F173" s="8772"/>
      <c r="G173" s="8785"/>
      <c r="H173" s="8768"/>
      <c r="I173" s="8768"/>
      <c r="J173" s="8807"/>
      <c r="K173" s="8809"/>
      <c r="L173" s="8768"/>
      <c r="M173" s="8768"/>
      <c r="N173" s="8811"/>
      <c r="O173" s="8739"/>
      <c r="P173" s="236"/>
      <c r="Q173" s="237"/>
      <c r="R173" s="237" t="s">
        <v>314</v>
      </c>
      <c r="S173" s="1764"/>
      <c r="T173" s="1764"/>
      <c r="U173" s="1764"/>
      <c r="V173" s="1764"/>
      <c r="W173" s="1353"/>
      <c r="Y173" s="1184"/>
      <c r="Z173" s="1184"/>
      <c r="AA173" s="1184"/>
      <c r="AB173" s="1184"/>
      <c r="AC173" s="1184"/>
      <c r="AD173" s="1184"/>
      <c r="AE173" s="1184"/>
      <c r="AF173" s="1184"/>
      <c r="AG173" s="1184"/>
      <c r="AH173" s="1184"/>
      <c r="AI173" s="1184"/>
      <c r="AJ173" s="1184"/>
      <c r="AK173" s="1184"/>
      <c r="AL173" s="1771"/>
      <c r="AM173" s="1771"/>
      <c r="AN173" s="1771"/>
      <c r="AO173" s="1771"/>
      <c r="AP173" s="1771"/>
      <c r="AQ173" s="1771"/>
    </row>
    <row r="174" spans="1:43" ht="17.25" customHeight="1">
      <c r="A174" s="1758"/>
      <c r="B174" s="1771"/>
      <c r="C174" s="1763"/>
      <c r="D174" s="8781"/>
      <c r="E174" s="8782"/>
      <c r="F174" s="8772"/>
      <c r="G174" s="8785"/>
      <c r="H174" s="8768"/>
      <c r="I174" s="8768"/>
      <c r="J174" s="8807"/>
      <c r="K174" s="8739"/>
      <c r="L174" s="236"/>
      <c r="M174" s="237"/>
      <c r="N174" s="237" t="s">
        <v>315</v>
      </c>
      <c r="O174" s="237"/>
      <c r="P174" s="237"/>
      <c r="Q174" s="237"/>
      <c r="R174" s="237"/>
      <c r="S174" s="1764"/>
      <c r="T174" s="1764"/>
      <c r="U174" s="1764"/>
      <c r="V174" s="1764"/>
      <c r="W174" s="238"/>
      <c r="Y174" s="1184"/>
      <c r="Z174" s="1184"/>
      <c r="AA174" s="1184"/>
      <c r="AB174" s="1184"/>
      <c r="AC174" s="1184"/>
      <c r="AD174" s="1184"/>
      <c r="AE174" s="1184"/>
      <c r="AF174" s="1184"/>
      <c r="AG174" s="1184"/>
      <c r="AH174" s="1184"/>
      <c r="AI174" s="1184"/>
      <c r="AJ174" s="1184"/>
      <c r="AK174" s="1184"/>
      <c r="AL174" s="1771"/>
      <c r="AM174" s="1771"/>
      <c r="AN174" s="1771"/>
      <c r="AO174" s="1771"/>
      <c r="AP174" s="1771"/>
      <c r="AQ174" s="1771"/>
    </row>
    <row r="175" spans="1:43" ht="17.25" customHeight="1">
      <c r="A175" s="1758"/>
      <c r="B175" s="1771"/>
      <c r="C175" s="1760"/>
      <c r="D175" s="8781"/>
      <c r="E175" s="8782"/>
      <c r="F175" s="8772"/>
      <c r="G175" s="8785"/>
      <c r="H175" s="8806" t="s">
        <v>100</v>
      </c>
      <c r="I175" s="8806" t="s">
        <v>433</v>
      </c>
      <c r="J175" s="8805" t="s">
        <v>434</v>
      </c>
      <c r="K175" s="8808" t="s">
        <v>63</v>
      </c>
      <c r="L175" s="8735"/>
      <c r="M175" s="8735" t="s">
        <v>95</v>
      </c>
      <c r="N175" s="8810" t="str">
        <f>IF(Z175="","",INDEX(TERRITORY_MR_LIST,MATCH(Z175,TERRITORY_LIST_ID,0)))</f>
        <v>Территория 7</v>
      </c>
      <c r="O175" s="8808" t="s">
        <v>53</v>
      </c>
      <c r="P175" s="8735"/>
      <c r="Q175" s="8735" t="s">
        <v>95</v>
      </c>
      <c r="R175" s="8812" t="s">
        <v>24</v>
      </c>
      <c r="S175" s="8804" t="s">
        <v>53</v>
      </c>
      <c r="T175" s="1722"/>
      <c r="U175" s="1722" t="s">
        <v>95</v>
      </c>
      <c r="V175" s="1354"/>
      <c r="W175" s="8805"/>
      <c r="Y175" s="1191"/>
      <c r="Z175" s="1191" t="s">
        <v>122</v>
      </c>
      <c r="AA175" s="1191"/>
      <c r="AB175" s="1191"/>
      <c r="AC175" s="1191" t="s">
        <v>310</v>
      </c>
      <c r="AD175" s="1191" t="s">
        <v>435</v>
      </c>
      <c r="AE175" s="1191" t="s">
        <v>436</v>
      </c>
      <c r="AF175" s="1191" t="s">
        <v>437</v>
      </c>
      <c r="AG175" s="1191" t="s">
        <v>438</v>
      </c>
      <c r="AH175" s="1191" t="str">
        <f>IF($E$79=0,"",$E$79)</f>
        <v>Тариф на подвоз воды</v>
      </c>
      <c r="AI175" s="1191" t="str">
        <f>IF($G$79=0,"",$G$79)</f>
        <v>Холодное водоснабжение. Подвозная вода</v>
      </c>
      <c r="AJ175" s="1191" t="str">
        <f>IF($J$175=0,"",$J$175)</f>
        <v>Подвоз воды потребителям села Серноводского</v>
      </c>
      <c r="AK175" s="1191" t="str">
        <f>IF($K$175="нет","без дифференциации",IF($N$175=0,"",$N$175))</f>
        <v>Территория 7</v>
      </c>
      <c r="AL175" s="1762" t="str">
        <f>IF($O$175="нет","без дифференциации",IF($R$175=0,"",$R$175))</f>
        <v>без дифференциации</v>
      </c>
      <c r="AM175" s="1762"/>
      <c r="AN175" s="1191" t="str">
        <f>$I$175</f>
        <v>25</v>
      </c>
      <c r="AO175" s="1191" t="str">
        <f>$I$175&amp;"."&amp;$M$175</f>
        <v>25.1</v>
      </c>
      <c r="AP175" s="1191" t="str">
        <f>$I$175&amp;"."&amp;$M$175&amp;"."&amp;$Q$175</f>
        <v>25.1.1</v>
      </c>
      <c r="AQ175" s="1191"/>
    </row>
    <row r="176" spans="1:43" ht="17.25" customHeight="1">
      <c r="A176" s="1758"/>
      <c r="B176" s="1771"/>
      <c r="C176" s="1763"/>
      <c r="D176" s="8781"/>
      <c r="E176" s="8782"/>
      <c r="F176" s="8772"/>
      <c r="G176" s="8785"/>
      <c r="H176" s="8806"/>
      <c r="I176" s="8806"/>
      <c r="J176" s="8805"/>
      <c r="K176" s="8809"/>
      <c r="L176" s="8735"/>
      <c r="M176" s="8735"/>
      <c r="N176" s="8810"/>
      <c r="O176" s="8809"/>
      <c r="P176" s="8735"/>
      <c r="Q176" s="8735"/>
      <c r="R176" s="8812" t="s">
        <v>24</v>
      </c>
      <c r="S176" s="8804"/>
      <c r="T176" s="1355"/>
      <c r="U176" s="1356"/>
      <c r="V176" s="1356"/>
      <c r="W176" s="8805"/>
      <c r="Y176" s="1184"/>
      <c r="Z176" s="1184"/>
      <c r="AA176" s="1184"/>
      <c r="AB176" s="1184"/>
      <c r="AC176" s="1184"/>
      <c r="AD176" s="1184"/>
      <c r="AE176" s="1184"/>
      <c r="AF176" s="1184"/>
      <c r="AG176" s="1184"/>
      <c r="AH176" s="1184"/>
      <c r="AI176" s="1184"/>
      <c r="AJ176" s="1184"/>
      <c r="AK176" s="1184"/>
      <c r="AL176" s="1771"/>
      <c r="AM176" s="1771"/>
      <c r="AN176" s="1771"/>
      <c r="AO176" s="1771"/>
      <c r="AP176" s="1771"/>
      <c r="AQ176" s="1771"/>
    </row>
    <row r="177" spans="1:43" ht="17.25" customHeight="1">
      <c r="A177" s="1758"/>
      <c r="B177" s="1771"/>
      <c r="C177" s="1763"/>
      <c r="D177" s="8781"/>
      <c r="E177" s="8782"/>
      <c r="F177" s="8772"/>
      <c r="G177" s="8785"/>
      <c r="H177" s="8768"/>
      <c r="I177" s="8768"/>
      <c r="J177" s="8807"/>
      <c r="K177" s="8809"/>
      <c r="L177" s="8768"/>
      <c r="M177" s="8768"/>
      <c r="N177" s="8811"/>
      <c r="O177" s="8739"/>
      <c r="P177" s="236"/>
      <c r="Q177" s="237"/>
      <c r="R177" s="237" t="s">
        <v>314</v>
      </c>
      <c r="S177" s="1764"/>
      <c r="T177" s="1764"/>
      <c r="U177" s="1764"/>
      <c r="V177" s="1764"/>
      <c r="W177" s="1353"/>
      <c r="Y177" s="1184"/>
      <c r="Z177" s="1184"/>
      <c r="AA177" s="1184"/>
      <c r="AB177" s="1184"/>
      <c r="AC177" s="1184"/>
      <c r="AD177" s="1184"/>
      <c r="AE177" s="1184"/>
      <c r="AF177" s="1184"/>
      <c r="AG177" s="1184"/>
      <c r="AH177" s="1184"/>
      <c r="AI177" s="1184"/>
      <c r="AJ177" s="1184"/>
      <c r="AK177" s="1184"/>
      <c r="AL177" s="1771"/>
      <c r="AM177" s="1771"/>
      <c r="AN177" s="1771"/>
      <c r="AO177" s="1771"/>
      <c r="AP177" s="1771"/>
      <c r="AQ177" s="1771"/>
    </row>
    <row r="178" spans="1:43" ht="17.25" customHeight="1">
      <c r="A178" s="1758"/>
      <c r="B178" s="1771"/>
      <c r="C178" s="1763"/>
      <c r="D178" s="8781"/>
      <c r="E178" s="8782"/>
      <c r="F178" s="8772"/>
      <c r="G178" s="8785"/>
      <c r="H178" s="8768"/>
      <c r="I178" s="8768"/>
      <c r="J178" s="8807"/>
      <c r="K178" s="8739"/>
      <c r="L178" s="236"/>
      <c r="M178" s="237"/>
      <c r="N178" s="237" t="s">
        <v>315</v>
      </c>
      <c r="O178" s="237"/>
      <c r="P178" s="237"/>
      <c r="Q178" s="237"/>
      <c r="R178" s="237"/>
      <c r="S178" s="1764"/>
      <c r="T178" s="1764"/>
      <c r="U178" s="1764"/>
      <c r="V178" s="1764"/>
      <c r="W178" s="238"/>
      <c r="Y178" s="1184"/>
      <c r="Z178" s="1184"/>
      <c r="AA178" s="1184"/>
      <c r="AB178" s="1184"/>
      <c r="AC178" s="1184"/>
      <c r="AD178" s="1184"/>
      <c r="AE178" s="1184"/>
      <c r="AF178" s="1184"/>
      <c r="AG178" s="1184"/>
      <c r="AH178" s="1184"/>
      <c r="AI178" s="1184"/>
      <c r="AJ178" s="1184"/>
      <c r="AK178" s="1184"/>
      <c r="AL178" s="1771"/>
      <c r="AM178" s="1771"/>
      <c r="AN178" s="1771"/>
      <c r="AO178" s="1771"/>
      <c r="AP178" s="1771"/>
      <c r="AQ178" s="1771"/>
    </row>
    <row r="179" spans="1:43" ht="17.25" customHeight="1">
      <c r="A179" s="1758"/>
      <c r="B179" s="1771"/>
      <c r="C179" s="1760"/>
      <c r="D179" s="8781"/>
      <c r="E179" s="8782"/>
      <c r="F179" s="8772"/>
      <c r="G179" s="8785"/>
      <c r="H179" s="8806" t="s">
        <v>100</v>
      </c>
      <c r="I179" s="8806" t="s">
        <v>439</v>
      </c>
      <c r="J179" s="8805" t="s">
        <v>440</v>
      </c>
      <c r="K179" s="8808" t="s">
        <v>63</v>
      </c>
      <c r="L179" s="8735"/>
      <c r="M179" s="8735" t="s">
        <v>95</v>
      </c>
      <c r="N179" s="8810" t="str">
        <f>IF(Z179="","",INDEX(TERRITORY_MR_LIST,MATCH(Z179,TERRITORY_LIST_ID,0)))</f>
        <v>Территория 7</v>
      </c>
      <c r="O179" s="8808" t="s">
        <v>53</v>
      </c>
      <c r="P179" s="8735"/>
      <c r="Q179" s="8735" t="s">
        <v>95</v>
      </c>
      <c r="R179" s="8812" t="s">
        <v>24</v>
      </c>
      <c r="S179" s="8804" t="s">
        <v>53</v>
      </c>
      <c r="T179" s="1722"/>
      <c r="U179" s="1722" t="s">
        <v>95</v>
      </c>
      <c r="V179" s="1354"/>
      <c r="W179" s="8805"/>
      <c r="Y179" s="1191"/>
      <c r="Z179" s="1191" t="s">
        <v>122</v>
      </c>
      <c r="AA179" s="1191"/>
      <c r="AB179" s="1191"/>
      <c r="AC179" s="1191" t="s">
        <v>310</v>
      </c>
      <c r="AD179" s="1191" t="s">
        <v>441</v>
      </c>
      <c r="AE179" s="1191" t="s">
        <v>442</v>
      </c>
      <c r="AF179" s="1191" t="s">
        <v>443</v>
      </c>
      <c r="AG179" s="1191" t="s">
        <v>444</v>
      </c>
      <c r="AH179" s="1191" t="str">
        <f>IF($E$79=0,"",$E$79)</f>
        <v>Тариф на подвоз воды</v>
      </c>
      <c r="AI179" s="1191" t="str">
        <f>IF($G$79=0,"",$G$79)</f>
        <v>Холодное водоснабжение. Подвозная вода</v>
      </c>
      <c r="AJ179" s="1191" t="str">
        <f>IF($J$179=0,"",$J$179)</f>
        <v>Подвоз воды потребителям хутора Медведева</v>
      </c>
      <c r="AK179" s="1191" t="str">
        <f>IF($K$179="нет","без дифференциации",IF($N$179=0,"",$N$179))</f>
        <v>Территория 7</v>
      </c>
      <c r="AL179" s="1762" t="str">
        <f>IF($O$179="нет","без дифференциации",IF($R$179=0,"",$R$179))</f>
        <v>без дифференциации</v>
      </c>
      <c r="AM179" s="1762"/>
      <c r="AN179" s="1191" t="str">
        <f>$I$179</f>
        <v>26</v>
      </c>
      <c r="AO179" s="1191" t="str">
        <f>$I$179&amp;"."&amp;$M$179</f>
        <v>26.1</v>
      </c>
      <c r="AP179" s="1191" t="str">
        <f>$I$179&amp;"."&amp;$M$179&amp;"."&amp;$Q$179</f>
        <v>26.1.1</v>
      </c>
      <c r="AQ179" s="1191"/>
    </row>
    <row r="180" spans="1:43" ht="17.25" customHeight="1">
      <c r="A180" s="1758"/>
      <c r="B180" s="1771"/>
      <c r="C180" s="1763"/>
      <c r="D180" s="8781"/>
      <c r="E180" s="8782"/>
      <c r="F180" s="8772"/>
      <c r="G180" s="8785"/>
      <c r="H180" s="8806"/>
      <c r="I180" s="8806"/>
      <c r="J180" s="8805"/>
      <c r="K180" s="8809"/>
      <c r="L180" s="8735"/>
      <c r="M180" s="8735"/>
      <c r="N180" s="8810"/>
      <c r="O180" s="8809"/>
      <c r="P180" s="8735"/>
      <c r="Q180" s="8735"/>
      <c r="R180" s="8812" t="s">
        <v>24</v>
      </c>
      <c r="S180" s="8804"/>
      <c r="T180" s="1355"/>
      <c r="U180" s="1356"/>
      <c r="V180" s="1356"/>
      <c r="W180" s="8805"/>
      <c r="Y180" s="1184"/>
      <c r="Z180" s="1184"/>
      <c r="AA180" s="1184"/>
      <c r="AB180" s="1184"/>
      <c r="AC180" s="1184"/>
      <c r="AD180" s="1184"/>
      <c r="AE180" s="1184"/>
      <c r="AF180" s="1184"/>
      <c r="AG180" s="1184"/>
      <c r="AH180" s="1184"/>
      <c r="AI180" s="1184"/>
      <c r="AJ180" s="1184"/>
      <c r="AK180" s="1184"/>
      <c r="AL180" s="1771"/>
      <c r="AM180" s="1771"/>
      <c r="AN180" s="1771"/>
      <c r="AO180" s="1771"/>
      <c r="AP180" s="1771"/>
      <c r="AQ180" s="1771"/>
    </row>
    <row r="181" spans="1:43" ht="17.25" customHeight="1">
      <c r="A181" s="1758"/>
      <c r="B181" s="1771"/>
      <c r="C181" s="1763"/>
      <c r="D181" s="8781"/>
      <c r="E181" s="8782"/>
      <c r="F181" s="8772"/>
      <c r="G181" s="8785"/>
      <c r="H181" s="8768"/>
      <c r="I181" s="8768"/>
      <c r="J181" s="8807"/>
      <c r="K181" s="8809"/>
      <c r="L181" s="8768"/>
      <c r="M181" s="8768"/>
      <c r="N181" s="8811"/>
      <c r="O181" s="8739"/>
      <c r="P181" s="236"/>
      <c r="Q181" s="237"/>
      <c r="R181" s="237" t="s">
        <v>314</v>
      </c>
      <c r="S181" s="1764"/>
      <c r="T181" s="1764"/>
      <c r="U181" s="1764"/>
      <c r="V181" s="1764"/>
      <c r="W181" s="1353"/>
      <c r="Y181" s="1184"/>
      <c r="Z181" s="1184"/>
      <c r="AA181" s="1184"/>
      <c r="AB181" s="1184"/>
      <c r="AC181" s="1184"/>
      <c r="AD181" s="1184"/>
      <c r="AE181" s="1184"/>
      <c r="AF181" s="1184"/>
      <c r="AG181" s="1184"/>
      <c r="AH181" s="1184"/>
      <c r="AI181" s="1184"/>
      <c r="AJ181" s="1184"/>
      <c r="AK181" s="1184"/>
      <c r="AL181" s="1771"/>
      <c r="AM181" s="1771"/>
      <c r="AN181" s="1771"/>
      <c r="AO181" s="1771"/>
      <c r="AP181" s="1771"/>
      <c r="AQ181" s="1771"/>
    </row>
    <row r="182" spans="1:43" ht="17.25" customHeight="1">
      <c r="A182" s="1758"/>
      <c r="B182" s="1771"/>
      <c r="C182" s="1763"/>
      <c r="D182" s="8781"/>
      <c r="E182" s="8782"/>
      <c r="F182" s="8772"/>
      <c r="G182" s="8785"/>
      <c r="H182" s="8768"/>
      <c r="I182" s="8768"/>
      <c r="J182" s="8807"/>
      <c r="K182" s="8739"/>
      <c r="L182" s="236"/>
      <c r="M182" s="237"/>
      <c r="N182" s="237" t="s">
        <v>315</v>
      </c>
      <c r="O182" s="237"/>
      <c r="P182" s="237"/>
      <c r="Q182" s="237"/>
      <c r="R182" s="237"/>
      <c r="S182" s="1764"/>
      <c r="T182" s="1764"/>
      <c r="U182" s="1764"/>
      <c r="V182" s="1764"/>
      <c r="W182" s="238"/>
      <c r="Y182" s="1184"/>
      <c r="Z182" s="1184"/>
      <c r="AA182" s="1184"/>
      <c r="AB182" s="1184"/>
      <c r="AC182" s="1184"/>
      <c r="AD182" s="1184"/>
      <c r="AE182" s="1184"/>
      <c r="AF182" s="1184"/>
      <c r="AG182" s="1184"/>
      <c r="AH182" s="1184"/>
      <c r="AI182" s="1184"/>
      <c r="AJ182" s="1184"/>
      <c r="AK182" s="1184"/>
      <c r="AL182" s="1771"/>
      <c r="AM182" s="1771"/>
      <c r="AN182" s="1771"/>
      <c r="AO182" s="1771"/>
      <c r="AP182" s="1771"/>
      <c r="AQ182" s="1771"/>
    </row>
    <row r="183" spans="1:43" ht="17.25" customHeight="1">
      <c r="A183" s="1758"/>
      <c r="B183" s="1771"/>
      <c r="C183" s="1760"/>
      <c r="D183" s="8781"/>
      <c r="E183" s="8782"/>
      <c r="F183" s="8772"/>
      <c r="G183" s="8785"/>
      <c r="H183" s="8806" t="s">
        <v>100</v>
      </c>
      <c r="I183" s="8806" t="s">
        <v>445</v>
      </c>
      <c r="J183" s="8805" t="s">
        <v>446</v>
      </c>
      <c r="K183" s="8808" t="s">
        <v>63</v>
      </c>
      <c r="L183" s="8735"/>
      <c r="M183" s="8735" t="s">
        <v>95</v>
      </c>
      <c r="N183" s="8810" t="str">
        <f>IF(Z183="","",INDEX(TERRITORY_MR_LIST,MATCH(Z183,TERRITORY_LIST_ID,0)))</f>
        <v>Территория 7</v>
      </c>
      <c r="O183" s="8808" t="s">
        <v>53</v>
      </c>
      <c r="P183" s="8735"/>
      <c r="Q183" s="8735" t="s">
        <v>95</v>
      </c>
      <c r="R183" s="8812" t="s">
        <v>24</v>
      </c>
      <c r="S183" s="8804" t="s">
        <v>53</v>
      </c>
      <c r="T183" s="1722"/>
      <c r="U183" s="1722" t="s">
        <v>95</v>
      </c>
      <c r="V183" s="1354"/>
      <c r="W183" s="8805"/>
      <c r="Y183" s="1191"/>
      <c r="Z183" s="1191" t="s">
        <v>122</v>
      </c>
      <c r="AA183" s="1191"/>
      <c r="AB183" s="1191"/>
      <c r="AC183" s="1191" t="s">
        <v>310</v>
      </c>
      <c r="AD183" s="1191" t="s">
        <v>447</v>
      </c>
      <c r="AE183" s="1191" t="s">
        <v>448</v>
      </c>
      <c r="AF183" s="1191" t="s">
        <v>449</v>
      </c>
      <c r="AG183" s="1191" t="s">
        <v>450</v>
      </c>
      <c r="AH183" s="1191" t="str">
        <f>IF($E$79=0,"",$E$79)</f>
        <v>Тариф на подвоз воды</v>
      </c>
      <c r="AI183" s="1191" t="str">
        <f>IF($G$79=0,"",$G$79)</f>
        <v>Холодное водоснабжение. Подвозная вода</v>
      </c>
      <c r="AJ183" s="1191" t="str">
        <f>IF($J$183=0,"",$J$183)</f>
        <v>Подвоз воды потребителям хутора Графского</v>
      </c>
      <c r="AK183" s="1191" t="str">
        <f>IF($K$183="нет","без дифференциации",IF($N$183=0,"",$N$183))</f>
        <v>Территория 7</v>
      </c>
      <c r="AL183" s="1762" t="str">
        <f>IF($O$183="нет","без дифференциации",IF($R$183=0,"",$R$183))</f>
        <v>без дифференциации</v>
      </c>
      <c r="AM183" s="1762"/>
      <c r="AN183" s="1191" t="str">
        <f>$I$183</f>
        <v>27</v>
      </c>
      <c r="AO183" s="1191" t="str">
        <f>$I$183&amp;"."&amp;$M$183</f>
        <v>27.1</v>
      </c>
      <c r="AP183" s="1191" t="str">
        <f>$I$183&amp;"."&amp;$M$183&amp;"."&amp;$Q$183</f>
        <v>27.1.1</v>
      </c>
      <c r="AQ183" s="1191"/>
    </row>
    <row r="184" spans="1:43" ht="17.25" customHeight="1">
      <c r="A184" s="1758"/>
      <c r="B184" s="1771"/>
      <c r="C184" s="1763"/>
      <c r="D184" s="8781"/>
      <c r="E184" s="8782"/>
      <c r="F184" s="8772"/>
      <c r="G184" s="8785"/>
      <c r="H184" s="8806"/>
      <c r="I184" s="8806"/>
      <c r="J184" s="8805"/>
      <c r="K184" s="8809"/>
      <c r="L184" s="8735"/>
      <c r="M184" s="8735"/>
      <c r="N184" s="8810"/>
      <c r="O184" s="8809"/>
      <c r="P184" s="8735"/>
      <c r="Q184" s="8735"/>
      <c r="R184" s="8812" t="s">
        <v>24</v>
      </c>
      <c r="S184" s="8804"/>
      <c r="T184" s="1355"/>
      <c r="U184" s="1356"/>
      <c r="V184" s="1356"/>
      <c r="W184" s="8805"/>
      <c r="Y184" s="1184"/>
      <c r="Z184" s="1184"/>
      <c r="AA184" s="1184"/>
      <c r="AB184" s="1184"/>
      <c r="AC184" s="1184"/>
      <c r="AD184" s="1184"/>
      <c r="AE184" s="1184"/>
      <c r="AF184" s="1184"/>
      <c r="AG184" s="1184"/>
      <c r="AH184" s="1184"/>
      <c r="AI184" s="1184"/>
      <c r="AJ184" s="1184"/>
      <c r="AK184" s="1184"/>
      <c r="AL184" s="1771"/>
      <c r="AM184" s="1771"/>
      <c r="AN184" s="1771"/>
      <c r="AO184" s="1771"/>
      <c r="AP184" s="1771"/>
      <c r="AQ184" s="1771"/>
    </row>
    <row r="185" spans="1:43" ht="17.25" customHeight="1">
      <c r="A185" s="1758"/>
      <c r="B185" s="1771"/>
      <c r="C185" s="1763"/>
      <c r="D185" s="8781"/>
      <c r="E185" s="8782"/>
      <c r="F185" s="8772"/>
      <c r="G185" s="8785"/>
      <c r="H185" s="8768"/>
      <c r="I185" s="8768"/>
      <c r="J185" s="8807"/>
      <c r="K185" s="8809"/>
      <c r="L185" s="8768"/>
      <c r="M185" s="8768"/>
      <c r="N185" s="8811"/>
      <c r="O185" s="8739"/>
      <c r="P185" s="236"/>
      <c r="Q185" s="237"/>
      <c r="R185" s="237" t="s">
        <v>314</v>
      </c>
      <c r="S185" s="1764"/>
      <c r="T185" s="1764"/>
      <c r="U185" s="1764"/>
      <c r="V185" s="1764"/>
      <c r="W185" s="1353"/>
      <c r="Y185" s="1184"/>
      <c r="Z185" s="1184"/>
      <c r="AA185" s="1184"/>
      <c r="AB185" s="1184"/>
      <c r="AC185" s="1184"/>
      <c r="AD185" s="1184"/>
      <c r="AE185" s="1184"/>
      <c r="AF185" s="1184"/>
      <c r="AG185" s="1184"/>
      <c r="AH185" s="1184"/>
      <c r="AI185" s="1184"/>
      <c r="AJ185" s="1184"/>
      <c r="AK185" s="1184"/>
      <c r="AL185" s="1771"/>
      <c r="AM185" s="1771"/>
      <c r="AN185" s="1771"/>
      <c r="AO185" s="1771"/>
      <c r="AP185" s="1771"/>
      <c r="AQ185" s="1771"/>
    </row>
    <row r="186" spans="1:43" ht="17.25" customHeight="1">
      <c r="A186" s="1758"/>
      <c r="B186" s="1771"/>
      <c r="C186" s="1763"/>
      <c r="D186" s="8781"/>
      <c r="E186" s="8782"/>
      <c r="F186" s="8772"/>
      <c r="G186" s="8785"/>
      <c r="H186" s="8768"/>
      <c r="I186" s="8768"/>
      <c r="J186" s="8807"/>
      <c r="K186" s="8739"/>
      <c r="L186" s="236"/>
      <c r="M186" s="237"/>
      <c r="N186" s="237" t="s">
        <v>315</v>
      </c>
      <c r="O186" s="237"/>
      <c r="P186" s="237"/>
      <c r="Q186" s="237"/>
      <c r="R186" s="237"/>
      <c r="S186" s="1764"/>
      <c r="T186" s="1764"/>
      <c r="U186" s="1764"/>
      <c r="V186" s="1764"/>
      <c r="W186" s="238"/>
      <c r="Y186" s="1184"/>
      <c r="Z186" s="1184"/>
      <c r="AA186" s="1184"/>
      <c r="AB186" s="1184"/>
      <c r="AC186" s="1184"/>
      <c r="AD186" s="1184"/>
      <c r="AE186" s="1184"/>
      <c r="AF186" s="1184"/>
      <c r="AG186" s="1184"/>
      <c r="AH186" s="1184"/>
      <c r="AI186" s="1184"/>
      <c r="AJ186" s="1184"/>
      <c r="AK186" s="1184"/>
      <c r="AL186" s="1771"/>
      <c r="AM186" s="1771"/>
      <c r="AN186" s="1771"/>
      <c r="AO186" s="1771"/>
      <c r="AP186" s="1771"/>
      <c r="AQ186" s="1771"/>
    </row>
    <row r="187" spans="1:43" ht="17.25" customHeight="1">
      <c r="A187" s="1758"/>
      <c r="B187" s="1771"/>
      <c r="C187" s="1760"/>
      <c r="D187" s="8781"/>
      <c r="E187" s="8782"/>
      <c r="F187" s="8772"/>
      <c r="G187" s="8785"/>
      <c r="H187" s="8806" t="s">
        <v>100</v>
      </c>
      <c r="I187" s="8806" t="s">
        <v>451</v>
      </c>
      <c r="J187" s="8805" t="s">
        <v>452</v>
      </c>
      <c r="K187" s="8808" t="s">
        <v>63</v>
      </c>
      <c r="L187" s="8735"/>
      <c r="M187" s="8735" t="s">
        <v>95</v>
      </c>
      <c r="N187" s="8810" t="str">
        <f>IF(Z187="","",INDEX(TERRITORY_MR_LIST,MATCH(Z187,TERRITORY_LIST_ID,0)))</f>
        <v>Территория 7</v>
      </c>
      <c r="O187" s="8808" t="s">
        <v>53</v>
      </c>
      <c r="P187" s="8735"/>
      <c r="Q187" s="8735" t="s">
        <v>95</v>
      </c>
      <c r="R187" s="8812" t="s">
        <v>24</v>
      </c>
      <c r="S187" s="8804" t="s">
        <v>53</v>
      </c>
      <c r="T187" s="1722"/>
      <c r="U187" s="1722" t="s">
        <v>95</v>
      </c>
      <c r="V187" s="1354"/>
      <c r="W187" s="8805"/>
      <c r="Y187" s="1191"/>
      <c r="Z187" s="1191" t="s">
        <v>122</v>
      </c>
      <c r="AA187" s="1191"/>
      <c r="AB187" s="1191"/>
      <c r="AC187" s="1191" t="s">
        <v>310</v>
      </c>
      <c r="AD187" s="1191" t="s">
        <v>453</v>
      </c>
      <c r="AE187" s="1191" t="s">
        <v>454</v>
      </c>
      <c r="AF187" s="1191" t="s">
        <v>455</v>
      </c>
      <c r="AG187" s="1191" t="s">
        <v>456</v>
      </c>
      <c r="AH187" s="1191" t="str">
        <f>IF($E$79=0,"",$E$79)</f>
        <v>Тариф на подвоз воды</v>
      </c>
      <c r="AI187" s="1191" t="str">
        <f>IF($G$79=0,"",$G$79)</f>
        <v>Холодное водоснабжение. Подвозная вода</v>
      </c>
      <c r="AJ187" s="1191" t="str">
        <f>IF($J$187=0,"",$J$187)</f>
        <v>Подвоз воды потребителям хутора Бугулова</v>
      </c>
      <c r="AK187" s="1191" t="str">
        <f>IF($K$187="нет","без дифференциации",IF($N$187=0,"",$N$187))</f>
        <v>Территория 7</v>
      </c>
      <c r="AL187" s="1762" t="str">
        <f>IF($O$187="нет","без дифференциации",IF($R$187=0,"",$R$187))</f>
        <v>без дифференциации</v>
      </c>
      <c r="AM187" s="1762"/>
      <c r="AN187" s="1191" t="str">
        <f>$I$187</f>
        <v>28</v>
      </c>
      <c r="AO187" s="1191" t="str">
        <f>$I$187&amp;"."&amp;$M$187</f>
        <v>28.1</v>
      </c>
      <c r="AP187" s="1191" t="str">
        <f>$I$187&amp;"."&amp;$M$187&amp;"."&amp;$Q$187</f>
        <v>28.1.1</v>
      </c>
      <c r="AQ187" s="1191"/>
    </row>
    <row r="188" spans="1:43" ht="17.25" customHeight="1">
      <c r="A188" s="1758"/>
      <c r="B188" s="1771"/>
      <c r="C188" s="1763"/>
      <c r="D188" s="8781"/>
      <c r="E188" s="8782"/>
      <c r="F188" s="8772"/>
      <c r="G188" s="8785"/>
      <c r="H188" s="8806"/>
      <c r="I188" s="8806"/>
      <c r="J188" s="8805"/>
      <c r="K188" s="8809"/>
      <c r="L188" s="8735"/>
      <c r="M188" s="8735"/>
      <c r="N188" s="8810"/>
      <c r="O188" s="8809"/>
      <c r="P188" s="8735"/>
      <c r="Q188" s="8735"/>
      <c r="R188" s="8812" t="s">
        <v>24</v>
      </c>
      <c r="S188" s="8804"/>
      <c r="T188" s="1355"/>
      <c r="U188" s="1356"/>
      <c r="V188" s="1356"/>
      <c r="W188" s="8805"/>
      <c r="Y188" s="1184"/>
      <c r="Z188" s="1184"/>
      <c r="AA188" s="1184"/>
      <c r="AB188" s="1184"/>
      <c r="AC188" s="1184"/>
      <c r="AD188" s="1184"/>
      <c r="AE188" s="1184"/>
      <c r="AF188" s="1184"/>
      <c r="AG188" s="1184"/>
      <c r="AH188" s="1184"/>
      <c r="AI188" s="1184"/>
      <c r="AJ188" s="1184"/>
      <c r="AK188" s="1184"/>
      <c r="AL188" s="1771"/>
      <c r="AM188" s="1771"/>
      <c r="AN188" s="1771"/>
      <c r="AO188" s="1771"/>
      <c r="AP188" s="1771"/>
      <c r="AQ188" s="1771"/>
    </row>
    <row r="189" spans="1:43" ht="17.25" customHeight="1">
      <c r="A189" s="1758"/>
      <c r="B189" s="1771"/>
      <c r="C189" s="1763"/>
      <c r="D189" s="8781"/>
      <c r="E189" s="8782"/>
      <c r="F189" s="8772"/>
      <c r="G189" s="8785"/>
      <c r="H189" s="8768"/>
      <c r="I189" s="8768"/>
      <c r="J189" s="8807"/>
      <c r="K189" s="8809"/>
      <c r="L189" s="8768"/>
      <c r="M189" s="8768"/>
      <c r="N189" s="8811"/>
      <c r="O189" s="8739"/>
      <c r="P189" s="236"/>
      <c r="Q189" s="237"/>
      <c r="R189" s="237" t="s">
        <v>314</v>
      </c>
      <c r="S189" s="1764"/>
      <c r="T189" s="1764"/>
      <c r="U189" s="1764"/>
      <c r="V189" s="1764"/>
      <c r="W189" s="1353"/>
      <c r="Y189" s="1184"/>
      <c r="Z189" s="1184"/>
      <c r="AA189" s="1184"/>
      <c r="AB189" s="1184"/>
      <c r="AC189" s="1184"/>
      <c r="AD189" s="1184"/>
      <c r="AE189" s="1184"/>
      <c r="AF189" s="1184"/>
      <c r="AG189" s="1184"/>
      <c r="AH189" s="1184"/>
      <c r="AI189" s="1184"/>
      <c r="AJ189" s="1184"/>
      <c r="AK189" s="1184"/>
      <c r="AL189" s="1771"/>
      <c r="AM189" s="1771"/>
      <c r="AN189" s="1771"/>
      <c r="AO189" s="1771"/>
      <c r="AP189" s="1771"/>
      <c r="AQ189" s="1771"/>
    </row>
    <row r="190" spans="1:43" ht="17.25" customHeight="1">
      <c r="A190" s="1758"/>
      <c r="B190" s="1771"/>
      <c r="C190" s="1763"/>
      <c r="D190" s="8781"/>
      <c r="E190" s="8782"/>
      <c r="F190" s="8772"/>
      <c r="G190" s="8785"/>
      <c r="H190" s="8768"/>
      <c r="I190" s="8768"/>
      <c r="J190" s="8807"/>
      <c r="K190" s="8739"/>
      <c r="L190" s="236"/>
      <c r="M190" s="237"/>
      <c r="N190" s="237" t="s">
        <v>315</v>
      </c>
      <c r="O190" s="237"/>
      <c r="P190" s="237"/>
      <c r="Q190" s="237"/>
      <c r="R190" s="237"/>
      <c r="S190" s="1764"/>
      <c r="T190" s="1764"/>
      <c r="U190" s="1764"/>
      <c r="V190" s="1764"/>
      <c r="W190" s="238"/>
      <c r="Y190" s="1184"/>
      <c r="Z190" s="1184"/>
      <c r="AA190" s="1184"/>
      <c r="AB190" s="1184"/>
      <c r="AC190" s="1184"/>
      <c r="AD190" s="1184"/>
      <c r="AE190" s="1184"/>
      <c r="AF190" s="1184"/>
      <c r="AG190" s="1184"/>
      <c r="AH190" s="1184"/>
      <c r="AI190" s="1184"/>
      <c r="AJ190" s="1184"/>
      <c r="AK190" s="1184"/>
      <c r="AL190" s="1771"/>
      <c r="AM190" s="1771"/>
      <c r="AN190" s="1771"/>
      <c r="AO190" s="1771"/>
      <c r="AP190" s="1771"/>
      <c r="AQ190" s="1771"/>
    </row>
    <row r="191" spans="1:43" ht="17.25" customHeight="1">
      <c r="A191" s="1758"/>
      <c r="B191" s="1771"/>
      <c r="C191" s="1760"/>
      <c r="D191" s="8781"/>
      <c r="E191" s="8782"/>
      <c r="F191" s="8772"/>
      <c r="G191" s="8785"/>
      <c r="H191" s="8806" t="s">
        <v>100</v>
      </c>
      <c r="I191" s="8806" t="s">
        <v>457</v>
      </c>
      <c r="J191" s="8805" t="s">
        <v>458</v>
      </c>
      <c r="K191" s="8808" t="s">
        <v>63</v>
      </c>
      <c r="L191" s="8735"/>
      <c r="M191" s="8735" t="s">
        <v>95</v>
      </c>
      <c r="N191" s="8810" t="str">
        <f>IF(Z191="","",INDEX(TERRITORY_MR_LIST,MATCH(Z191,TERRITORY_LIST_ID,0)))</f>
        <v>Территория 8</v>
      </c>
      <c r="O191" s="8808" t="s">
        <v>53</v>
      </c>
      <c r="P191" s="8735"/>
      <c r="Q191" s="8735" t="s">
        <v>95</v>
      </c>
      <c r="R191" s="8812" t="s">
        <v>24</v>
      </c>
      <c r="S191" s="8804" t="s">
        <v>53</v>
      </c>
      <c r="T191" s="1722"/>
      <c r="U191" s="1722" t="s">
        <v>95</v>
      </c>
      <c r="V191" s="1354"/>
      <c r="W191" s="8805"/>
      <c r="Y191" s="1191"/>
      <c r="Z191" s="1191" t="s">
        <v>127</v>
      </c>
      <c r="AA191" s="1191"/>
      <c r="AB191" s="1191"/>
      <c r="AC191" s="1191" t="s">
        <v>310</v>
      </c>
      <c r="AD191" s="1191" t="s">
        <v>459</v>
      </c>
      <c r="AE191" s="1191" t="s">
        <v>460</v>
      </c>
      <c r="AF191" s="1191" t="s">
        <v>461</v>
      </c>
      <c r="AG191" s="1191" t="s">
        <v>462</v>
      </c>
      <c r="AH191" s="1191" t="str">
        <f>IF($E$79=0,"",$E$79)</f>
        <v>Тариф на подвоз воды</v>
      </c>
      <c r="AI191" s="1191" t="str">
        <f>IF($G$79=0,"",$G$79)</f>
        <v>Холодное водоснабжение. Подвозная вода</v>
      </c>
      <c r="AJ191" s="1191" t="str">
        <f>IF($J$191=0,"",$J$191)</f>
        <v>Подвоз воды потребителям хутора Горного</v>
      </c>
      <c r="AK191" s="1191" t="str">
        <f>IF($K$191="нет","без дифференциации",IF($N$191=0,"",$N$191))</f>
        <v>Территория 8</v>
      </c>
      <c r="AL191" s="1762" t="str">
        <f>IF($O$191="нет","без дифференциации",IF($R$191=0,"",$R$191))</f>
        <v>без дифференциации</v>
      </c>
      <c r="AM191" s="1762"/>
      <c r="AN191" s="1191" t="str">
        <f>$I$191</f>
        <v>29</v>
      </c>
      <c r="AO191" s="1191" t="str">
        <f>$I$191&amp;"."&amp;$M$191</f>
        <v>29.1</v>
      </c>
      <c r="AP191" s="1191" t="str">
        <f>$I$191&amp;"."&amp;$M$191&amp;"."&amp;$Q$191</f>
        <v>29.1.1</v>
      </c>
      <c r="AQ191" s="1191"/>
    </row>
    <row r="192" spans="1:43" ht="17.25" customHeight="1">
      <c r="A192" s="1758"/>
      <c r="B192" s="1771"/>
      <c r="C192" s="1763"/>
      <c r="D192" s="8781"/>
      <c r="E192" s="8782"/>
      <c r="F192" s="8772"/>
      <c r="G192" s="8785"/>
      <c r="H192" s="8806"/>
      <c r="I192" s="8806"/>
      <c r="J192" s="8805"/>
      <c r="K192" s="8809"/>
      <c r="L192" s="8735"/>
      <c r="M192" s="8735"/>
      <c r="N192" s="8810"/>
      <c r="O192" s="8809"/>
      <c r="P192" s="8735"/>
      <c r="Q192" s="8735"/>
      <c r="R192" s="8812" t="s">
        <v>24</v>
      </c>
      <c r="S192" s="8804"/>
      <c r="T192" s="1355"/>
      <c r="U192" s="1356"/>
      <c r="V192" s="1356"/>
      <c r="W192" s="8805"/>
      <c r="Y192" s="1184"/>
      <c r="Z192" s="1184"/>
      <c r="AA192" s="1184"/>
      <c r="AB192" s="1184"/>
      <c r="AC192" s="1184"/>
      <c r="AD192" s="1184"/>
      <c r="AE192" s="1184"/>
      <c r="AF192" s="1184"/>
      <c r="AG192" s="1184"/>
      <c r="AH192" s="1184"/>
      <c r="AI192" s="1184"/>
      <c r="AJ192" s="1184"/>
      <c r="AK192" s="1184"/>
      <c r="AL192" s="1771"/>
      <c r="AM192" s="1771"/>
      <c r="AN192" s="1771"/>
      <c r="AO192" s="1771"/>
      <c r="AP192" s="1771"/>
      <c r="AQ192" s="1771"/>
    </row>
    <row r="193" spans="1:43" ht="17.25" customHeight="1">
      <c r="A193" s="1758"/>
      <c r="B193" s="1771"/>
      <c r="C193" s="1763"/>
      <c r="D193" s="8781"/>
      <c r="E193" s="8782"/>
      <c r="F193" s="8772"/>
      <c r="G193" s="8785"/>
      <c r="H193" s="8768"/>
      <c r="I193" s="8768"/>
      <c r="J193" s="8807"/>
      <c r="K193" s="8809"/>
      <c r="L193" s="8768"/>
      <c r="M193" s="8768"/>
      <c r="N193" s="8811"/>
      <c r="O193" s="8739"/>
      <c r="P193" s="236"/>
      <c r="Q193" s="237"/>
      <c r="R193" s="237" t="s">
        <v>314</v>
      </c>
      <c r="S193" s="1764"/>
      <c r="T193" s="1764"/>
      <c r="U193" s="1764"/>
      <c r="V193" s="1764"/>
      <c r="W193" s="1353"/>
      <c r="Y193" s="1184"/>
      <c r="Z193" s="1184"/>
      <c r="AA193" s="1184"/>
      <c r="AB193" s="1184"/>
      <c r="AC193" s="1184"/>
      <c r="AD193" s="1184"/>
      <c r="AE193" s="1184"/>
      <c r="AF193" s="1184"/>
      <c r="AG193" s="1184"/>
      <c r="AH193" s="1184"/>
      <c r="AI193" s="1184"/>
      <c r="AJ193" s="1184"/>
      <c r="AK193" s="1184"/>
      <c r="AL193" s="1771"/>
      <c r="AM193" s="1771"/>
      <c r="AN193" s="1771"/>
      <c r="AO193" s="1771"/>
      <c r="AP193" s="1771"/>
      <c r="AQ193" s="1771"/>
    </row>
    <row r="194" spans="1:43" ht="17.25" customHeight="1">
      <c r="A194" s="1758"/>
      <c r="B194" s="1771"/>
      <c r="C194" s="1763"/>
      <c r="D194" s="8781"/>
      <c r="E194" s="8782"/>
      <c r="F194" s="8772"/>
      <c r="G194" s="8785"/>
      <c r="H194" s="8768"/>
      <c r="I194" s="8768"/>
      <c r="J194" s="8807"/>
      <c r="K194" s="8739"/>
      <c r="L194" s="236"/>
      <c r="M194" s="237"/>
      <c r="N194" s="237" t="s">
        <v>315</v>
      </c>
      <c r="O194" s="237"/>
      <c r="P194" s="237"/>
      <c r="Q194" s="237"/>
      <c r="R194" s="237"/>
      <c r="S194" s="1764"/>
      <c r="T194" s="1764"/>
      <c r="U194" s="1764"/>
      <c r="V194" s="1764"/>
      <c r="W194" s="238"/>
      <c r="Y194" s="1184"/>
      <c r="Z194" s="1184"/>
      <c r="AA194" s="1184"/>
      <c r="AB194" s="1184"/>
      <c r="AC194" s="1184"/>
      <c r="AD194" s="1184"/>
      <c r="AE194" s="1184"/>
      <c r="AF194" s="1184"/>
      <c r="AG194" s="1184"/>
      <c r="AH194" s="1184"/>
      <c r="AI194" s="1184"/>
      <c r="AJ194" s="1184"/>
      <c r="AK194" s="1184"/>
      <c r="AL194" s="1771"/>
      <c r="AM194" s="1771"/>
      <c r="AN194" s="1771"/>
      <c r="AO194" s="1771"/>
      <c r="AP194" s="1771"/>
      <c r="AQ194" s="1771"/>
    </row>
    <row r="195" spans="1:43" ht="17.25" customHeight="1">
      <c r="A195" s="1758"/>
      <c r="B195" s="1771"/>
      <c r="C195" s="1760"/>
      <c r="D195" s="8781"/>
      <c r="E195" s="8782"/>
      <c r="F195" s="8772"/>
      <c r="G195" s="8785"/>
      <c r="H195" s="8806" t="s">
        <v>100</v>
      </c>
      <c r="I195" s="8806" t="s">
        <v>463</v>
      </c>
      <c r="J195" s="8805" t="s">
        <v>464</v>
      </c>
      <c r="K195" s="8808" t="s">
        <v>63</v>
      </c>
      <c r="L195" s="8735"/>
      <c r="M195" s="8735" t="s">
        <v>95</v>
      </c>
      <c r="N195" s="8810" t="str">
        <f>IF(Z195="","",INDEX(TERRITORY_MR_LIST,MATCH(Z195,TERRITORY_LIST_ID,0)))</f>
        <v>Территория 8</v>
      </c>
      <c r="O195" s="8808" t="s">
        <v>53</v>
      </c>
      <c r="P195" s="8735"/>
      <c r="Q195" s="8735" t="s">
        <v>95</v>
      </c>
      <c r="R195" s="8812" t="s">
        <v>24</v>
      </c>
      <c r="S195" s="8804" t="s">
        <v>53</v>
      </c>
      <c r="T195" s="1722"/>
      <c r="U195" s="1722" t="s">
        <v>95</v>
      </c>
      <c r="V195" s="1354"/>
      <c r="W195" s="8805"/>
      <c r="Y195" s="1191"/>
      <c r="Z195" s="1191" t="s">
        <v>127</v>
      </c>
      <c r="AA195" s="1191"/>
      <c r="AB195" s="1191"/>
      <c r="AC195" s="1191" t="s">
        <v>310</v>
      </c>
      <c r="AD195" s="1191" t="s">
        <v>465</v>
      </c>
      <c r="AE195" s="1191" t="s">
        <v>466</v>
      </c>
      <c r="AF195" s="1191" t="s">
        <v>467</v>
      </c>
      <c r="AG195" s="1191" t="s">
        <v>468</v>
      </c>
      <c r="AH195" s="1191" t="str">
        <f>IF($E$79=0,"",$E$79)</f>
        <v>Тариф на подвоз воды</v>
      </c>
      <c r="AI195" s="1191" t="str">
        <f>IF($G$79=0,"",$G$79)</f>
        <v>Холодное водоснабжение. Подвозная вода</v>
      </c>
      <c r="AJ195" s="1191" t="str">
        <f>IF($J$195=0,"",$J$195)</f>
        <v>Подвоз воды потребителям села Падинского</v>
      </c>
      <c r="AK195" s="1191" t="str">
        <f>IF($K$195="нет","без дифференциации",IF($N$195=0,"",$N$195))</f>
        <v>Территория 8</v>
      </c>
      <c r="AL195" s="1762" t="str">
        <f>IF($O$195="нет","без дифференциации",IF($R$195=0,"",$R$195))</f>
        <v>без дифференциации</v>
      </c>
      <c r="AM195" s="1762"/>
      <c r="AN195" s="1191" t="str">
        <f>$I$195</f>
        <v>30</v>
      </c>
      <c r="AO195" s="1191" t="str">
        <f>$I$195&amp;"."&amp;$M$195</f>
        <v>30.1</v>
      </c>
      <c r="AP195" s="1191" t="str">
        <f>$I$195&amp;"."&amp;$M$195&amp;"."&amp;$Q$195</f>
        <v>30.1.1</v>
      </c>
      <c r="AQ195" s="1191"/>
    </row>
    <row r="196" spans="1:43" ht="17.25" customHeight="1">
      <c r="A196" s="1758"/>
      <c r="B196" s="1771"/>
      <c r="C196" s="1763"/>
      <c r="D196" s="8781"/>
      <c r="E196" s="8782"/>
      <c r="F196" s="8772"/>
      <c r="G196" s="8785"/>
      <c r="H196" s="8806"/>
      <c r="I196" s="8806"/>
      <c r="J196" s="8805"/>
      <c r="K196" s="8809"/>
      <c r="L196" s="8735"/>
      <c r="M196" s="8735"/>
      <c r="N196" s="8810"/>
      <c r="O196" s="8809"/>
      <c r="P196" s="8735"/>
      <c r="Q196" s="8735"/>
      <c r="R196" s="8812" t="s">
        <v>24</v>
      </c>
      <c r="S196" s="8804"/>
      <c r="T196" s="1355"/>
      <c r="U196" s="1356"/>
      <c r="V196" s="1356"/>
      <c r="W196" s="8805"/>
      <c r="Y196" s="1184"/>
      <c r="Z196" s="1184"/>
      <c r="AA196" s="1184"/>
      <c r="AB196" s="1184"/>
      <c r="AC196" s="1184"/>
      <c r="AD196" s="1184"/>
      <c r="AE196" s="1184"/>
      <c r="AF196" s="1184"/>
      <c r="AG196" s="1184"/>
      <c r="AH196" s="1184"/>
      <c r="AI196" s="1184"/>
      <c r="AJ196" s="1184"/>
      <c r="AK196" s="1184"/>
      <c r="AL196" s="1771"/>
      <c r="AM196" s="1771"/>
      <c r="AN196" s="1771"/>
      <c r="AO196" s="1771"/>
      <c r="AP196" s="1771"/>
      <c r="AQ196" s="1771"/>
    </row>
    <row r="197" spans="1:43" ht="17.25" customHeight="1">
      <c r="A197" s="1758"/>
      <c r="B197" s="1771"/>
      <c r="C197" s="1763"/>
      <c r="D197" s="8781"/>
      <c r="E197" s="8782"/>
      <c r="F197" s="8772"/>
      <c r="G197" s="8785"/>
      <c r="H197" s="8768"/>
      <c r="I197" s="8768"/>
      <c r="J197" s="8807"/>
      <c r="K197" s="8809"/>
      <c r="L197" s="8768"/>
      <c r="M197" s="8768"/>
      <c r="N197" s="8811"/>
      <c r="O197" s="8739"/>
      <c r="P197" s="236"/>
      <c r="Q197" s="237"/>
      <c r="R197" s="237" t="s">
        <v>314</v>
      </c>
      <c r="S197" s="1764"/>
      <c r="T197" s="1764"/>
      <c r="U197" s="1764"/>
      <c r="V197" s="1764"/>
      <c r="W197" s="1353"/>
      <c r="Y197" s="1184"/>
      <c r="Z197" s="1184"/>
      <c r="AA197" s="1184"/>
      <c r="AB197" s="1184"/>
      <c r="AC197" s="1184"/>
      <c r="AD197" s="1184"/>
      <c r="AE197" s="1184"/>
      <c r="AF197" s="1184"/>
      <c r="AG197" s="1184"/>
      <c r="AH197" s="1184"/>
      <c r="AI197" s="1184"/>
      <c r="AJ197" s="1184"/>
      <c r="AK197" s="1184"/>
      <c r="AL197" s="1771"/>
      <c r="AM197" s="1771"/>
      <c r="AN197" s="1771"/>
      <c r="AO197" s="1771"/>
      <c r="AP197" s="1771"/>
      <c r="AQ197" s="1771"/>
    </row>
    <row r="198" spans="1:43" ht="17.25" customHeight="1">
      <c r="A198" s="1758"/>
      <c r="B198" s="1771"/>
      <c r="C198" s="1763"/>
      <c r="D198" s="8781"/>
      <c r="E198" s="8782"/>
      <c r="F198" s="8772"/>
      <c r="G198" s="8785"/>
      <c r="H198" s="8768"/>
      <c r="I198" s="8768"/>
      <c r="J198" s="8807"/>
      <c r="K198" s="8739"/>
      <c r="L198" s="236"/>
      <c r="M198" s="237"/>
      <c r="N198" s="237" t="s">
        <v>315</v>
      </c>
      <c r="O198" s="237"/>
      <c r="P198" s="237"/>
      <c r="Q198" s="237"/>
      <c r="R198" s="237"/>
      <c r="S198" s="1764"/>
      <c r="T198" s="1764"/>
      <c r="U198" s="1764"/>
      <c r="V198" s="1764"/>
      <c r="W198" s="238"/>
      <c r="Y198" s="1184"/>
      <c r="Z198" s="1184"/>
      <c r="AA198" s="1184"/>
      <c r="AB198" s="1184"/>
      <c r="AC198" s="1184"/>
      <c r="AD198" s="1184"/>
      <c r="AE198" s="1184"/>
      <c r="AF198" s="1184"/>
      <c r="AG198" s="1184"/>
      <c r="AH198" s="1184"/>
      <c r="AI198" s="1184"/>
      <c r="AJ198" s="1184"/>
      <c r="AK198" s="1184"/>
      <c r="AL198" s="1771"/>
      <c r="AM198" s="1771"/>
      <c r="AN198" s="1771"/>
      <c r="AO198" s="1771"/>
      <c r="AP198" s="1771"/>
      <c r="AQ198" s="1771"/>
    </row>
    <row r="199" spans="1:43" ht="17.25" customHeight="1">
      <c r="A199" s="1758"/>
      <c r="B199" s="1771"/>
      <c r="C199" s="1760"/>
      <c r="D199" s="8781"/>
      <c r="E199" s="8782"/>
      <c r="F199" s="8772"/>
      <c r="G199" s="8785"/>
      <c r="H199" s="8806" t="s">
        <v>100</v>
      </c>
      <c r="I199" s="8806" t="s">
        <v>469</v>
      </c>
      <c r="J199" s="8805" t="s">
        <v>470</v>
      </c>
      <c r="K199" s="8808" t="s">
        <v>63</v>
      </c>
      <c r="L199" s="8735"/>
      <c r="M199" s="8735" t="s">
        <v>95</v>
      </c>
      <c r="N199" s="8810" t="str">
        <f>IF(Z199="","",INDEX(TERRITORY_MR_LIST,MATCH(Z199,TERRITORY_LIST_ID,0)))</f>
        <v>Территория 9</v>
      </c>
      <c r="O199" s="8808" t="s">
        <v>53</v>
      </c>
      <c r="P199" s="8735"/>
      <c r="Q199" s="8735" t="s">
        <v>95</v>
      </c>
      <c r="R199" s="8812" t="s">
        <v>24</v>
      </c>
      <c r="S199" s="8804" t="s">
        <v>53</v>
      </c>
      <c r="T199" s="1722"/>
      <c r="U199" s="1722" t="s">
        <v>95</v>
      </c>
      <c r="V199" s="1354"/>
      <c r="W199" s="8805"/>
      <c r="Y199" s="1191"/>
      <c r="Z199" s="1191" t="s">
        <v>132</v>
      </c>
      <c r="AA199" s="1191"/>
      <c r="AB199" s="1191"/>
      <c r="AC199" s="1191" t="s">
        <v>310</v>
      </c>
      <c r="AD199" s="1191" t="s">
        <v>471</v>
      </c>
      <c r="AE199" s="1191" t="s">
        <v>472</v>
      </c>
      <c r="AF199" s="1191" t="s">
        <v>473</v>
      </c>
      <c r="AG199" s="1191" t="s">
        <v>474</v>
      </c>
      <c r="AH199" s="1191" t="str">
        <f>IF($E$79=0,"",$E$79)</f>
        <v>Тариф на подвоз воды</v>
      </c>
      <c r="AI199" s="1191" t="str">
        <f>IF($G$79=0,"",$G$79)</f>
        <v>Холодное водоснабжение. Подвозная вода</v>
      </c>
      <c r="AJ199" s="1191" t="str">
        <f>IF($J$199=0,"",$J$199)</f>
        <v>Подвоз воды потребителям поселка Садовая Долина</v>
      </c>
      <c r="AK199" s="1191" t="str">
        <f>IF($K$199="нет","без дифференциации",IF($N$199=0,"",$N$199))</f>
        <v>Территория 9</v>
      </c>
      <c r="AL199" s="1762" t="str">
        <f>IF($O$199="нет","без дифференциации",IF($R$199=0,"",$R$199))</f>
        <v>без дифференциации</v>
      </c>
      <c r="AM199" s="1762"/>
      <c r="AN199" s="1191" t="str">
        <f>$I$199</f>
        <v>31</v>
      </c>
      <c r="AO199" s="1191" t="str">
        <f>$I$199&amp;"."&amp;$M$199</f>
        <v>31.1</v>
      </c>
      <c r="AP199" s="1191" t="str">
        <f>$I$199&amp;"."&amp;$M$199&amp;"."&amp;$Q$199</f>
        <v>31.1.1</v>
      </c>
      <c r="AQ199" s="1191"/>
    </row>
    <row r="200" spans="1:43" ht="17.25" customHeight="1">
      <c r="A200" s="1758"/>
      <c r="B200" s="1771"/>
      <c r="C200" s="1763"/>
      <c r="D200" s="8781"/>
      <c r="E200" s="8782"/>
      <c r="F200" s="8772"/>
      <c r="G200" s="8785"/>
      <c r="H200" s="8806"/>
      <c r="I200" s="8806"/>
      <c r="J200" s="8805"/>
      <c r="K200" s="8809"/>
      <c r="L200" s="8735"/>
      <c r="M200" s="8735"/>
      <c r="N200" s="8810"/>
      <c r="O200" s="8809"/>
      <c r="P200" s="8735"/>
      <c r="Q200" s="8735"/>
      <c r="R200" s="8812" t="s">
        <v>24</v>
      </c>
      <c r="S200" s="8804"/>
      <c r="T200" s="1355"/>
      <c r="U200" s="1356"/>
      <c r="V200" s="1356"/>
      <c r="W200" s="8805"/>
      <c r="Y200" s="1184"/>
      <c r="Z200" s="1184"/>
      <c r="AA200" s="1184"/>
      <c r="AB200" s="1184"/>
      <c r="AC200" s="1184"/>
      <c r="AD200" s="1184"/>
      <c r="AE200" s="1184"/>
      <c r="AF200" s="1184"/>
      <c r="AG200" s="1184"/>
      <c r="AH200" s="1184"/>
      <c r="AI200" s="1184"/>
      <c r="AJ200" s="1184"/>
      <c r="AK200" s="1184"/>
      <c r="AL200" s="1771"/>
      <c r="AM200" s="1771"/>
      <c r="AN200" s="1771"/>
      <c r="AO200" s="1771"/>
      <c r="AP200" s="1771"/>
      <c r="AQ200" s="1771"/>
    </row>
    <row r="201" spans="1:43" ht="17.25" customHeight="1">
      <c r="A201" s="1758"/>
      <c r="B201" s="1771"/>
      <c r="C201" s="1763"/>
      <c r="D201" s="8781"/>
      <c r="E201" s="8782"/>
      <c r="F201" s="8772"/>
      <c r="G201" s="8785"/>
      <c r="H201" s="8768"/>
      <c r="I201" s="8768"/>
      <c r="J201" s="8807"/>
      <c r="K201" s="8809"/>
      <c r="L201" s="8768"/>
      <c r="M201" s="8768"/>
      <c r="N201" s="8811"/>
      <c r="O201" s="8739"/>
      <c r="P201" s="236"/>
      <c r="Q201" s="237"/>
      <c r="R201" s="237" t="s">
        <v>314</v>
      </c>
      <c r="S201" s="1764"/>
      <c r="T201" s="1764"/>
      <c r="U201" s="1764"/>
      <c r="V201" s="1764"/>
      <c r="W201" s="1353"/>
      <c r="Y201" s="1184"/>
      <c r="Z201" s="1184"/>
      <c r="AA201" s="1184"/>
      <c r="AB201" s="1184"/>
      <c r="AC201" s="1184"/>
      <c r="AD201" s="1184"/>
      <c r="AE201" s="1184"/>
      <c r="AF201" s="1184"/>
      <c r="AG201" s="1184"/>
      <c r="AH201" s="1184"/>
      <c r="AI201" s="1184"/>
      <c r="AJ201" s="1184"/>
      <c r="AK201" s="1184"/>
      <c r="AL201" s="1771"/>
      <c r="AM201" s="1771"/>
      <c r="AN201" s="1771"/>
      <c r="AO201" s="1771"/>
      <c r="AP201" s="1771"/>
      <c r="AQ201" s="1771"/>
    </row>
    <row r="202" spans="1:43" ht="17.25" customHeight="1">
      <c r="A202" s="1758"/>
      <c r="B202" s="1771"/>
      <c r="C202" s="1763"/>
      <c r="D202" s="8781"/>
      <c r="E202" s="8782"/>
      <c r="F202" s="8772"/>
      <c r="G202" s="8785"/>
      <c r="H202" s="8768"/>
      <c r="I202" s="8768"/>
      <c r="J202" s="8807"/>
      <c r="K202" s="8739"/>
      <c r="L202" s="236"/>
      <c r="M202" s="237"/>
      <c r="N202" s="237" t="s">
        <v>315</v>
      </c>
      <c r="O202" s="237"/>
      <c r="P202" s="237"/>
      <c r="Q202" s="237"/>
      <c r="R202" s="237"/>
      <c r="S202" s="1764"/>
      <c r="T202" s="1764"/>
      <c r="U202" s="1764"/>
      <c r="V202" s="1764"/>
      <c r="W202" s="238"/>
      <c r="Y202" s="1184"/>
      <c r="Z202" s="1184"/>
      <c r="AA202" s="1184"/>
      <c r="AB202" s="1184"/>
      <c r="AC202" s="1184"/>
      <c r="AD202" s="1184"/>
      <c r="AE202" s="1184"/>
      <c r="AF202" s="1184"/>
      <c r="AG202" s="1184"/>
      <c r="AH202" s="1184"/>
      <c r="AI202" s="1184"/>
      <c r="AJ202" s="1184"/>
      <c r="AK202" s="1184"/>
      <c r="AL202" s="1771"/>
      <c r="AM202" s="1771"/>
      <c r="AN202" s="1771"/>
      <c r="AO202" s="1771"/>
      <c r="AP202" s="1771"/>
      <c r="AQ202" s="1771"/>
    </row>
    <row r="203" spans="1:43" ht="17.25" customHeight="1">
      <c r="A203" s="1758"/>
      <c r="B203" s="1771"/>
      <c r="C203" s="1760"/>
      <c r="D203" s="8781"/>
      <c r="E203" s="8782"/>
      <c r="F203" s="8772"/>
      <c r="G203" s="8785"/>
      <c r="H203" s="8806" t="s">
        <v>100</v>
      </c>
      <c r="I203" s="8806" t="s">
        <v>475</v>
      </c>
      <c r="J203" s="8805" t="s">
        <v>476</v>
      </c>
      <c r="K203" s="8808" t="s">
        <v>63</v>
      </c>
      <c r="L203" s="8735"/>
      <c r="M203" s="8735" t="s">
        <v>95</v>
      </c>
      <c r="N203" s="8810" t="str">
        <f>IF(Z203="","",INDEX(TERRITORY_MR_LIST,MATCH(Z203,TERRITORY_LIST_ID,0)))</f>
        <v>Территория 9</v>
      </c>
      <c r="O203" s="8808" t="s">
        <v>53</v>
      </c>
      <c r="P203" s="8735"/>
      <c r="Q203" s="8735" t="s">
        <v>95</v>
      </c>
      <c r="R203" s="8812" t="s">
        <v>24</v>
      </c>
      <c r="S203" s="8804" t="s">
        <v>53</v>
      </c>
      <c r="T203" s="1722"/>
      <c r="U203" s="1722" t="s">
        <v>95</v>
      </c>
      <c r="V203" s="1354"/>
      <c r="W203" s="8805"/>
      <c r="Y203" s="1191"/>
      <c r="Z203" s="1191" t="s">
        <v>132</v>
      </c>
      <c r="AA203" s="1191"/>
      <c r="AB203" s="1191"/>
      <c r="AC203" s="1191" t="s">
        <v>310</v>
      </c>
      <c r="AD203" s="1191" t="s">
        <v>477</v>
      </c>
      <c r="AE203" s="1191" t="s">
        <v>478</v>
      </c>
      <c r="AF203" s="1191" t="s">
        <v>479</v>
      </c>
      <c r="AG203" s="1191" t="s">
        <v>480</v>
      </c>
      <c r="AH203" s="1191" t="str">
        <f>IF($E$79=0,"",$E$79)</f>
        <v>Тариф на подвоз воды</v>
      </c>
      <c r="AI203" s="1191" t="str">
        <f>IF($G$79=0,"",$G$79)</f>
        <v>Холодное водоснабжение. Подвозная вода</v>
      </c>
      <c r="AJ203" s="1191" t="str">
        <f>IF($J$203=0,"",$J$203)</f>
        <v>Подвоз воды потребителям хутора Новоборгустанского</v>
      </c>
      <c r="AK203" s="1191" t="str">
        <f>IF($K$203="нет","без дифференциации",IF($N$203=0,"",$N$203))</f>
        <v>Территория 9</v>
      </c>
      <c r="AL203" s="1762" t="str">
        <f>IF($O$203="нет","без дифференциации",IF($R$203=0,"",$R$203))</f>
        <v>без дифференциации</v>
      </c>
      <c r="AM203" s="1762"/>
      <c r="AN203" s="1191" t="str">
        <f>$I$203</f>
        <v>32</v>
      </c>
      <c r="AO203" s="1191" t="str">
        <f>$I$203&amp;"."&amp;$M$203</f>
        <v>32.1</v>
      </c>
      <c r="AP203" s="1191" t="str">
        <f>$I$203&amp;"."&amp;$M$203&amp;"."&amp;$Q$203</f>
        <v>32.1.1</v>
      </c>
      <c r="AQ203" s="1191"/>
    </row>
    <row r="204" spans="1:43" ht="17.25" customHeight="1">
      <c r="A204" s="1758"/>
      <c r="B204" s="1771"/>
      <c r="C204" s="1763"/>
      <c r="D204" s="8781"/>
      <c r="E204" s="8782"/>
      <c r="F204" s="8772"/>
      <c r="G204" s="8785"/>
      <c r="H204" s="8806"/>
      <c r="I204" s="8806"/>
      <c r="J204" s="8805"/>
      <c r="K204" s="8809"/>
      <c r="L204" s="8735"/>
      <c r="M204" s="8735"/>
      <c r="N204" s="8810"/>
      <c r="O204" s="8809"/>
      <c r="P204" s="8735"/>
      <c r="Q204" s="8735"/>
      <c r="R204" s="8812" t="s">
        <v>24</v>
      </c>
      <c r="S204" s="8804"/>
      <c r="T204" s="1355"/>
      <c r="U204" s="1356"/>
      <c r="V204" s="1356"/>
      <c r="W204" s="8805"/>
      <c r="Y204" s="1184"/>
      <c r="Z204" s="1184"/>
      <c r="AA204" s="1184"/>
      <c r="AB204" s="1184"/>
      <c r="AC204" s="1184"/>
      <c r="AD204" s="1184"/>
      <c r="AE204" s="1184"/>
      <c r="AF204" s="1184"/>
      <c r="AG204" s="1184"/>
      <c r="AH204" s="1184"/>
      <c r="AI204" s="1184"/>
      <c r="AJ204" s="1184"/>
      <c r="AK204" s="1184"/>
      <c r="AL204" s="1771"/>
      <c r="AM204" s="1771"/>
      <c r="AN204" s="1771"/>
      <c r="AO204" s="1771"/>
      <c r="AP204" s="1771"/>
      <c r="AQ204" s="1771"/>
    </row>
    <row r="205" spans="1:43" ht="17.25" customHeight="1">
      <c r="A205" s="1758"/>
      <c r="B205" s="1771"/>
      <c r="C205" s="1763"/>
      <c r="D205" s="8781"/>
      <c r="E205" s="8782"/>
      <c r="F205" s="8772"/>
      <c r="G205" s="8785"/>
      <c r="H205" s="8768"/>
      <c r="I205" s="8768"/>
      <c r="J205" s="8807"/>
      <c r="K205" s="8809"/>
      <c r="L205" s="8768"/>
      <c r="M205" s="8768"/>
      <c r="N205" s="8811"/>
      <c r="O205" s="8739"/>
      <c r="P205" s="236"/>
      <c r="Q205" s="237"/>
      <c r="R205" s="237" t="s">
        <v>314</v>
      </c>
      <c r="S205" s="1764"/>
      <c r="T205" s="1764"/>
      <c r="U205" s="1764"/>
      <c r="V205" s="1764"/>
      <c r="W205" s="1353"/>
      <c r="Y205" s="1184"/>
      <c r="Z205" s="1184"/>
      <c r="AA205" s="1184"/>
      <c r="AB205" s="1184"/>
      <c r="AC205" s="1184"/>
      <c r="AD205" s="1184"/>
      <c r="AE205" s="1184"/>
      <c r="AF205" s="1184"/>
      <c r="AG205" s="1184"/>
      <c r="AH205" s="1184"/>
      <c r="AI205" s="1184"/>
      <c r="AJ205" s="1184"/>
      <c r="AK205" s="1184"/>
      <c r="AL205" s="1771"/>
      <c r="AM205" s="1771"/>
      <c r="AN205" s="1771"/>
      <c r="AO205" s="1771"/>
      <c r="AP205" s="1771"/>
      <c r="AQ205" s="1771"/>
    </row>
    <row r="206" spans="1:43" ht="17.25" customHeight="1">
      <c r="A206" s="1758"/>
      <c r="B206" s="1771"/>
      <c r="C206" s="1763"/>
      <c r="D206" s="8781"/>
      <c r="E206" s="8782"/>
      <c r="F206" s="8772"/>
      <c r="G206" s="8785"/>
      <c r="H206" s="8768"/>
      <c r="I206" s="8768"/>
      <c r="J206" s="8807"/>
      <c r="K206" s="8739"/>
      <c r="L206" s="236"/>
      <c r="M206" s="237"/>
      <c r="N206" s="237" t="s">
        <v>315</v>
      </c>
      <c r="O206" s="237"/>
      <c r="P206" s="237"/>
      <c r="Q206" s="237"/>
      <c r="R206" s="237"/>
      <c r="S206" s="1764"/>
      <c r="T206" s="1764"/>
      <c r="U206" s="1764"/>
      <c r="V206" s="1764"/>
      <c r="W206" s="238"/>
      <c r="Y206" s="1184"/>
      <c r="Z206" s="1184"/>
      <c r="AA206" s="1184"/>
      <c r="AB206" s="1184"/>
      <c r="AC206" s="1184"/>
      <c r="AD206" s="1184"/>
      <c r="AE206" s="1184"/>
      <c r="AF206" s="1184"/>
      <c r="AG206" s="1184"/>
      <c r="AH206" s="1184"/>
      <c r="AI206" s="1184"/>
      <c r="AJ206" s="1184"/>
      <c r="AK206" s="1184"/>
      <c r="AL206" s="1771"/>
      <c r="AM206" s="1771"/>
      <c r="AN206" s="1771"/>
      <c r="AO206" s="1771"/>
      <c r="AP206" s="1771"/>
      <c r="AQ206" s="1771"/>
    </row>
    <row r="207" spans="1:43" ht="17.25" customHeight="1">
      <c r="A207" s="1758"/>
      <c r="B207" s="1771"/>
      <c r="C207" s="1760"/>
      <c r="D207" s="8781"/>
      <c r="E207" s="8782"/>
      <c r="F207" s="8772"/>
      <c r="G207" s="8785"/>
      <c r="H207" s="8806" t="s">
        <v>100</v>
      </c>
      <c r="I207" s="8806" t="s">
        <v>481</v>
      </c>
      <c r="J207" s="8805" t="s">
        <v>482</v>
      </c>
      <c r="K207" s="8808" t="s">
        <v>63</v>
      </c>
      <c r="L207" s="8735"/>
      <c r="M207" s="8735" t="s">
        <v>95</v>
      </c>
      <c r="N207" s="8810" t="str">
        <f>IF(Z207="","",INDEX(TERRITORY_MR_LIST,MATCH(Z207,TERRITORY_LIST_ID,0)))</f>
        <v>Территория 9</v>
      </c>
      <c r="O207" s="8808" t="s">
        <v>53</v>
      </c>
      <c r="P207" s="8735"/>
      <c r="Q207" s="8735" t="s">
        <v>95</v>
      </c>
      <c r="R207" s="8812" t="s">
        <v>24</v>
      </c>
      <c r="S207" s="8804" t="s">
        <v>53</v>
      </c>
      <c r="T207" s="1722"/>
      <c r="U207" s="1722" t="s">
        <v>95</v>
      </c>
      <c r="V207" s="1354"/>
      <c r="W207" s="8805"/>
      <c r="Y207" s="1191"/>
      <c r="Z207" s="1191" t="s">
        <v>132</v>
      </c>
      <c r="AA207" s="1191"/>
      <c r="AB207" s="1191"/>
      <c r="AC207" s="1191" t="s">
        <v>310</v>
      </c>
      <c r="AD207" s="1191" t="s">
        <v>483</v>
      </c>
      <c r="AE207" s="1191" t="s">
        <v>484</v>
      </c>
      <c r="AF207" s="1191" t="s">
        <v>485</v>
      </c>
      <c r="AG207" s="1191" t="s">
        <v>486</v>
      </c>
      <c r="AH207" s="1191" t="str">
        <f>IF($E$79=0,"",$E$79)</f>
        <v>Тариф на подвоз воды</v>
      </c>
      <c r="AI207" s="1191" t="str">
        <f>IF($G$79=0,"",$G$79)</f>
        <v>Холодное водоснабжение. Подвозная вода</v>
      </c>
      <c r="AJ207" s="1191" t="str">
        <f>IF($J$207=0,"",$J$207)</f>
        <v>Подвоз воды потребителям поселка Боргустанские Горы</v>
      </c>
      <c r="AK207" s="1191" t="str">
        <f>IF($K$207="нет","без дифференциации",IF($N$207=0,"",$N$207))</f>
        <v>Территория 9</v>
      </c>
      <c r="AL207" s="1762" t="str">
        <f>IF($O$207="нет","без дифференциации",IF($R$207=0,"",$R$207))</f>
        <v>без дифференциации</v>
      </c>
      <c r="AM207" s="1762"/>
      <c r="AN207" s="1191" t="str">
        <f>$I$207</f>
        <v>33</v>
      </c>
      <c r="AO207" s="1191" t="str">
        <f>$I$207&amp;"."&amp;$M$207</f>
        <v>33.1</v>
      </c>
      <c r="AP207" s="1191" t="str">
        <f>$I$207&amp;"."&amp;$M$207&amp;"."&amp;$Q$207</f>
        <v>33.1.1</v>
      </c>
      <c r="AQ207" s="1191"/>
    </row>
    <row r="208" spans="1:43" ht="17.25" customHeight="1">
      <c r="A208" s="1758"/>
      <c r="B208" s="1771"/>
      <c r="C208" s="1763"/>
      <c r="D208" s="8781"/>
      <c r="E208" s="8782"/>
      <c r="F208" s="8772"/>
      <c r="G208" s="8785"/>
      <c r="H208" s="8806"/>
      <c r="I208" s="8806"/>
      <c r="J208" s="8805"/>
      <c r="K208" s="8809"/>
      <c r="L208" s="8735"/>
      <c r="M208" s="8735"/>
      <c r="N208" s="8810"/>
      <c r="O208" s="8809"/>
      <c r="P208" s="8735"/>
      <c r="Q208" s="8735"/>
      <c r="R208" s="8812" t="s">
        <v>24</v>
      </c>
      <c r="S208" s="8804"/>
      <c r="T208" s="1355"/>
      <c r="U208" s="1356"/>
      <c r="V208" s="1356"/>
      <c r="W208" s="8805"/>
      <c r="Y208" s="1184"/>
      <c r="Z208" s="1184"/>
      <c r="AA208" s="1184"/>
      <c r="AB208" s="1184"/>
      <c r="AC208" s="1184"/>
      <c r="AD208" s="1184"/>
      <c r="AE208" s="1184"/>
      <c r="AF208" s="1184"/>
      <c r="AG208" s="1184"/>
      <c r="AH208" s="1184"/>
      <c r="AI208" s="1184"/>
      <c r="AJ208" s="1184"/>
      <c r="AK208" s="1184"/>
      <c r="AL208" s="1771"/>
      <c r="AM208" s="1771"/>
      <c r="AN208" s="1771"/>
      <c r="AO208" s="1771"/>
      <c r="AP208" s="1771"/>
      <c r="AQ208" s="1771"/>
    </row>
    <row r="209" spans="1:43" ht="17.25" customHeight="1">
      <c r="A209" s="1758"/>
      <c r="B209" s="1771"/>
      <c r="C209" s="1763"/>
      <c r="D209" s="8781"/>
      <c r="E209" s="8782"/>
      <c r="F209" s="8772"/>
      <c r="G209" s="8785"/>
      <c r="H209" s="8768"/>
      <c r="I209" s="8768"/>
      <c r="J209" s="8807"/>
      <c r="K209" s="8809"/>
      <c r="L209" s="8768"/>
      <c r="M209" s="8768"/>
      <c r="N209" s="8811"/>
      <c r="O209" s="8739"/>
      <c r="P209" s="236"/>
      <c r="Q209" s="237"/>
      <c r="R209" s="237" t="s">
        <v>314</v>
      </c>
      <c r="S209" s="1764"/>
      <c r="T209" s="1764"/>
      <c r="U209" s="1764"/>
      <c r="V209" s="1764"/>
      <c r="W209" s="1353"/>
      <c r="Y209" s="1184"/>
      <c r="Z209" s="1184"/>
      <c r="AA209" s="1184"/>
      <c r="AB209" s="1184"/>
      <c r="AC209" s="1184"/>
      <c r="AD209" s="1184"/>
      <c r="AE209" s="1184"/>
      <c r="AF209" s="1184"/>
      <c r="AG209" s="1184"/>
      <c r="AH209" s="1184"/>
      <c r="AI209" s="1184"/>
      <c r="AJ209" s="1184"/>
      <c r="AK209" s="1184"/>
      <c r="AL209" s="1771"/>
      <c r="AM209" s="1771"/>
      <c r="AN209" s="1771"/>
      <c r="AO209" s="1771"/>
      <c r="AP209" s="1771"/>
      <c r="AQ209" s="1771"/>
    </row>
    <row r="210" spans="1:43" ht="17.25" customHeight="1">
      <c r="A210" s="1758"/>
      <c r="B210" s="1771"/>
      <c r="C210" s="1763"/>
      <c r="D210" s="8781"/>
      <c r="E210" s="8782"/>
      <c r="F210" s="8772"/>
      <c r="G210" s="8785"/>
      <c r="H210" s="8768"/>
      <c r="I210" s="8768"/>
      <c r="J210" s="8807"/>
      <c r="K210" s="8739"/>
      <c r="L210" s="236"/>
      <c r="M210" s="237"/>
      <c r="N210" s="237" t="s">
        <v>315</v>
      </c>
      <c r="O210" s="237"/>
      <c r="P210" s="237"/>
      <c r="Q210" s="237"/>
      <c r="R210" s="237"/>
      <c r="S210" s="1764"/>
      <c r="T210" s="1764"/>
      <c r="U210" s="1764"/>
      <c r="V210" s="1764"/>
      <c r="W210" s="238"/>
      <c r="Y210" s="1184"/>
      <c r="Z210" s="1184"/>
      <c r="AA210" s="1184"/>
      <c r="AB210" s="1184"/>
      <c r="AC210" s="1184"/>
      <c r="AD210" s="1184"/>
      <c r="AE210" s="1184"/>
      <c r="AF210" s="1184"/>
      <c r="AG210" s="1184"/>
      <c r="AH210" s="1184"/>
      <c r="AI210" s="1184"/>
      <c r="AJ210" s="1184"/>
      <c r="AK210" s="1184"/>
      <c r="AL210" s="1771"/>
      <c r="AM210" s="1771"/>
      <c r="AN210" s="1771"/>
      <c r="AO210" s="1771"/>
      <c r="AP210" s="1771"/>
      <c r="AQ210" s="1771"/>
    </row>
    <row r="211" spans="1:43" ht="17.25" customHeight="1">
      <c r="A211" s="1758"/>
      <c r="B211" s="1771"/>
      <c r="C211" s="1760"/>
      <c r="D211" s="8781"/>
      <c r="E211" s="8782"/>
      <c r="F211" s="8772"/>
      <c r="G211" s="8785"/>
      <c r="H211" s="8806" t="s">
        <v>100</v>
      </c>
      <c r="I211" s="8806" t="s">
        <v>487</v>
      </c>
      <c r="J211" s="8805" t="s">
        <v>488</v>
      </c>
      <c r="K211" s="8808" t="s">
        <v>63</v>
      </c>
      <c r="L211" s="8735"/>
      <c r="M211" s="8735" t="s">
        <v>95</v>
      </c>
      <c r="N211" s="8810" t="str">
        <f>IF(Z211="","",INDEX(TERRITORY_MR_LIST,MATCH(Z211,TERRITORY_LIST_ID,0)))</f>
        <v>Территория 10</v>
      </c>
      <c r="O211" s="8808" t="s">
        <v>53</v>
      </c>
      <c r="P211" s="8735"/>
      <c r="Q211" s="8735" t="s">
        <v>95</v>
      </c>
      <c r="R211" s="8812" t="s">
        <v>24</v>
      </c>
      <c r="S211" s="8804" t="s">
        <v>53</v>
      </c>
      <c r="T211" s="1722"/>
      <c r="U211" s="1722" t="s">
        <v>95</v>
      </c>
      <c r="V211" s="1354"/>
      <c r="W211" s="8805"/>
      <c r="Y211" s="1191"/>
      <c r="Z211" s="1191" t="s">
        <v>137</v>
      </c>
      <c r="AA211" s="1191"/>
      <c r="AB211" s="1191"/>
      <c r="AC211" s="1191" t="s">
        <v>310</v>
      </c>
      <c r="AD211" s="1191" t="s">
        <v>489</v>
      </c>
      <c r="AE211" s="1191" t="s">
        <v>490</v>
      </c>
      <c r="AF211" s="1191" t="s">
        <v>491</v>
      </c>
      <c r="AG211" s="1191" t="s">
        <v>492</v>
      </c>
      <c r="AH211" s="1191" t="str">
        <f>IF($E$79=0,"",$E$79)</f>
        <v>Тариф на подвоз воды</v>
      </c>
      <c r="AI211" s="1191" t="str">
        <f>IF($G$79=0,"",$G$79)</f>
        <v>Холодное водоснабжение. Подвозная вода</v>
      </c>
      <c r="AJ211" s="1191" t="str">
        <f>IF($J$211=0,"",$J$211)</f>
        <v>Подвоз воды потребителям хутора Коммаяка</v>
      </c>
      <c r="AK211" s="1191" t="str">
        <f>IF($K$211="нет","без дифференциации",IF($N$211=0,"",$N$211))</f>
        <v>Территория 10</v>
      </c>
      <c r="AL211" s="1762" t="str">
        <f>IF($O$211="нет","без дифференциации",IF($R$211=0,"",$R$211))</f>
        <v>без дифференциации</v>
      </c>
      <c r="AM211" s="1762"/>
      <c r="AN211" s="1191" t="str">
        <f>$I$211</f>
        <v>34</v>
      </c>
      <c r="AO211" s="1191" t="str">
        <f>$I$211&amp;"."&amp;$M$211</f>
        <v>34.1</v>
      </c>
      <c r="AP211" s="1191" t="str">
        <f>$I$211&amp;"."&amp;$M$211&amp;"."&amp;$Q$211</f>
        <v>34.1.1</v>
      </c>
      <c r="AQ211" s="1191"/>
    </row>
    <row r="212" spans="1:43" ht="17.25" customHeight="1">
      <c r="A212" s="1758"/>
      <c r="B212" s="1771"/>
      <c r="C212" s="1763"/>
      <c r="D212" s="8781"/>
      <c r="E212" s="8782"/>
      <c r="F212" s="8772"/>
      <c r="G212" s="8785"/>
      <c r="H212" s="8806"/>
      <c r="I212" s="8806"/>
      <c r="J212" s="8805"/>
      <c r="K212" s="8809"/>
      <c r="L212" s="8735"/>
      <c r="M212" s="8735"/>
      <c r="N212" s="8810"/>
      <c r="O212" s="8809"/>
      <c r="P212" s="8735"/>
      <c r="Q212" s="8735"/>
      <c r="R212" s="8812" t="s">
        <v>24</v>
      </c>
      <c r="S212" s="8804"/>
      <c r="T212" s="1355"/>
      <c r="U212" s="1356"/>
      <c r="V212" s="1356"/>
      <c r="W212" s="8805"/>
      <c r="Y212" s="1184"/>
      <c r="Z212" s="1184"/>
      <c r="AA212" s="1184"/>
      <c r="AB212" s="1184"/>
      <c r="AC212" s="1184"/>
      <c r="AD212" s="1184"/>
      <c r="AE212" s="1184"/>
      <c r="AF212" s="1184"/>
      <c r="AG212" s="1184"/>
      <c r="AH212" s="1184"/>
      <c r="AI212" s="1184"/>
      <c r="AJ212" s="1184"/>
      <c r="AK212" s="1184"/>
      <c r="AL212" s="1771"/>
      <c r="AM212" s="1771"/>
      <c r="AN212" s="1771"/>
      <c r="AO212" s="1771"/>
      <c r="AP212" s="1771"/>
      <c r="AQ212" s="1771"/>
    </row>
    <row r="213" spans="1:43" ht="17.25" customHeight="1">
      <c r="A213" s="1758"/>
      <c r="B213" s="1771"/>
      <c r="C213" s="1763"/>
      <c r="D213" s="8781"/>
      <c r="E213" s="8782"/>
      <c r="F213" s="8772"/>
      <c r="G213" s="8785"/>
      <c r="H213" s="8768"/>
      <c r="I213" s="8768"/>
      <c r="J213" s="8807"/>
      <c r="K213" s="8809"/>
      <c r="L213" s="8768"/>
      <c r="M213" s="8768"/>
      <c r="N213" s="8811"/>
      <c r="O213" s="8739"/>
      <c r="P213" s="236"/>
      <c r="Q213" s="237"/>
      <c r="R213" s="237" t="s">
        <v>314</v>
      </c>
      <c r="S213" s="1764"/>
      <c r="T213" s="1764"/>
      <c r="U213" s="1764"/>
      <c r="V213" s="1764"/>
      <c r="W213" s="1353"/>
      <c r="Y213" s="1184"/>
      <c r="Z213" s="1184"/>
      <c r="AA213" s="1184"/>
      <c r="AB213" s="1184"/>
      <c r="AC213" s="1184"/>
      <c r="AD213" s="1184"/>
      <c r="AE213" s="1184"/>
      <c r="AF213" s="1184"/>
      <c r="AG213" s="1184"/>
      <c r="AH213" s="1184"/>
      <c r="AI213" s="1184"/>
      <c r="AJ213" s="1184"/>
      <c r="AK213" s="1184"/>
      <c r="AL213" s="1771"/>
      <c r="AM213" s="1771"/>
      <c r="AN213" s="1771"/>
      <c r="AO213" s="1771"/>
      <c r="AP213" s="1771"/>
      <c r="AQ213" s="1771"/>
    </row>
    <row r="214" spans="1:43" ht="17.25" customHeight="1">
      <c r="A214" s="1758"/>
      <c r="B214" s="1771"/>
      <c r="C214" s="1763"/>
      <c r="D214" s="8781"/>
      <c r="E214" s="8782"/>
      <c r="F214" s="8772"/>
      <c r="G214" s="8785"/>
      <c r="H214" s="8768"/>
      <c r="I214" s="8768"/>
      <c r="J214" s="8807"/>
      <c r="K214" s="8739"/>
      <c r="L214" s="236"/>
      <c r="M214" s="237"/>
      <c r="N214" s="237" t="s">
        <v>315</v>
      </c>
      <c r="O214" s="237"/>
      <c r="P214" s="237"/>
      <c r="Q214" s="237"/>
      <c r="R214" s="237"/>
      <c r="S214" s="1764"/>
      <c r="T214" s="1764"/>
      <c r="U214" s="1764"/>
      <c r="V214" s="1764"/>
      <c r="W214" s="238"/>
      <c r="Y214" s="1184"/>
      <c r="Z214" s="1184"/>
      <c r="AA214" s="1184"/>
      <c r="AB214" s="1184"/>
      <c r="AC214" s="1184"/>
      <c r="AD214" s="1184"/>
      <c r="AE214" s="1184"/>
      <c r="AF214" s="1184"/>
      <c r="AG214" s="1184"/>
      <c r="AH214" s="1184"/>
      <c r="AI214" s="1184"/>
      <c r="AJ214" s="1184"/>
      <c r="AK214" s="1184"/>
      <c r="AL214" s="1771"/>
      <c r="AM214" s="1771"/>
      <c r="AN214" s="1771"/>
      <c r="AO214" s="1771"/>
      <c r="AP214" s="1771"/>
      <c r="AQ214" s="1771"/>
    </row>
    <row r="215" spans="1:43" ht="17.25" customHeight="1">
      <c r="A215" s="1758"/>
      <c r="B215" s="1771"/>
      <c r="C215" s="1760"/>
      <c r="D215" s="8781"/>
      <c r="E215" s="8782"/>
      <c r="F215" s="8772"/>
      <c r="G215" s="8785"/>
      <c r="H215" s="8806" t="s">
        <v>100</v>
      </c>
      <c r="I215" s="8806" t="s">
        <v>493</v>
      </c>
      <c r="J215" s="8805" t="s">
        <v>494</v>
      </c>
      <c r="K215" s="8808" t="s">
        <v>63</v>
      </c>
      <c r="L215" s="8735"/>
      <c r="M215" s="8735" t="s">
        <v>95</v>
      </c>
      <c r="N215" s="8810" t="str">
        <f>IF(Z215="","",INDEX(TERRITORY_MR_LIST,MATCH(Z215,TERRITORY_LIST_ID,0)))</f>
        <v>Территория 10</v>
      </c>
      <c r="O215" s="8808" t="s">
        <v>53</v>
      </c>
      <c r="P215" s="8735"/>
      <c r="Q215" s="8735" t="s">
        <v>95</v>
      </c>
      <c r="R215" s="8812" t="s">
        <v>24</v>
      </c>
      <c r="S215" s="8804" t="s">
        <v>53</v>
      </c>
      <c r="T215" s="1722"/>
      <c r="U215" s="1722" t="s">
        <v>95</v>
      </c>
      <c r="V215" s="1354"/>
      <c r="W215" s="8805"/>
      <c r="Y215" s="1191"/>
      <c r="Z215" s="1191" t="s">
        <v>137</v>
      </c>
      <c r="AA215" s="1191"/>
      <c r="AB215" s="1191"/>
      <c r="AC215" s="1191" t="s">
        <v>310</v>
      </c>
      <c r="AD215" s="1191" t="s">
        <v>495</v>
      </c>
      <c r="AE215" s="1191" t="s">
        <v>496</v>
      </c>
      <c r="AF215" s="1191" t="s">
        <v>497</v>
      </c>
      <c r="AG215" s="1191" t="s">
        <v>498</v>
      </c>
      <c r="AH215" s="1191" t="str">
        <f>IF($E$79=0,"",$E$79)</f>
        <v>Тариф на подвоз воды</v>
      </c>
      <c r="AI215" s="1191" t="str">
        <f>IF($G$79=0,"",$G$79)</f>
        <v>Холодное водоснабжение. Подвозная вода</v>
      </c>
      <c r="AJ215" s="1191" t="str">
        <f>IF($J$215=0,"",$J$215)</f>
        <v>Подвоз воды потребителям хутора Садового</v>
      </c>
      <c r="AK215" s="1191" t="str">
        <f>IF($K$215="нет","без дифференциации",IF($N$215=0,"",$N$215))</f>
        <v>Территория 10</v>
      </c>
      <c r="AL215" s="1762" t="str">
        <f>IF($O$215="нет","без дифференциации",IF($R$215=0,"",$R$215))</f>
        <v>без дифференциации</v>
      </c>
      <c r="AM215" s="1762"/>
      <c r="AN215" s="1191" t="str">
        <f>$I$215</f>
        <v>35</v>
      </c>
      <c r="AO215" s="1191" t="str">
        <f>$I$215&amp;"."&amp;$M$215</f>
        <v>35.1</v>
      </c>
      <c r="AP215" s="1191" t="str">
        <f>$I$215&amp;"."&amp;$M$215&amp;"."&amp;$Q$215</f>
        <v>35.1.1</v>
      </c>
      <c r="AQ215" s="1191"/>
    </row>
    <row r="216" spans="1:43" ht="17.25" customHeight="1">
      <c r="A216" s="1758"/>
      <c r="B216" s="1771"/>
      <c r="C216" s="1763"/>
      <c r="D216" s="8781"/>
      <c r="E216" s="8782"/>
      <c r="F216" s="8772"/>
      <c r="G216" s="8785"/>
      <c r="H216" s="8806"/>
      <c r="I216" s="8806"/>
      <c r="J216" s="8805"/>
      <c r="K216" s="8809"/>
      <c r="L216" s="8735"/>
      <c r="M216" s="8735"/>
      <c r="N216" s="8810"/>
      <c r="O216" s="8809"/>
      <c r="P216" s="8735"/>
      <c r="Q216" s="8735"/>
      <c r="R216" s="8812" t="s">
        <v>24</v>
      </c>
      <c r="S216" s="8804"/>
      <c r="T216" s="1355"/>
      <c r="U216" s="1356"/>
      <c r="V216" s="1356"/>
      <c r="W216" s="8805"/>
      <c r="Y216" s="1184"/>
      <c r="Z216" s="1184"/>
      <c r="AA216" s="1184"/>
      <c r="AB216" s="1184"/>
      <c r="AC216" s="1184"/>
      <c r="AD216" s="1184"/>
      <c r="AE216" s="1184"/>
      <c r="AF216" s="1184"/>
      <c r="AG216" s="1184"/>
      <c r="AH216" s="1184"/>
      <c r="AI216" s="1184"/>
      <c r="AJ216" s="1184"/>
      <c r="AK216" s="1184"/>
      <c r="AL216" s="1771"/>
      <c r="AM216" s="1771"/>
      <c r="AN216" s="1771"/>
      <c r="AO216" s="1771"/>
      <c r="AP216" s="1771"/>
      <c r="AQ216" s="1771"/>
    </row>
    <row r="217" spans="1:43" ht="17.25" customHeight="1">
      <c r="A217" s="1758"/>
      <c r="B217" s="1771"/>
      <c r="C217" s="1763"/>
      <c r="D217" s="8781"/>
      <c r="E217" s="8782"/>
      <c r="F217" s="8772"/>
      <c r="G217" s="8785"/>
      <c r="H217" s="8768"/>
      <c r="I217" s="8768"/>
      <c r="J217" s="8807"/>
      <c r="K217" s="8809"/>
      <c r="L217" s="8768"/>
      <c r="M217" s="8768"/>
      <c r="N217" s="8811"/>
      <c r="O217" s="8739"/>
      <c r="P217" s="236"/>
      <c r="Q217" s="237"/>
      <c r="R217" s="237" t="s">
        <v>314</v>
      </c>
      <c r="S217" s="1764"/>
      <c r="T217" s="1764"/>
      <c r="U217" s="1764"/>
      <c r="V217" s="1764"/>
      <c r="W217" s="1353"/>
      <c r="Y217" s="1184"/>
      <c r="Z217" s="1184"/>
      <c r="AA217" s="1184"/>
      <c r="AB217" s="1184"/>
      <c r="AC217" s="1184"/>
      <c r="AD217" s="1184"/>
      <c r="AE217" s="1184"/>
      <c r="AF217" s="1184"/>
      <c r="AG217" s="1184"/>
      <c r="AH217" s="1184"/>
      <c r="AI217" s="1184"/>
      <c r="AJ217" s="1184"/>
      <c r="AK217" s="1184"/>
      <c r="AL217" s="1771"/>
      <c r="AM217" s="1771"/>
      <c r="AN217" s="1771"/>
      <c r="AO217" s="1771"/>
      <c r="AP217" s="1771"/>
      <c r="AQ217" s="1771"/>
    </row>
    <row r="218" spans="1:43" ht="17.25" customHeight="1">
      <c r="A218" s="1758"/>
      <c r="B218" s="1771"/>
      <c r="C218" s="1763"/>
      <c r="D218" s="8781"/>
      <c r="E218" s="8782"/>
      <c r="F218" s="8772"/>
      <c r="G218" s="8785"/>
      <c r="H218" s="8768"/>
      <c r="I218" s="8768"/>
      <c r="J218" s="8807"/>
      <c r="K218" s="8739"/>
      <c r="L218" s="236"/>
      <c r="M218" s="237"/>
      <c r="N218" s="237" t="s">
        <v>315</v>
      </c>
      <c r="O218" s="237"/>
      <c r="P218" s="237"/>
      <c r="Q218" s="237"/>
      <c r="R218" s="237"/>
      <c r="S218" s="1764"/>
      <c r="T218" s="1764"/>
      <c r="U218" s="1764"/>
      <c r="V218" s="1764"/>
      <c r="W218" s="238"/>
      <c r="Y218" s="1184"/>
      <c r="Z218" s="1184"/>
      <c r="AA218" s="1184"/>
      <c r="AB218" s="1184"/>
      <c r="AC218" s="1184"/>
      <c r="AD218" s="1184"/>
      <c r="AE218" s="1184"/>
      <c r="AF218" s="1184"/>
      <c r="AG218" s="1184"/>
      <c r="AH218" s="1184"/>
      <c r="AI218" s="1184"/>
      <c r="AJ218" s="1184"/>
      <c r="AK218" s="1184"/>
      <c r="AL218" s="1771"/>
      <c r="AM218" s="1771"/>
      <c r="AN218" s="1771"/>
      <c r="AO218" s="1771"/>
      <c r="AP218" s="1771"/>
      <c r="AQ218" s="1771"/>
    </row>
    <row r="219" spans="1:43" ht="17.25" customHeight="1">
      <c r="A219" s="1758"/>
      <c r="B219" s="1771"/>
      <c r="C219" s="1760"/>
      <c r="D219" s="8781"/>
      <c r="E219" s="8782"/>
      <c r="F219" s="8772"/>
      <c r="G219" s="8785"/>
      <c r="H219" s="8806" t="s">
        <v>100</v>
      </c>
      <c r="I219" s="8806" t="s">
        <v>499</v>
      </c>
      <c r="J219" s="8805" t="s">
        <v>500</v>
      </c>
      <c r="K219" s="8808" t="s">
        <v>63</v>
      </c>
      <c r="L219" s="8735"/>
      <c r="M219" s="8735" t="s">
        <v>95</v>
      </c>
      <c r="N219" s="8810" t="str">
        <f>IF(Z219="","",INDEX(TERRITORY_MR_LIST,MATCH(Z219,TERRITORY_LIST_ID,0)))</f>
        <v>Территория 11</v>
      </c>
      <c r="O219" s="8808" t="s">
        <v>53</v>
      </c>
      <c r="P219" s="8735"/>
      <c r="Q219" s="8735" t="s">
        <v>95</v>
      </c>
      <c r="R219" s="8812" t="s">
        <v>24</v>
      </c>
      <c r="S219" s="8804" t="s">
        <v>53</v>
      </c>
      <c r="T219" s="1722"/>
      <c r="U219" s="1722" t="s">
        <v>95</v>
      </c>
      <c r="V219" s="1354"/>
      <c r="W219" s="8805"/>
      <c r="Y219" s="1191"/>
      <c r="Z219" s="1191" t="s">
        <v>141</v>
      </c>
      <c r="AA219" s="1191"/>
      <c r="AB219" s="1191"/>
      <c r="AC219" s="1191" t="s">
        <v>310</v>
      </c>
      <c r="AD219" s="1191" t="s">
        <v>501</v>
      </c>
      <c r="AE219" s="1191" t="s">
        <v>502</v>
      </c>
      <c r="AF219" s="1191" t="s">
        <v>503</v>
      </c>
      <c r="AG219" s="1191" t="s">
        <v>504</v>
      </c>
      <c r="AH219" s="1191" t="str">
        <f>IF($E$79=0,"",$E$79)</f>
        <v>Тариф на подвоз воды</v>
      </c>
      <c r="AI219" s="1191" t="str">
        <f>IF($G$79=0,"",$G$79)</f>
        <v>Холодное водоснабжение. Подвозная вода</v>
      </c>
      <c r="AJ219" s="1191" t="str">
        <f>IF($J$219=0,"",$J$219)</f>
        <v>Подвоз воды потребителям хутора Кофанова</v>
      </c>
      <c r="AK219" s="1191" t="str">
        <f>IF($K$219="нет","без дифференциации",IF($N$219=0,"",$N$219))</f>
        <v>Территория 11</v>
      </c>
      <c r="AL219" s="1762" t="str">
        <f>IF($O$219="нет","без дифференциации",IF($R$219=0,"",$R$219))</f>
        <v>без дифференциации</v>
      </c>
      <c r="AM219" s="1762"/>
      <c r="AN219" s="1191" t="str">
        <f>$I$219</f>
        <v>36</v>
      </c>
      <c r="AO219" s="1191" t="str">
        <f>$I$219&amp;"."&amp;$M$219</f>
        <v>36.1</v>
      </c>
      <c r="AP219" s="1191" t="str">
        <f>$I$219&amp;"."&amp;$M$219&amp;"."&amp;$Q$219</f>
        <v>36.1.1</v>
      </c>
      <c r="AQ219" s="1191"/>
    </row>
    <row r="220" spans="1:43" ht="17.25" customHeight="1">
      <c r="A220" s="1758"/>
      <c r="B220" s="1771"/>
      <c r="C220" s="1763"/>
      <c r="D220" s="8781"/>
      <c r="E220" s="8782"/>
      <c r="F220" s="8772"/>
      <c r="G220" s="8785"/>
      <c r="H220" s="8806"/>
      <c r="I220" s="8806"/>
      <c r="J220" s="8805"/>
      <c r="K220" s="8809"/>
      <c r="L220" s="8735"/>
      <c r="M220" s="8735"/>
      <c r="N220" s="8810"/>
      <c r="O220" s="8809"/>
      <c r="P220" s="8735"/>
      <c r="Q220" s="8735"/>
      <c r="R220" s="8812" t="s">
        <v>24</v>
      </c>
      <c r="S220" s="8804"/>
      <c r="T220" s="1355"/>
      <c r="U220" s="1356"/>
      <c r="V220" s="1356"/>
      <c r="W220" s="8805"/>
      <c r="Y220" s="1184"/>
      <c r="Z220" s="1184"/>
      <c r="AA220" s="1184"/>
      <c r="AB220" s="1184"/>
      <c r="AC220" s="1184"/>
      <c r="AD220" s="1184"/>
      <c r="AE220" s="1184"/>
      <c r="AF220" s="1184"/>
      <c r="AG220" s="1184"/>
      <c r="AH220" s="1184"/>
      <c r="AI220" s="1184"/>
      <c r="AJ220" s="1184"/>
      <c r="AK220" s="1184"/>
      <c r="AL220" s="1771"/>
      <c r="AM220" s="1771"/>
      <c r="AN220" s="1771"/>
      <c r="AO220" s="1771"/>
      <c r="AP220" s="1771"/>
      <c r="AQ220" s="1771"/>
    </row>
    <row r="221" spans="1:43" ht="17.25" customHeight="1">
      <c r="A221" s="1758"/>
      <c r="B221" s="1771"/>
      <c r="C221" s="1763"/>
      <c r="D221" s="8781"/>
      <c r="E221" s="8782"/>
      <c r="F221" s="8772"/>
      <c r="G221" s="8785"/>
      <c r="H221" s="8768"/>
      <c r="I221" s="8768"/>
      <c r="J221" s="8807"/>
      <c r="K221" s="8809"/>
      <c r="L221" s="8768"/>
      <c r="M221" s="8768"/>
      <c r="N221" s="8811"/>
      <c r="O221" s="8739"/>
      <c r="P221" s="236"/>
      <c r="Q221" s="237"/>
      <c r="R221" s="237" t="s">
        <v>314</v>
      </c>
      <c r="S221" s="1764"/>
      <c r="T221" s="1764"/>
      <c r="U221" s="1764"/>
      <c r="V221" s="1764"/>
      <c r="W221" s="1353"/>
      <c r="Y221" s="1184"/>
      <c r="Z221" s="1184"/>
      <c r="AA221" s="1184"/>
      <c r="AB221" s="1184"/>
      <c r="AC221" s="1184"/>
      <c r="AD221" s="1184"/>
      <c r="AE221" s="1184"/>
      <c r="AF221" s="1184"/>
      <c r="AG221" s="1184"/>
      <c r="AH221" s="1184"/>
      <c r="AI221" s="1184"/>
      <c r="AJ221" s="1184"/>
      <c r="AK221" s="1184"/>
      <c r="AL221" s="1771"/>
      <c r="AM221" s="1771"/>
      <c r="AN221" s="1771"/>
      <c r="AO221" s="1771"/>
      <c r="AP221" s="1771"/>
      <c r="AQ221" s="1771"/>
    </row>
    <row r="222" spans="1:43" ht="17.25" customHeight="1">
      <c r="A222" s="1758"/>
      <c r="B222" s="1771"/>
      <c r="C222" s="1763"/>
      <c r="D222" s="8781"/>
      <c r="E222" s="8782"/>
      <c r="F222" s="8772"/>
      <c r="G222" s="8785"/>
      <c r="H222" s="8768"/>
      <c r="I222" s="8768"/>
      <c r="J222" s="8807"/>
      <c r="K222" s="8739"/>
      <c r="L222" s="236"/>
      <c r="M222" s="237"/>
      <c r="N222" s="237" t="s">
        <v>315</v>
      </c>
      <c r="O222" s="237"/>
      <c r="P222" s="237"/>
      <c r="Q222" s="237"/>
      <c r="R222" s="237"/>
      <c r="S222" s="1764"/>
      <c r="T222" s="1764"/>
      <c r="U222" s="1764"/>
      <c r="V222" s="1764"/>
      <c r="W222" s="238"/>
      <c r="Y222" s="1184"/>
      <c r="Z222" s="1184"/>
      <c r="AA222" s="1184"/>
      <c r="AB222" s="1184"/>
      <c r="AC222" s="1184"/>
      <c r="AD222" s="1184"/>
      <c r="AE222" s="1184"/>
      <c r="AF222" s="1184"/>
      <c r="AG222" s="1184"/>
      <c r="AH222" s="1184"/>
      <c r="AI222" s="1184"/>
      <c r="AJ222" s="1184"/>
      <c r="AK222" s="1184"/>
      <c r="AL222" s="1771"/>
      <c r="AM222" s="1771"/>
      <c r="AN222" s="1771"/>
      <c r="AO222" s="1771"/>
      <c r="AP222" s="1771"/>
      <c r="AQ222" s="1771"/>
    </row>
    <row r="223" spans="1:43" ht="17.25" customHeight="1">
      <c r="A223" s="1758"/>
      <c r="B223" s="1771"/>
      <c r="C223" s="1760"/>
      <c r="D223" s="8781"/>
      <c r="E223" s="8782"/>
      <c r="F223" s="8772"/>
      <c r="G223" s="8785"/>
      <c r="H223" s="8806" t="s">
        <v>100</v>
      </c>
      <c r="I223" s="8806" t="s">
        <v>110</v>
      </c>
      <c r="J223" s="8805" t="s">
        <v>505</v>
      </c>
      <c r="K223" s="8808" t="s">
        <v>63</v>
      </c>
      <c r="L223" s="8735"/>
      <c r="M223" s="8735" t="s">
        <v>95</v>
      </c>
      <c r="N223" s="8810" t="str">
        <f>IF(Z223="","",INDEX(TERRITORY_MR_LIST,MATCH(Z223,TERRITORY_LIST_ID,0)))</f>
        <v>Территория 12</v>
      </c>
      <c r="O223" s="8808" t="s">
        <v>53</v>
      </c>
      <c r="P223" s="8735"/>
      <c r="Q223" s="8735" t="s">
        <v>95</v>
      </c>
      <c r="R223" s="8812" t="s">
        <v>24</v>
      </c>
      <c r="S223" s="8804" t="s">
        <v>53</v>
      </c>
      <c r="T223" s="1722"/>
      <c r="U223" s="1722" t="s">
        <v>95</v>
      </c>
      <c r="V223" s="1354"/>
      <c r="W223" s="8805"/>
      <c r="Y223" s="1191"/>
      <c r="Z223" s="1191" t="s">
        <v>146</v>
      </c>
      <c r="AA223" s="1191"/>
      <c r="AB223" s="1191"/>
      <c r="AC223" s="1191" t="s">
        <v>310</v>
      </c>
      <c r="AD223" s="1191" t="s">
        <v>506</v>
      </c>
      <c r="AE223" s="1191" t="s">
        <v>507</v>
      </c>
      <c r="AF223" s="1191" t="s">
        <v>508</v>
      </c>
      <c r="AG223" s="1191" t="s">
        <v>509</v>
      </c>
      <c r="AH223" s="1191" t="str">
        <f>IF($E$79=0,"",$E$79)</f>
        <v>Тариф на подвоз воды</v>
      </c>
      <c r="AI223" s="1191" t="str">
        <f>IF($G$79=0,"",$G$79)</f>
        <v>Холодное водоснабжение. Подвозная вода</v>
      </c>
      <c r="AJ223" s="1191" t="str">
        <f>IF($J$223=0,"",$J$223)</f>
        <v>Подвоз воды потребителям хутора Холодногорского</v>
      </c>
      <c r="AK223" s="1191" t="str">
        <f>IF($K$223="нет","без дифференциации",IF($N$223=0,"",$N$223))</f>
        <v>Территория 12</v>
      </c>
      <c r="AL223" s="1762" t="str">
        <f>IF($O$223="нет","без дифференциации",IF($R$223=0,"",$R$223))</f>
        <v>без дифференциации</v>
      </c>
      <c r="AM223" s="1762"/>
      <c r="AN223" s="1191" t="str">
        <f>$I$223</f>
        <v>37</v>
      </c>
      <c r="AO223" s="1191" t="str">
        <f>$I$223&amp;"."&amp;$M$223</f>
        <v>37.1</v>
      </c>
      <c r="AP223" s="1191" t="str">
        <f>$I$223&amp;"."&amp;$M$223&amp;"."&amp;$Q$223</f>
        <v>37.1.1</v>
      </c>
      <c r="AQ223" s="1191"/>
    </row>
    <row r="224" spans="1:43" ht="17.25" customHeight="1">
      <c r="A224" s="1758"/>
      <c r="B224" s="1771"/>
      <c r="C224" s="1763"/>
      <c r="D224" s="8781"/>
      <c r="E224" s="8782"/>
      <c r="F224" s="8772"/>
      <c r="G224" s="8785"/>
      <c r="H224" s="8806"/>
      <c r="I224" s="8806"/>
      <c r="J224" s="8805"/>
      <c r="K224" s="8809"/>
      <c r="L224" s="8735"/>
      <c r="M224" s="8735"/>
      <c r="N224" s="8810"/>
      <c r="O224" s="8809"/>
      <c r="P224" s="8735"/>
      <c r="Q224" s="8735"/>
      <c r="R224" s="8812" t="s">
        <v>24</v>
      </c>
      <c r="S224" s="8804"/>
      <c r="T224" s="1355"/>
      <c r="U224" s="1356"/>
      <c r="V224" s="1356"/>
      <c r="W224" s="8805"/>
      <c r="Y224" s="1184"/>
      <c r="Z224" s="1184"/>
      <c r="AA224" s="1184"/>
      <c r="AB224" s="1184"/>
      <c r="AC224" s="1184"/>
      <c r="AD224" s="1184"/>
      <c r="AE224" s="1184"/>
      <c r="AF224" s="1184"/>
      <c r="AG224" s="1184"/>
      <c r="AH224" s="1184"/>
      <c r="AI224" s="1184"/>
      <c r="AJ224" s="1184"/>
      <c r="AK224" s="1184"/>
      <c r="AL224" s="1771"/>
      <c r="AM224" s="1771"/>
      <c r="AN224" s="1771"/>
      <c r="AO224" s="1771"/>
      <c r="AP224" s="1771"/>
      <c r="AQ224" s="1771"/>
    </row>
    <row r="225" spans="1:43" ht="17.25" customHeight="1">
      <c r="A225" s="1758"/>
      <c r="B225" s="1771"/>
      <c r="C225" s="1763"/>
      <c r="D225" s="8781"/>
      <c r="E225" s="8782"/>
      <c r="F225" s="8772"/>
      <c r="G225" s="8785"/>
      <c r="H225" s="8768"/>
      <c r="I225" s="8768"/>
      <c r="J225" s="8807"/>
      <c r="K225" s="8809"/>
      <c r="L225" s="8768"/>
      <c r="M225" s="8768"/>
      <c r="N225" s="8811"/>
      <c r="O225" s="8739"/>
      <c r="P225" s="236"/>
      <c r="Q225" s="237"/>
      <c r="R225" s="237" t="s">
        <v>314</v>
      </c>
      <c r="S225" s="1764"/>
      <c r="T225" s="1764"/>
      <c r="U225" s="1764"/>
      <c r="V225" s="1764"/>
      <c r="W225" s="1353"/>
      <c r="Y225" s="1184"/>
      <c r="Z225" s="1184"/>
      <c r="AA225" s="1184"/>
      <c r="AB225" s="1184"/>
      <c r="AC225" s="1184"/>
      <c r="AD225" s="1184"/>
      <c r="AE225" s="1184"/>
      <c r="AF225" s="1184"/>
      <c r="AG225" s="1184"/>
      <c r="AH225" s="1184"/>
      <c r="AI225" s="1184"/>
      <c r="AJ225" s="1184"/>
      <c r="AK225" s="1184"/>
      <c r="AL225" s="1771"/>
      <c r="AM225" s="1771"/>
      <c r="AN225" s="1771"/>
      <c r="AO225" s="1771"/>
      <c r="AP225" s="1771"/>
      <c r="AQ225" s="1771"/>
    </row>
    <row r="226" spans="1:43" ht="17.25" customHeight="1">
      <c r="A226" s="1758"/>
      <c r="B226" s="1771"/>
      <c r="C226" s="1763"/>
      <c r="D226" s="8781"/>
      <c r="E226" s="8782"/>
      <c r="F226" s="8772"/>
      <c r="G226" s="8785"/>
      <c r="H226" s="8768"/>
      <c r="I226" s="8768"/>
      <c r="J226" s="8807"/>
      <c r="K226" s="8739"/>
      <c r="L226" s="236"/>
      <c r="M226" s="237"/>
      <c r="N226" s="237" t="s">
        <v>315</v>
      </c>
      <c r="O226" s="237"/>
      <c r="P226" s="237"/>
      <c r="Q226" s="237"/>
      <c r="R226" s="237"/>
      <c r="S226" s="1764"/>
      <c r="T226" s="1764"/>
      <c r="U226" s="1764"/>
      <c r="V226" s="1764"/>
      <c r="W226" s="238"/>
      <c r="Y226" s="1184"/>
      <c r="Z226" s="1184"/>
      <c r="AA226" s="1184"/>
      <c r="AB226" s="1184"/>
      <c r="AC226" s="1184"/>
      <c r="AD226" s="1184"/>
      <c r="AE226" s="1184"/>
      <c r="AF226" s="1184"/>
      <c r="AG226" s="1184"/>
      <c r="AH226" s="1184"/>
      <c r="AI226" s="1184"/>
      <c r="AJ226" s="1184"/>
      <c r="AK226" s="1184"/>
      <c r="AL226" s="1771"/>
      <c r="AM226" s="1771"/>
      <c r="AN226" s="1771"/>
      <c r="AO226" s="1771"/>
      <c r="AP226" s="1771"/>
      <c r="AQ226" s="1771"/>
    </row>
    <row r="227" spans="1:43" ht="17.25" customHeight="1">
      <c r="A227" s="1758"/>
      <c r="B227" s="1771"/>
      <c r="C227" s="1760"/>
      <c r="D227" s="8781"/>
      <c r="E227" s="8782"/>
      <c r="F227" s="8772"/>
      <c r="G227" s="8785"/>
      <c r="H227" s="8806" t="s">
        <v>100</v>
      </c>
      <c r="I227" s="8806" t="s">
        <v>510</v>
      </c>
      <c r="J227" s="8805" t="s">
        <v>511</v>
      </c>
      <c r="K227" s="8808" t="s">
        <v>63</v>
      </c>
      <c r="L227" s="8735"/>
      <c r="M227" s="8735" t="s">
        <v>95</v>
      </c>
      <c r="N227" s="8810" t="str">
        <f>IF(Z227="","",INDEX(TERRITORY_MR_LIST,MATCH(Z227,TERRITORY_LIST_ID,0)))</f>
        <v>Территория 12</v>
      </c>
      <c r="O227" s="8808" t="s">
        <v>53</v>
      </c>
      <c r="P227" s="8735"/>
      <c r="Q227" s="8735" t="s">
        <v>95</v>
      </c>
      <c r="R227" s="8812" t="s">
        <v>24</v>
      </c>
      <c r="S227" s="8804" t="s">
        <v>53</v>
      </c>
      <c r="T227" s="1722"/>
      <c r="U227" s="1722" t="s">
        <v>95</v>
      </c>
      <c r="V227" s="1354"/>
      <c r="W227" s="8805"/>
      <c r="Y227" s="1191"/>
      <c r="Z227" s="1191" t="s">
        <v>146</v>
      </c>
      <c r="AA227" s="1191"/>
      <c r="AB227" s="1191"/>
      <c r="AC227" s="1191" t="s">
        <v>310</v>
      </c>
      <c r="AD227" s="1191" t="s">
        <v>512</v>
      </c>
      <c r="AE227" s="1191" t="s">
        <v>513</v>
      </c>
      <c r="AF227" s="1191" t="s">
        <v>514</v>
      </c>
      <c r="AG227" s="1191" t="s">
        <v>515</v>
      </c>
      <c r="AH227" s="1191" t="str">
        <f>IF($E$79=0,"",$E$79)</f>
        <v>Тариф на подвоз воды</v>
      </c>
      <c r="AI227" s="1191" t="str">
        <f>IF($G$79=0,"",$G$79)</f>
        <v>Холодное водоснабжение. Подвозная вода</v>
      </c>
      <c r="AJ227" s="1191" t="str">
        <f>IF($J$227=0,"",$J$227)</f>
        <v>Подвоз воды потребителям хутора Гремучего</v>
      </c>
      <c r="AK227" s="1191" t="str">
        <f>IF($K$227="нет","без дифференциации",IF($N$227=0,"",$N$227))</f>
        <v>Территория 12</v>
      </c>
      <c r="AL227" s="1762" t="str">
        <f>IF($O$227="нет","без дифференциации",IF($R$227=0,"",$R$227))</f>
        <v>без дифференциации</v>
      </c>
      <c r="AM227" s="1762"/>
      <c r="AN227" s="1191" t="str">
        <f>$I$227</f>
        <v>38</v>
      </c>
      <c r="AO227" s="1191" t="str">
        <f>$I$227&amp;"."&amp;$M$227</f>
        <v>38.1</v>
      </c>
      <c r="AP227" s="1191" t="str">
        <f>$I$227&amp;"."&amp;$M$227&amp;"."&amp;$Q$227</f>
        <v>38.1.1</v>
      </c>
      <c r="AQ227" s="1191"/>
    </row>
    <row r="228" spans="1:43" ht="17.25" customHeight="1">
      <c r="A228" s="1758"/>
      <c r="B228" s="1771"/>
      <c r="C228" s="1763"/>
      <c r="D228" s="8781"/>
      <c r="E228" s="8782"/>
      <c r="F228" s="8772"/>
      <c r="G228" s="8785"/>
      <c r="H228" s="8806"/>
      <c r="I228" s="8806"/>
      <c r="J228" s="8805"/>
      <c r="K228" s="8809"/>
      <c r="L228" s="8735"/>
      <c r="M228" s="8735"/>
      <c r="N228" s="8810"/>
      <c r="O228" s="8809"/>
      <c r="P228" s="8735"/>
      <c r="Q228" s="8735"/>
      <c r="R228" s="8812" t="s">
        <v>24</v>
      </c>
      <c r="S228" s="8804"/>
      <c r="T228" s="1355"/>
      <c r="U228" s="1356"/>
      <c r="V228" s="1356"/>
      <c r="W228" s="8805"/>
      <c r="Y228" s="1184"/>
      <c r="Z228" s="1184"/>
      <c r="AA228" s="1184"/>
      <c r="AB228" s="1184"/>
      <c r="AC228" s="1184"/>
      <c r="AD228" s="1184"/>
      <c r="AE228" s="1184"/>
      <c r="AF228" s="1184"/>
      <c r="AG228" s="1184"/>
      <c r="AH228" s="1184"/>
      <c r="AI228" s="1184"/>
      <c r="AJ228" s="1184"/>
      <c r="AK228" s="1184"/>
      <c r="AL228" s="1771"/>
      <c r="AM228" s="1771"/>
      <c r="AN228" s="1771"/>
      <c r="AO228" s="1771"/>
      <c r="AP228" s="1771"/>
      <c r="AQ228" s="1771"/>
    </row>
    <row r="229" spans="1:43" ht="17.25" customHeight="1">
      <c r="A229" s="1758"/>
      <c r="B229" s="1771"/>
      <c r="C229" s="1763"/>
      <c r="D229" s="8781"/>
      <c r="E229" s="8782"/>
      <c r="F229" s="8772"/>
      <c r="G229" s="8785"/>
      <c r="H229" s="8768"/>
      <c r="I229" s="8768"/>
      <c r="J229" s="8807"/>
      <c r="K229" s="8809"/>
      <c r="L229" s="8768"/>
      <c r="M229" s="8768"/>
      <c r="N229" s="8811"/>
      <c r="O229" s="8739"/>
      <c r="P229" s="236"/>
      <c r="Q229" s="237"/>
      <c r="R229" s="237" t="s">
        <v>314</v>
      </c>
      <c r="S229" s="1764"/>
      <c r="T229" s="1764"/>
      <c r="U229" s="1764"/>
      <c r="V229" s="1764"/>
      <c r="W229" s="1353"/>
      <c r="Y229" s="1184"/>
      <c r="Z229" s="1184"/>
      <c r="AA229" s="1184"/>
      <c r="AB229" s="1184"/>
      <c r="AC229" s="1184"/>
      <c r="AD229" s="1184"/>
      <c r="AE229" s="1184"/>
      <c r="AF229" s="1184"/>
      <c r="AG229" s="1184"/>
      <c r="AH229" s="1184"/>
      <c r="AI229" s="1184"/>
      <c r="AJ229" s="1184"/>
      <c r="AK229" s="1184"/>
      <c r="AL229" s="1771"/>
      <c r="AM229" s="1771"/>
      <c r="AN229" s="1771"/>
      <c r="AO229" s="1771"/>
      <c r="AP229" s="1771"/>
      <c r="AQ229" s="1771"/>
    </row>
    <row r="230" spans="1:43" ht="17.25" customHeight="1">
      <c r="A230" s="1758"/>
      <c r="B230" s="1771"/>
      <c r="C230" s="1763"/>
      <c r="D230" s="8781"/>
      <c r="E230" s="8782"/>
      <c r="F230" s="8772"/>
      <c r="G230" s="8785"/>
      <c r="H230" s="8768"/>
      <c r="I230" s="8768"/>
      <c r="J230" s="8807"/>
      <c r="K230" s="8739"/>
      <c r="L230" s="236"/>
      <c r="M230" s="237"/>
      <c r="N230" s="237" t="s">
        <v>315</v>
      </c>
      <c r="O230" s="237"/>
      <c r="P230" s="237"/>
      <c r="Q230" s="237"/>
      <c r="R230" s="237"/>
      <c r="S230" s="1764"/>
      <c r="T230" s="1764"/>
      <c r="U230" s="1764"/>
      <c r="V230" s="1764"/>
      <c r="W230" s="238"/>
      <c r="Y230" s="1184"/>
      <c r="Z230" s="1184"/>
      <c r="AA230" s="1184"/>
      <c r="AB230" s="1184"/>
      <c r="AC230" s="1184"/>
      <c r="AD230" s="1184"/>
      <c r="AE230" s="1184"/>
      <c r="AF230" s="1184"/>
      <c r="AG230" s="1184"/>
      <c r="AH230" s="1184"/>
      <c r="AI230" s="1184"/>
      <c r="AJ230" s="1184"/>
      <c r="AK230" s="1184"/>
      <c r="AL230" s="1771"/>
      <c r="AM230" s="1771"/>
      <c r="AN230" s="1771"/>
      <c r="AO230" s="1771"/>
      <c r="AP230" s="1771"/>
      <c r="AQ230" s="1771"/>
    </row>
    <row r="231" spans="1:43" ht="17.25" customHeight="1">
      <c r="A231" s="1758"/>
      <c r="B231" s="1771"/>
      <c r="C231" s="1760"/>
      <c r="D231" s="8781"/>
      <c r="E231" s="8782"/>
      <c r="F231" s="8772"/>
      <c r="G231" s="8785"/>
      <c r="H231" s="8806" t="s">
        <v>100</v>
      </c>
      <c r="I231" s="8806" t="s">
        <v>516</v>
      </c>
      <c r="J231" s="8805" t="s">
        <v>517</v>
      </c>
      <c r="K231" s="8808" t="s">
        <v>63</v>
      </c>
      <c r="L231" s="8735"/>
      <c r="M231" s="8735" t="s">
        <v>95</v>
      </c>
      <c r="N231" s="8810" t="str">
        <f>IF(Z231="","",INDEX(TERRITORY_MR_LIST,MATCH(Z231,TERRITORY_LIST_ID,0)))</f>
        <v>Территория 12</v>
      </c>
      <c r="O231" s="8808" t="s">
        <v>53</v>
      </c>
      <c r="P231" s="8735"/>
      <c r="Q231" s="8735" t="s">
        <v>95</v>
      </c>
      <c r="R231" s="8812" t="s">
        <v>24</v>
      </c>
      <c r="S231" s="8804" t="s">
        <v>53</v>
      </c>
      <c r="T231" s="1722"/>
      <c r="U231" s="1722" t="s">
        <v>95</v>
      </c>
      <c r="V231" s="1354"/>
      <c r="W231" s="8805"/>
      <c r="Y231" s="1191"/>
      <c r="Z231" s="1191" t="s">
        <v>146</v>
      </c>
      <c r="AA231" s="1191"/>
      <c r="AB231" s="1191"/>
      <c r="AC231" s="1191" t="s">
        <v>310</v>
      </c>
      <c r="AD231" s="1191" t="s">
        <v>518</v>
      </c>
      <c r="AE231" s="1191" t="s">
        <v>519</v>
      </c>
      <c r="AF231" s="1191" t="s">
        <v>520</v>
      </c>
      <c r="AG231" s="1191" t="s">
        <v>521</v>
      </c>
      <c r="AH231" s="1191" t="str">
        <f>IF($E$79=0,"",$E$79)</f>
        <v>Тариф на подвоз воды</v>
      </c>
      <c r="AI231" s="1191" t="str">
        <f>IF($G$79=0,"",$G$79)</f>
        <v>Холодное водоснабжение. Подвозная вода</v>
      </c>
      <c r="AJ231" s="1191" t="str">
        <f>IF($J$231=0,"",$J$231)</f>
        <v>Подвоз воды потребителям поселка Верхнедубовского</v>
      </c>
      <c r="AK231" s="1191" t="str">
        <f>IF($K$231="нет","без дифференциации",IF($N$231=0,"",$N$231))</f>
        <v>Территория 12</v>
      </c>
      <c r="AL231" s="1762" t="str">
        <f>IF($O$231="нет","без дифференциации",IF($R$231=0,"",$R$231))</f>
        <v>без дифференциации</v>
      </c>
      <c r="AM231" s="1762"/>
      <c r="AN231" s="1191" t="str">
        <f>$I$231</f>
        <v>39</v>
      </c>
      <c r="AO231" s="1191" t="str">
        <f>$I$231&amp;"."&amp;$M$231</f>
        <v>39.1</v>
      </c>
      <c r="AP231" s="1191" t="str">
        <f>$I$231&amp;"."&amp;$M$231&amp;"."&amp;$Q$231</f>
        <v>39.1.1</v>
      </c>
      <c r="AQ231" s="1191"/>
    </row>
    <row r="232" spans="1:43" ht="17.25" customHeight="1">
      <c r="A232" s="1758"/>
      <c r="B232" s="1771"/>
      <c r="C232" s="1763"/>
      <c r="D232" s="8781"/>
      <c r="E232" s="8782"/>
      <c r="F232" s="8772"/>
      <c r="G232" s="8785"/>
      <c r="H232" s="8806"/>
      <c r="I232" s="8806"/>
      <c r="J232" s="8805"/>
      <c r="K232" s="8809"/>
      <c r="L232" s="8735"/>
      <c r="M232" s="8735"/>
      <c r="N232" s="8810"/>
      <c r="O232" s="8809"/>
      <c r="P232" s="8735"/>
      <c r="Q232" s="8735"/>
      <c r="R232" s="8812" t="s">
        <v>24</v>
      </c>
      <c r="S232" s="8804"/>
      <c r="T232" s="1355"/>
      <c r="U232" s="1356"/>
      <c r="V232" s="1356"/>
      <c r="W232" s="8805"/>
      <c r="Y232" s="1184"/>
      <c r="Z232" s="1184"/>
      <c r="AA232" s="1184"/>
      <c r="AB232" s="1184"/>
      <c r="AC232" s="1184"/>
      <c r="AD232" s="1184"/>
      <c r="AE232" s="1184"/>
      <c r="AF232" s="1184"/>
      <c r="AG232" s="1184"/>
      <c r="AH232" s="1184"/>
      <c r="AI232" s="1184"/>
      <c r="AJ232" s="1184"/>
      <c r="AK232" s="1184"/>
      <c r="AL232" s="1771"/>
      <c r="AM232" s="1771"/>
      <c r="AN232" s="1771"/>
      <c r="AO232" s="1771"/>
      <c r="AP232" s="1771"/>
      <c r="AQ232" s="1771"/>
    </row>
    <row r="233" spans="1:43" ht="17.25" customHeight="1">
      <c r="A233" s="1758"/>
      <c r="B233" s="1771"/>
      <c r="C233" s="1763"/>
      <c r="D233" s="8781"/>
      <c r="E233" s="8782"/>
      <c r="F233" s="8772"/>
      <c r="G233" s="8785"/>
      <c r="H233" s="8768"/>
      <c r="I233" s="8768"/>
      <c r="J233" s="8807"/>
      <c r="K233" s="8809"/>
      <c r="L233" s="8768"/>
      <c r="M233" s="8768"/>
      <c r="N233" s="8811"/>
      <c r="O233" s="8739"/>
      <c r="P233" s="236"/>
      <c r="Q233" s="237"/>
      <c r="R233" s="237" t="s">
        <v>314</v>
      </c>
      <c r="S233" s="1764"/>
      <c r="T233" s="1764"/>
      <c r="U233" s="1764"/>
      <c r="V233" s="1764"/>
      <c r="W233" s="1353"/>
      <c r="Y233" s="1184"/>
      <c r="Z233" s="1184"/>
      <c r="AA233" s="1184"/>
      <c r="AB233" s="1184"/>
      <c r="AC233" s="1184"/>
      <c r="AD233" s="1184"/>
      <c r="AE233" s="1184"/>
      <c r="AF233" s="1184"/>
      <c r="AG233" s="1184"/>
      <c r="AH233" s="1184"/>
      <c r="AI233" s="1184"/>
      <c r="AJ233" s="1184"/>
      <c r="AK233" s="1184"/>
      <c r="AL233" s="1771"/>
      <c r="AM233" s="1771"/>
      <c r="AN233" s="1771"/>
      <c r="AO233" s="1771"/>
      <c r="AP233" s="1771"/>
      <c r="AQ233" s="1771"/>
    </row>
    <row r="234" spans="1:43" ht="17.25" customHeight="1">
      <c r="A234" s="1758"/>
      <c r="B234" s="1771"/>
      <c r="C234" s="1763"/>
      <c r="D234" s="8781"/>
      <c r="E234" s="8782"/>
      <c r="F234" s="8772"/>
      <c r="G234" s="8785"/>
      <c r="H234" s="8768"/>
      <c r="I234" s="8768"/>
      <c r="J234" s="8807"/>
      <c r="K234" s="8739"/>
      <c r="L234" s="236"/>
      <c r="M234" s="237"/>
      <c r="N234" s="237" t="s">
        <v>315</v>
      </c>
      <c r="O234" s="237"/>
      <c r="P234" s="237"/>
      <c r="Q234" s="237"/>
      <c r="R234" s="237"/>
      <c r="S234" s="1764"/>
      <c r="T234" s="1764"/>
      <c r="U234" s="1764"/>
      <c r="V234" s="1764"/>
      <c r="W234" s="238"/>
      <c r="Y234" s="1184"/>
      <c r="Z234" s="1184"/>
      <c r="AA234" s="1184"/>
      <c r="AB234" s="1184"/>
      <c r="AC234" s="1184"/>
      <c r="AD234" s="1184"/>
      <c r="AE234" s="1184"/>
      <c r="AF234" s="1184"/>
      <c r="AG234" s="1184"/>
      <c r="AH234" s="1184"/>
      <c r="AI234" s="1184"/>
      <c r="AJ234" s="1184"/>
      <c r="AK234" s="1184"/>
      <c r="AL234" s="1771"/>
      <c r="AM234" s="1771"/>
      <c r="AN234" s="1771"/>
      <c r="AO234" s="1771"/>
      <c r="AP234" s="1771"/>
      <c r="AQ234" s="1771"/>
    </row>
    <row r="235" spans="1:43" ht="17.25" customHeight="1">
      <c r="A235" s="1758"/>
      <c r="B235" s="1771"/>
      <c r="C235" s="1760"/>
      <c r="D235" s="8781"/>
      <c r="E235" s="8782"/>
      <c r="F235" s="8772"/>
      <c r="G235" s="8785"/>
      <c r="H235" s="8806" t="s">
        <v>100</v>
      </c>
      <c r="I235" s="8806" t="s">
        <v>522</v>
      </c>
      <c r="J235" s="8805" t="s">
        <v>523</v>
      </c>
      <c r="K235" s="8808" t="s">
        <v>63</v>
      </c>
      <c r="L235" s="8735"/>
      <c r="M235" s="8735" t="s">
        <v>95</v>
      </c>
      <c r="N235" s="8810" t="str">
        <f>IF(Z235="","",INDEX(TERRITORY_MR_LIST,MATCH(Z235,TERRITORY_LIST_ID,0)))</f>
        <v>Территория 12</v>
      </c>
      <c r="O235" s="8808" t="s">
        <v>53</v>
      </c>
      <c r="P235" s="8735"/>
      <c r="Q235" s="8735" t="s">
        <v>95</v>
      </c>
      <c r="R235" s="8812" t="s">
        <v>24</v>
      </c>
      <c r="S235" s="8804" t="s">
        <v>53</v>
      </c>
      <c r="T235" s="1722"/>
      <c r="U235" s="1722" t="s">
        <v>95</v>
      </c>
      <c r="V235" s="1354"/>
      <c r="W235" s="8805"/>
      <c r="Y235" s="1191"/>
      <c r="Z235" s="1191" t="s">
        <v>146</v>
      </c>
      <c r="AA235" s="1191"/>
      <c r="AB235" s="1191"/>
      <c r="AC235" s="1191" t="s">
        <v>310</v>
      </c>
      <c r="AD235" s="1191" t="s">
        <v>524</v>
      </c>
      <c r="AE235" s="1191" t="s">
        <v>525</v>
      </c>
      <c r="AF235" s="1191" t="s">
        <v>526</v>
      </c>
      <c r="AG235" s="1191" t="s">
        <v>527</v>
      </c>
      <c r="AH235" s="1191" t="str">
        <f>IF($E$79=0,"",$E$79)</f>
        <v>Тариф на подвоз воды</v>
      </c>
      <c r="AI235" s="1191" t="str">
        <f>IF($G$79=0,"",$G$79)</f>
        <v>Холодное водоснабжение. Подвозная вода</v>
      </c>
      <c r="AJ235" s="1191" t="str">
        <f>IF($J$235=0,"",$J$235)</f>
        <v>Подвоз воды потребителям хутора Богатого</v>
      </c>
      <c r="AK235" s="1191" t="str">
        <f>IF($K$235="нет","без дифференциации",IF($N$235=0,"",$N$235))</f>
        <v>Территория 12</v>
      </c>
      <c r="AL235" s="1762" t="str">
        <f>IF($O$235="нет","без дифференциации",IF($R$235=0,"",$R$235))</f>
        <v>без дифференциации</v>
      </c>
      <c r="AM235" s="1762"/>
      <c r="AN235" s="1191" t="str">
        <f>$I$235</f>
        <v>40</v>
      </c>
      <c r="AO235" s="1191" t="str">
        <f>$I$235&amp;"."&amp;$M$235</f>
        <v>40.1</v>
      </c>
      <c r="AP235" s="1191" t="str">
        <f>$I$235&amp;"."&amp;$M$235&amp;"."&amp;$Q$235</f>
        <v>40.1.1</v>
      </c>
      <c r="AQ235" s="1191"/>
    </row>
    <row r="236" spans="1:43" ht="17.25" customHeight="1">
      <c r="A236" s="1758"/>
      <c r="B236" s="1771"/>
      <c r="C236" s="1763"/>
      <c r="D236" s="8781"/>
      <c r="E236" s="8782"/>
      <c r="F236" s="8772"/>
      <c r="G236" s="8785"/>
      <c r="H236" s="8806"/>
      <c r="I236" s="8806"/>
      <c r="J236" s="8805"/>
      <c r="K236" s="8809"/>
      <c r="L236" s="8735"/>
      <c r="M236" s="8735"/>
      <c r="N236" s="8810"/>
      <c r="O236" s="8809"/>
      <c r="P236" s="8735"/>
      <c r="Q236" s="8735"/>
      <c r="R236" s="8812" t="s">
        <v>24</v>
      </c>
      <c r="S236" s="8804"/>
      <c r="T236" s="1355"/>
      <c r="U236" s="1356"/>
      <c r="V236" s="1356"/>
      <c r="W236" s="8805"/>
      <c r="Y236" s="1184"/>
      <c r="Z236" s="1184"/>
      <c r="AA236" s="1184"/>
      <c r="AB236" s="1184"/>
      <c r="AC236" s="1184"/>
      <c r="AD236" s="1184"/>
      <c r="AE236" s="1184"/>
      <c r="AF236" s="1184"/>
      <c r="AG236" s="1184"/>
      <c r="AH236" s="1184"/>
      <c r="AI236" s="1184"/>
      <c r="AJ236" s="1184"/>
      <c r="AK236" s="1184"/>
      <c r="AL236" s="1771"/>
      <c r="AM236" s="1771"/>
      <c r="AN236" s="1771"/>
      <c r="AO236" s="1771"/>
      <c r="AP236" s="1771"/>
      <c r="AQ236" s="1771"/>
    </row>
    <row r="237" spans="1:43" ht="17.25" customHeight="1">
      <c r="A237" s="1758"/>
      <c r="B237" s="1771"/>
      <c r="C237" s="1763"/>
      <c r="D237" s="8781"/>
      <c r="E237" s="8782"/>
      <c r="F237" s="8772"/>
      <c r="G237" s="8785"/>
      <c r="H237" s="8768"/>
      <c r="I237" s="8768"/>
      <c r="J237" s="8807"/>
      <c r="K237" s="8809"/>
      <c r="L237" s="8768"/>
      <c r="M237" s="8768"/>
      <c r="N237" s="8811"/>
      <c r="O237" s="8739"/>
      <c r="P237" s="236"/>
      <c r="Q237" s="237"/>
      <c r="R237" s="237" t="s">
        <v>314</v>
      </c>
      <c r="S237" s="1764"/>
      <c r="T237" s="1764"/>
      <c r="U237" s="1764"/>
      <c r="V237" s="1764"/>
      <c r="W237" s="1353"/>
      <c r="Y237" s="1184"/>
      <c r="Z237" s="1184"/>
      <c r="AA237" s="1184"/>
      <c r="AB237" s="1184"/>
      <c r="AC237" s="1184"/>
      <c r="AD237" s="1184"/>
      <c r="AE237" s="1184"/>
      <c r="AF237" s="1184"/>
      <c r="AG237" s="1184"/>
      <c r="AH237" s="1184"/>
      <c r="AI237" s="1184"/>
      <c r="AJ237" s="1184"/>
      <c r="AK237" s="1184"/>
      <c r="AL237" s="1771"/>
      <c r="AM237" s="1771"/>
      <c r="AN237" s="1771"/>
      <c r="AO237" s="1771"/>
      <c r="AP237" s="1771"/>
      <c r="AQ237" s="1771"/>
    </row>
    <row r="238" spans="1:43" ht="17.25" customHeight="1">
      <c r="A238" s="1758"/>
      <c r="B238" s="1771"/>
      <c r="C238" s="1763"/>
      <c r="D238" s="8781"/>
      <c r="E238" s="8782"/>
      <c r="F238" s="8772"/>
      <c r="G238" s="8785"/>
      <c r="H238" s="8768"/>
      <c r="I238" s="8768"/>
      <c r="J238" s="8807"/>
      <c r="K238" s="8739"/>
      <c r="L238" s="236"/>
      <c r="M238" s="237"/>
      <c r="N238" s="237" t="s">
        <v>315</v>
      </c>
      <c r="O238" s="237"/>
      <c r="P238" s="237"/>
      <c r="Q238" s="237"/>
      <c r="R238" s="237"/>
      <c r="S238" s="1764"/>
      <c r="T238" s="1764"/>
      <c r="U238" s="1764"/>
      <c r="V238" s="1764"/>
      <c r="W238" s="238"/>
      <c r="Y238" s="1184"/>
      <c r="Z238" s="1184"/>
      <c r="AA238" s="1184"/>
      <c r="AB238" s="1184"/>
      <c r="AC238" s="1184"/>
      <c r="AD238" s="1184"/>
      <c r="AE238" s="1184"/>
      <c r="AF238" s="1184"/>
      <c r="AG238" s="1184"/>
      <c r="AH238" s="1184"/>
      <c r="AI238" s="1184"/>
      <c r="AJ238" s="1184"/>
      <c r="AK238" s="1184"/>
      <c r="AL238" s="1771"/>
      <c r="AM238" s="1771"/>
      <c r="AN238" s="1771"/>
      <c r="AO238" s="1771"/>
      <c r="AP238" s="1771"/>
      <c r="AQ238" s="1771"/>
    </row>
    <row r="239" spans="1:43" ht="17.25" customHeight="1">
      <c r="A239" s="1758"/>
      <c r="B239" s="1771"/>
      <c r="C239" s="1760"/>
      <c r="D239" s="8781"/>
      <c r="E239" s="8782"/>
      <c r="F239" s="8772"/>
      <c r="G239" s="8785"/>
      <c r="H239" s="8806" t="s">
        <v>100</v>
      </c>
      <c r="I239" s="8806" t="s">
        <v>528</v>
      </c>
      <c r="J239" s="8805" t="s">
        <v>529</v>
      </c>
      <c r="K239" s="8808" t="s">
        <v>63</v>
      </c>
      <c r="L239" s="8735"/>
      <c r="M239" s="8735" t="s">
        <v>95</v>
      </c>
      <c r="N239" s="8810" t="str">
        <f>IF(Z239="","",INDEX(TERRITORY_MR_LIST,MATCH(Z239,TERRITORY_LIST_ID,0)))</f>
        <v>Территория 12</v>
      </c>
      <c r="O239" s="8808" t="s">
        <v>53</v>
      </c>
      <c r="P239" s="8735"/>
      <c r="Q239" s="8735" t="s">
        <v>95</v>
      </c>
      <c r="R239" s="8812" t="s">
        <v>24</v>
      </c>
      <c r="S239" s="8804" t="s">
        <v>53</v>
      </c>
      <c r="T239" s="1722"/>
      <c r="U239" s="1722" t="s">
        <v>95</v>
      </c>
      <c r="V239" s="1354"/>
      <c r="W239" s="8805"/>
      <c r="Y239" s="1191"/>
      <c r="Z239" s="1191" t="s">
        <v>146</v>
      </c>
      <c r="AA239" s="1191"/>
      <c r="AB239" s="1191"/>
      <c r="AC239" s="1191" t="s">
        <v>310</v>
      </c>
      <c r="AD239" s="1191" t="s">
        <v>530</v>
      </c>
      <c r="AE239" s="1191" t="s">
        <v>531</v>
      </c>
      <c r="AF239" s="1191" t="s">
        <v>532</v>
      </c>
      <c r="AG239" s="1191" t="s">
        <v>533</v>
      </c>
      <c r="AH239" s="1191" t="str">
        <f>IF($E$79=0,"",$E$79)</f>
        <v>Тариф на подвоз воды</v>
      </c>
      <c r="AI239" s="1191" t="str">
        <f>IF($G$79=0,"",$G$79)</f>
        <v>Холодное водоснабжение. Подвозная вода</v>
      </c>
      <c r="AJ239" s="1191" t="str">
        <f>IF($J$239=0,"",$J$239)</f>
        <v>Подвоз воды потребителям хутора Верхнеегорлыкского</v>
      </c>
      <c r="AK239" s="1191" t="str">
        <f>IF($K$239="нет","без дифференциации",IF($N$239=0,"",$N$239))</f>
        <v>Территория 12</v>
      </c>
      <c r="AL239" s="1762" t="str">
        <f>IF($O$239="нет","без дифференциации",IF($R$239=0,"",$R$239))</f>
        <v>без дифференциации</v>
      </c>
      <c r="AM239" s="1762"/>
      <c r="AN239" s="1191" t="str">
        <f>$I$239</f>
        <v>41</v>
      </c>
      <c r="AO239" s="1191" t="str">
        <f>$I$239&amp;"."&amp;$M$239</f>
        <v>41.1</v>
      </c>
      <c r="AP239" s="1191" t="str">
        <f>$I$239&amp;"."&amp;$M$239&amp;"."&amp;$Q$239</f>
        <v>41.1.1</v>
      </c>
      <c r="AQ239" s="1191"/>
    </row>
    <row r="240" spans="1:43" ht="17.25" customHeight="1">
      <c r="A240" s="1758"/>
      <c r="B240" s="1771"/>
      <c r="C240" s="1763"/>
      <c r="D240" s="8781"/>
      <c r="E240" s="8782"/>
      <c r="F240" s="8772"/>
      <c r="G240" s="8785"/>
      <c r="H240" s="8806"/>
      <c r="I240" s="8806"/>
      <c r="J240" s="8805"/>
      <c r="K240" s="8809"/>
      <c r="L240" s="8735"/>
      <c r="M240" s="8735"/>
      <c r="N240" s="8810"/>
      <c r="O240" s="8809"/>
      <c r="P240" s="8735"/>
      <c r="Q240" s="8735"/>
      <c r="R240" s="8812" t="s">
        <v>24</v>
      </c>
      <c r="S240" s="8804"/>
      <c r="T240" s="1355"/>
      <c r="U240" s="1356"/>
      <c r="V240" s="1356"/>
      <c r="W240" s="8805"/>
      <c r="Y240" s="1184"/>
      <c r="Z240" s="1184"/>
      <c r="AA240" s="1184"/>
      <c r="AB240" s="1184"/>
      <c r="AC240" s="1184"/>
      <c r="AD240" s="1184"/>
      <c r="AE240" s="1184"/>
      <c r="AF240" s="1184"/>
      <c r="AG240" s="1184"/>
      <c r="AH240" s="1184"/>
      <c r="AI240" s="1184"/>
      <c r="AJ240" s="1184"/>
      <c r="AK240" s="1184"/>
      <c r="AL240" s="1771"/>
      <c r="AM240" s="1771"/>
      <c r="AN240" s="1771"/>
      <c r="AO240" s="1771"/>
      <c r="AP240" s="1771"/>
      <c r="AQ240" s="1771"/>
    </row>
    <row r="241" spans="1:43" ht="17.25" customHeight="1">
      <c r="A241" s="1758"/>
      <c r="B241" s="1771"/>
      <c r="C241" s="1763"/>
      <c r="D241" s="8781"/>
      <c r="E241" s="8782"/>
      <c r="F241" s="8772"/>
      <c r="G241" s="8785"/>
      <c r="H241" s="8768"/>
      <c r="I241" s="8768"/>
      <c r="J241" s="8807"/>
      <c r="K241" s="8809"/>
      <c r="L241" s="8768"/>
      <c r="M241" s="8768"/>
      <c r="N241" s="8811"/>
      <c r="O241" s="8739"/>
      <c r="P241" s="236"/>
      <c r="Q241" s="237"/>
      <c r="R241" s="237" t="s">
        <v>314</v>
      </c>
      <c r="S241" s="1764"/>
      <c r="T241" s="1764"/>
      <c r="U241" s="1764"/>
      <c r="V241" s="1764"/>
      <c r="W241" s="1353"/>
      <c r="Y241" s="1184"/>
      <c r="Z241" s="1184"/>
      <c r="AA241" s="1184"/>
      <c r="AB241" s="1184"/>
      <c r="AC241" s="1184"/>
      <c r="AD241" s="1184"/>
      <c r="AE241" s="1184"/>
      <c r="AF241" s="1184"/>
      <c r="AG241" s="1184"/>
      <c r="AH241" s="1184"/>
      <c r="AI241" s="1184"/>
      <c r="AJ241" s="1184"/>
      <c r="AK241" s="1184"/>
      <c r="AL241" s="1771"/>
      <c r="AM241" s="1771"/>
      <c r="AN241" s="1771"/>
      <c r="AO241" s="1771"/>
      <c r="AP241" s="1771"/>
      <c r="AQ241" s="1771"/>
    </row>
    <row r="242" spans="1:43" ht="17.25" customHeight="1">
      <c r="A242" s="1758"/>
      <c r="B242" s="1771"/>
      <c r="C242" s="1763"/>
      <c r="D242" s="8781"/>
      <c r="E242" s="8782"/>
      <c r="F242" s="8772"/>
      <c r="G242" s="8785"/>
      <c r="H242" s="8768"/>
      <c r="I242" s="8768"/>
      <c r="J242" s="8807"/>
      <c r="K242" s="8739"/>
      <c r="L242" s="236"/>
      <c r="M242" s="237"/>
      <c r="N242" s="237" t="s">
        <v>315</v>
      </c>
      <c r="O242" s="237"/>
      <c r="P242" s="237"/>
      <c r="Q242" s="237"/>
      <c r="R242" s="237"/>
      <c r="S242" s="1764"/>
      <c r="T242" s="1764"/>
      <c r="U242" s="1764"/>
      <c r="V242" s="1764"/>
      <c r="W242" s="238"/>
      <c r="Y242" s="1184"/>
      <c r="Z242" s="1184"/>
      <c r="AA242" s="1184"/>
      <c r="AB242" s="1184"/>
      <c r="AC242" s="1184"/>
      <c r="AD242" s="1184"/>
      <c r="AE242" s="1184"/>
      <c r="AF242" s="1184"/>
      <c r="AG242" s="1184"/>
      <c r="AH242" s="1184"/>
      <c r="AI242" s="1184"/>
      <c r="AJ242" s="1184"/>
      <c r="AK242" s="1184"/>
      <c r="AL242" s="1771"/>
      <c r="AM242" s="1771"/>
      <c r="AN242" s="1771"/>
      <c r="AO242" s="1771"/>
      <c r="AP242" s="1771"/>
      <c r="AQ242" s="1771"/>
    </row>
    <row r="243" spans="1:43" ht="17.25" customHeight="1">
      <c r="A243" s="1758"/>
      <c r="B243" s="1771"/>
      <c r="C243" s="1760"/>
      <c r="D243" s="8781"/>
      <c r="E243" s="8782"/>
      <c r="F243" s="8772"/>
      <c r="G243" s="8785"/>
      <c r="H243" s="8806" t="s">
        <v>100</v>
      </c>
      <c r="I243" s="8806" t="s">
        <v>534</v>
      </c>
      <c r="J243" s="8805" t="s">
        <v>494</v>
      </c>
      <c r="K243" s="8808" t="s">
        <v>63</v>
      </c>
      <c r="L243" s="8735"/>
      <c r="M243" s="8735" t="s">
        <v>95</v>
      </c>
      <c r="N243" s="8810" t="str">
        <f>IF(Z243="","",INDEX(TERRITORY_MR_LIST,MATCH(Z243,TERRITORY_LIST_ID,0)))</f>
        <v>Территория 12</v>
      </c>
      <c r="O243" s="8808" t="s">
        <v>53</v>
      </c>
      <c r="P243" s="8735"/>
      <c r="Q243" s="8735" t="s">
        <v>95</v>
      </c>
      <c r="R243" s="8812" t="s">
        <v>24</v>
      </c>
      <c r="S243" s="8804" t="s">
        <v>53</v>
      </c>
      <c r="T243" s="1722"/>
      <c r="U243" s="1722" t="s">
        <v>95</v>
      </c>
      <c r="V243" s="1354"/>
      <c r="W243" s="8805"/>
      <c r="Y243" s="1191"/>
      <c r="Z243" s="1191" t="s">
        <v>146</v>
      </c>
      <c r="AA243" s="1191"/>
      <c r="AB243" s="1191"/>
      <c r="AC243" s="1191" t="s">
        <v>310</v>
      </c>
      <c r="AD243" s="1191" t="s">
        <v>535</v>
      </c>
      <c r="AE243" s="1191" t="s">
        <v>536</v>
      </c>
      <c r="AF243" s="1191" t="s">
        <v>537</v>
      </c>
      <c r="AG243" s="1191" t="s">
        <v>538</v>
      </c>
      <c r="AH243" s="1191" t="str">
        <f>IF($E$79=0,"",$E$79)</f>
        <v>Тариф на подвоз воды</v>
      </c>
      <c r="AI243" s="1191" t="str">
        <f>IF($G$79=0,"",$G$79)</f>
        <v>Холодное водоснабжение. Подвозная вода</v>
      </c>
      <c r="AJ243" s="1191" t="str">
        <f>IF($J$243=0,"",$J$243)</f>
        <v>Подвоз воды потребителям хутора Садового</v>
      </c>
      <c r="AK243" s="1191" t="str">
        <f>IF($K$243="нет","без дифференциации",IF($N$243=0,"",$N$243))</f>
        <v>Территория 12</v>
      </c>
      <c r="AL243" s="1762" t="str">
        <f>IF($O$243="нет","без дифференциации",IF($R$243=0,"",$R$243))</f>
        <v>без дифференциации</v>
      </c>
      <c r="AM243" s="1762"/>
      <c r="AN243" s="1191" t="str">
        <f>$I$243</f>
        <v>42</v>
      </c>
      <c r="AO243" s="1191" t="str">
        <f>$I$243&amp;"."&amp;$M$243</f>
        <v>42.1</v>
      </c>
      <c r="AP243" s="1191" t="str">
        <f>$I$243&amp;"."&amp;$M$243&amp;"."&amp;$Q$243</f>
        <v>42.1.1</v>
      </c>
      <c r="AQ243" s="1191"/>
    </row>
    <row r="244" spans="1:43" ht="17.25" customHeight="1">
      <c r="A244" s="1758"/>
      <c r="B244" s="1771"/>
      <c r="C244" s="1763"/>
      <c r="D244" s="8781"/>
      <c r="E244" s="8782"/>
      <c r="F244" s="8772"/>
      <c r="G244" s="8785"/>
      <c r="H244" s="8806"/>
      <c r="I244" s="8806"/>
      <c r="J244" s="8805"/>
      <c r="K244" s="8809"/>
      <c r="L244" s="8735"/>
      <c r="M244" s="8735"/>
      <c r="N244" s="8810"/>
      <c r="O244" s="8809"/>
      <c r="P244" s="8735"/>
      <c r="Q244" s="8735"/>
      <c r="R244" s="8812" t="s">
        <v>24</v>
      </c>
      <c r="S244" s="8804"/>
      <c r="T244" s="1355"/>
      <c r="U244" s="1356"/>
      <c r="V244" s="1356"/>
      <c r="W244" s="8805"/>
      <c r="Y244" s="1184"/>
      <c r="Z244" s="1184"/>
      <c r="AA244" s="1184"/>
      <c r="AB244" s="1184"/>
      <c r="AC244" s="1184"/>
      <c r="AD244" s="1184"/>
      <c r="AE244" s="1184"/>
      <c r="AF244" s="1184"/>
      <c r="AG244" s="1184"/>
      <c r="AH244" s="1184"/>
      <c r="AI244" s="1184"/>
      <c r="AJ244" s="1184"/>
      <c r="AK244" s="1184"/>
      <c r="AL244" s="1771"/>
      <c r="AM244" s="1771"/>
      <c r="AN244" s="1771"/>
      <c r="AO244" s="1771"/>
      <c r="AP244" s="1771"/>
      <c r="AQ244" s="1771"/>
    </row>
    <row r="245" spans="1:43" ht="17.25" customHeight="1">
      <c r="A245" s="1758"/>
      <c r="B245" s="1771"/>
      <c r="C245" s="1763"/>
      <c r="D245" s="8781"/>
      <c r="E245" s="8782"/>
      <c r="F245" s="8772"/>
      <c r="G245" s="8785"/>
      <c r="H245" s="8768"/>
      <c r="I245" s="8768"/>
      <c r="J245" s="8807"/>
      <c r="K245" s="8809"/>
      <c r="L245" s="8768"/>
      <c r="M245" s="8768"/>
      <c r="N245" s="8811"/>
      <c r="O245" s="8739"/>
      <c r="P245" s="236"/>
      <c r="Q245" s="237"/>
      <c r="R245" s="237" t="s">
        <v>314</v>
      </c>
      <c r="S245" s="1764"/>
      <c r="T245" s="1764"/>
      <c r="U245" s="1764"/>
      <c r="V245" s="1764"/>
      <c r="W245" s="1353"/>
      <c r="Y245" s="1184"/>
      <c r="Z245" s="1184"/>
      <c r="AA245" s="1184"/>
      <c r="AB245" s="1184"/>
      <c r="AC245" s="1184"/>
      <c r="AD245" s="1184"/>
      <c r="AE245" s="1184"/>
      <c r="AF245" s="1184"/>
      <c r="AG245" s="1184"/>
      <c r="AH245" s="1184"/>
      <c r="AI245" s="1184"/>
      <c r="AJ245" s="1184"/>
      <c r="AK245" s="1184"/>
      <c r="AL245" s="1771"/>
      <c r="AM245" s="1771"/>
      <c r="AN245" s="1771"/>
      <c r="AO245" s="1771"/>
      <c r="AP245" s="1771"/>
      <c r="AQ245" s="1771"/>
    </row>
    <row r="246" spans="1:43" ht="17.25" customHeight="1">
      <c r="A246" s="1758"/>
      <c r="B246" s="1771"/>
      <c r="C246" s="1763"/>
      <c r="D246" s="8781"/>
      <c r="E246" s="8782"/>
      <c r="F246" s="8772"/>
      <c r="G246" s="8785"/>
      <c r="H246" s="8768"/>
      <c r="I246" s="8768"/>
      <c r="J246" s="8807"/>
      <c r="K246" s="8739"/>
      <c r="L246" s="236"/>
      <c r="M246" s="237"/>
      <c r="N246" s="237" t="s">
        <v>315</v>
      </c>
      <c r="O246" s="237"/>
      <c r="P246" s="237"/>
      <c r="Q246" s="237"/>
      <c r="R246" s="237"/>
      <c r="S246" s="1764"/>
      <c r="T246" s="1764"/>
      <c r="U246" s="1764"/>
      <c r="V246" s="1764"/>
      <c r="W246" s="238"/>
      <c r="Y246" s="1184"/>
      <c r="Z246" s="1184"/>
      <c r="AA246" s="1184"/>
      <c r="AB246" s="1184"/>
      <c r="AC246" s="1184"/>
      <c r="AD246" s="1184"/>
      <c r="AE246" s="1184"/>
      <c r="AF246" s="1184"/>
      <c r="AG246" s="1184"/>
      <c r="AH246" s="1184"/>
      <c r="AI246" s="1184"/>
      <c r="AJ246" s="1184"/>
      <c r="AK246" s="1184"/>
      <c r="AL246" s="1771"/>
      <c r="AM246" s="1771"/>
      <c r="AN246" s="1771"/>
      <c r="AO246" s="1771"/>
      <c r="AP246" s="1771"/>
      <c r="AQ246" s="1771"/>
    </row>
    <row r="247" spans="1:43" ht="17.25" customHeight="1">
      <c r="A247" s="1758"/>
      <c r="B247" s="1771"/>
      <c r="C247" s="1760"/>
      <c r="D247" s="8781"/>
      <c r="E247" s="8782"/>
      <c r="F247" s="8772"/>
      <c r="G247" s="8785"/>
      <c r="H247" s="8806" t="s">
        <v>100</v>
      </c>
      <c r="I247" s="8806" t="s">
        <v>539</v>
      </c>
      <c r="J247" s="8805" t="s">
        <v>540</v>
      </c>
      <c r="K247" s="8808" t="s">
        <v>63</v>
      </c>
      <c r="L247" s="8735"/>
      <c r="M247" s="8735" t="s">
        <v>95</v>
      </c>
      <c r="N247" s="8810" t="str">
        <f>IF(Z247="","",INDEX(TERRITORY_MR_LIST,MATCH(Z247,TERRITORY_LIST_ID,0)))</f>
        <v>Территория 12</v>
      </c>
      <c r="O247" s="8808" t="s">
        <v>53</v>
      </c>
      <c r="P247" s="8735"/>
      <c r="Q247" s="8735" t="s">
        <v>95</v>
      </c>
      <c r="R247" s="8812" t="s">
        <v>24</v>
      </c>
      <c r="S247" s="8804" t="s">
        <v>53</v>
      </c>
      <c r="T247" s="1722"/>
      <c r="U247" s="1722" t="s">
        <v>95</v>
      </c>
      <c r="V247" s="1354"/>
      <c r="W247" s="8805"/>
      <c r="Y247" s="1191"/>
      <c r="Z247" s="1191" t="s">
        <v>146</v>
      </c>
      <c r="AA247" s="1191"/>
      <c r="AB247" s="1191"/>
      <c r="AC247" s="1191" t="s">
        <v>310</v>
      </c>
      <c r="AD247" s="1191" t="s">
        <v>541</v>
      </c>
      <c r="AE247" s="1191" t="s">
        <v>542</v>
      </c>
      <c r="AF247" s="1191" t="s">
        <v>543</v>
      </c>
      <c r="AG247" s="1191" t="s">
        <v>544</v>
      </c>
      <c r="AH247" s="1191" t="str">
        <f>IF($E$79=0,"",$E$79)</f>
        <v>Тариф на подвоз воды</v>
      </c>
      <c r="AI247" s="1191" t="str">
        <f>IF($G$79=0,"",$G$79)</f>
        <v>Холодное водоснабжение. Подвозная вода</v>
      </c>
      <c r="AJ247" s="1191" t="str">
        <f>IF($J$247=0,"",$J$247)</f>
        <v>Подвоз воды потребителям хутора Темнореченского</v>
      </c>
      <c r="AK247" s="1191" t="str">
        <f>IF($K$247="нет","без дифференциации",IF($N$247=0,"",$N$247))</f>
        <v>Территория 12</v>
      </c>
      <c r="AL247" s="1762" t="str">
        <f>IF($O$247="нет","без дифференциации",IF($R$247=0,"",$R$247))</f>
        <v>без дифференциации</v>
      </c>
      <c r="AM247" s="1762"/>
      <c r="AN247" s="1191" t="str">
        <f>$I$247</f>
        <v>43</v>
      </c>
      <c r="AO247" s="1191" t="str">
        <f>$I$247&amp;"."&amp;$M$247</f>
        <v>43.1</v>
      </c>
      <c r="AP247" s="1191" t="str">
        <f>$I$247&amp;"."&amp;$M$247&amp;"."&amp;$Q$247</f>
        <v>43.1.1</v>
      </c>
      <c r="AQ247" s="1191"/>
    </row>
    <row r="248" spans="1:43" ht="17.25" customHeight="1">
      <c r="A248" s="1758"/>
      <c r="B248" s="1771"/>
      <c r="C248" s="1763"/>
      <c r="D248" s="8781"/>
      <c r="E248" s="8782"/>
      <c r="F248" s="8772"/>
      <c r="G248" s="8785"/>
      <c r="H248" s="8806"/>
      <c r="I248" s="8806"/>
      <c r="J248" s="8805"/>
      <c r="K248" s="8809"/>
      <c r="L248" s="8735"/>
      <c r="M248" s="8735"/>
      <c r="N248" s="8810"/>
      <c r="O248" s="8809"/>
      <c r="P248" s="8735"/>
      <c r="Q248" s="8735"/>
      <c r="R248" s="8812" t="s">
        <v>24</v>
      </c>
      <c r="S248" s="8804"/>
      <c r="T248" s="1355"/>
      <c r="U248" s="1356"/>
      <c r="V248" s="1356"/>
      <c r="W248" s="8805"/>
      <c r="Y248" s="1184"/>
      <c r="Z248" s="1184"/>
      <c r="AA248" s="1184"/>
      <c r="AB248" s="1184"/>
      <c r="AC248" s="1184"/>
      <c r="AD248" s="1184"/>
      <c r="AE248" s="1184"/>
      <c r="AF248" s="1184"/>
      <c r="AG248" s="1184"/>
      <c r="AH248" s="1184"/>
      <c r="AI248" s="1184"/>
      <c r="AJ248" s="1184"/>
      <c r="AK248" s="1184"/>
      <c r="AL248" s="1771"/>
      <c r="AM248" s="1771"/>
      <c r="AN248" s="1771"/>
      <c r="AO248" s="1771"/>
      <c r="AP248" s="1771"/>
      <c r="AQ248" s="1771"/>
    </row>
    <row r="249" spans="1:43" ht="17.25" customHeight="1">
      <c r="A249" s="1758"/>
      <c r="B249" s="1771"/>
      <c r="C249" s="1763"/>
      <c r="D249" s="8781"/>
      <c r="E249" s="8782"/>
      <c r="F249" s="8772"/>
      <c r="G249" s="8785"/>
      <c r="H249" s="8768"/>
      <c r="I249" s="8768"/>
      <c r="J249" s="8807"/>
      <c r="K249" s="8809"/>
      <c r="L249" s="8768"/>
      <c r="M249" s="8768"/>
      <c r="N249" s="8811"/>
      <c r="O249" s="8739"/>
      <c r="P249" s="236"/>
      <c r="Q249" s="237"/>
      <c r="R249" s="237" t="s">
        <v>314</v>
      </c>
      <c r="S249" s="1764"/>
      <c r="T249" s="1764"/>
      <c r="U249" s="1764"/>
      <c r="V249" s="1764"/>
      <c r="W249" s="1353"/>
      <c r="Y249" s="1184"/>
      <c r="Z249" s="1184"/>
      <c r="AA249" s="1184"/>
      <c r="AB249" s="1184"/>
      <c r="AC249" s="1184"/>
      <c r="AD249" s="1184"/>
      <c r="AE249" s="1184"/>
      <c r="AF249" s="1184"/>
      <c r="AG249" s="1184"/>
      <c r="AH249" s="1184"/>
      <c r="AI249" s="1184"/>
      <c r="AJ249" s="1184"/>
      <c r="AK249" s="1184"/>
      <c r="AL249" s="1771"/>
      <c r="AM249" s="1771"/>
      <c r="AN249" s="1771"/>
      <c r="AO249" s="1771"/>
      <c r="AP249" s="1771"/>
      <c r="AQ249" s="1771"/>
    </row>
    <row r="250" spans="1:43" ht="17.25" customHeight="1">
      <c r="A250" s="1758"/>
      <c r="B250" s="1771"/>
      <c r="C250" s="1763"/>
      <c r="D250" s="8781"/>
      <c r="E250" s="8782"/>
      <c r="F250" s="8772"/>
      <c r="G250" s="8785"/>
      <c r="H250" s="8768"/>
      <c r="I250" s="8768"/>
      <c r="J250" s="8807"/>
      <c r="K250" s="8739"/>
      <c r="L250" s="236"/>
      <c r="M250" s="237"/>
      <c r="N250" s="237" t="s">
        <v>315</v>
      </c>
      <c r="O250" s="237"/>
      <c r="P250" s="237"/>
      <c r="Q250" s="237"/>
      <c r="R250" s="237"/>
      <c r="S250" s="1764"/>
      <c r="T250" s="1764"/>
      <c r="U250" s="1764"/>
      <c r="V250" s="1764"/>
      <c r="W250" s="238"/>
      <c r="Y250" s="1184"/>
      <c r="Z250" s="1184"/>
      <c r="AA250" s="1184"/>
      <c r="AB250" s="1184"/>
      <c r="AC250" s="1184"/>
      <c r="AD250" s="1184"/>
      <c r="AE250" s="1184"/>
      <c r="AF250" s="1184"/>
      <c r="AG250" s="1184"/>
      <c r="AH250" s="1184"/>
      <c r="AI250" s="1184"/>
      <c r="AJ250" s="1184"/>
      <c r="AK250" s="1184"/>
      <c r="AL250" s="1771"/>
      <c r="AM250" s="1771"/>
      <c r="AN250" s="1771"/>
      <c r="AO250" s="1771"/>
      <c r="AP250" s="1771"/>
      <c r="AQ250" s="1771"/>
    </row>
    <row r="251" spans="1:43" ht="17.25" customHeight="1">
      <c r="A251" s="1758"/>
      <c r="B251" s="1771"/>
      <c r="C251" s="1760"/>
      <c r="D251" s="8781"/>
      <c r="E251" s="8782"/>
      <c r="F251" s="8772"/>
      <c r="G251" s="8785"/>
      <c r="H251" s="8806" t="s">
        <v>100</v>
      </c>
      <c r="I251" s="8806" t="s">
        <v>545</v>
      </c>
      <c r="J251" s="8805" t="s">
        <v>546</v>
      </c>
      <c r="K251" s="8808" t="s">
        <v>63</v>
      </c>
      <c r="L251" s="8735"/>
      <c r="M251" s="8735" t="s">
        <v>95</v>
      </c>
      <c r="N251" s="8810" t="str">
        <f>IF(Z251="","",INDEX(TERRITORY_MR_LIST,MATCH(Z251,TERRITORY_LIST_ID,0)))</f>
        <v>Территория 12</v>
      </c>
      <c r="O251" s="8808" t="s">
        <v>53</v>
      </c>
      <c r="P251" s="8735"/>
      <c r="Q251" s="8735" t="s">
        <v>95</v>
      </c>
      <c r="R251" s="8812" t="s">
        <v>24</v>
      </c>
      <c r="S251" s="8804" t="s">
        <v>53</v>
      </c>
      <c r="T251" s="1722"/>
      <c r="U251" s="1722" t="s">
        <v>95</v>
      </c>
      <c r="V251" s="1354"/>
      <c r="W251" s="8805"/>
      <c r="Y251" s="1191"/>
      <c r="Z251" s="1191" t="s">
        <v>146</v>
      </c>
      <c r="AA251" s="1191"/>
      <c r="AB251" s="1191"/>
      <c r="AC251" s="1191" t="s">
        <v>310</v>
      </c>
      <c r="AD251" s="1191" t="s">
        <v>547</v>
      </c>
      <c r="AE251" s="1191" t="s">
        <v>548</v>
      </c>
      <c r="AF251" s="1191" t="s">
        <v>549</v>
      </c>
      <c r="AG251" s="1191" t="s">
        <v>550</v>
      </c>
      <c r="AH251" s="1191" t="str">
        <f>IF($E$79=0,"",$E$79)</f>
        <v>Тариф на подвоз воды</v>
      </c>
      <c r="AI251" s="1191" t="str">
        <f>IF($G$79=0,"",$G$79)</f>
        <v>Холодное водоснабжение. Подвозная вода</v>
      </c>
      <c r="AJ251" s="1191" t="str">
        <f>IF($J$251=0,"",$J$251)</f>
        <v>Подвоз воды потребителям хутора Рынок</v>
      </c>
      <c r="AK251" s="1191" t="str">
        <f>IF($K$251="нет","без дифференциации",IF($N$251=0,"",$N$251))</f>
        <v>Территория 12</v>
      </c>
      <c r="AL251" s="1762" t="str">
        <f>IF($O$251="нет","без дифференциации",IF($R$251=0,"",$R$251))</f>
        <v>без дифференциации</v>
      </c>
      <c r="AM251" s="1762"/>
      <c r="AN251" s="1191" t="str">
        <f>$I$251</f>
        <v>44</v>
      </c>
      <c r="AO251" s="1191" t="str">
        <f>$I$251&amp;"."&amp;$M$251</f>
        <v>44.1</v>
      </c>
      <c r="AP251" s="1191" t="str">
        <f>$I$251&amp;"."&amp;$M$251&amp;"."&amp;$Q$251</f>
        <v>44.1.1</v>
      </c>
      <c r="AQ251" s="1191"/>
    </row>
    <row r="252" spans="1:43" ht="17.25" customHeight="1">
      <c r="A252" s="1758"/>
      <c r="B252" s="1771"/>
      <c r="C252" s="1763"/>
      <c r="D252" s="8781"/>
      <c r="E252" s="8782"/>
      <c r="F252" s="8772"/>
      <c r="G252" s="8785"/>
      <c r="H252" s="8806"/>
      <c r="I252" s="8806"/>
      <c r="J252" s="8805"/>
      <c r="K252" s="8809"/>
      <c r="L252" s="8735"/>
      <c r="M252" s="8735"/>
      <c r="N252" s="8810"/>
      <c r="O252" s="8809"/>
      <c r="P252" s="8735"/>
      <c r="Q252" s="8735"/>
      <c r="R252" s="8812" t="s">
        <v>24</v>
      </c>
      <c r="S252" s="8804"/>
      <c r="T252" s="1355"/>
      <c r="U252" s="1356"/>
      <c r="V252" s="1356"/>
      <c r="W252" s="8805"/>
      <c r="Y252" s="1184"/>
      <c r="Z252" s="1184"/>
      <c r="AA252" s="1184"/>
      <c r="AB252" s="1184"/>
      <c r="AC252" s="1184"/>
      <c r="AD252" s="1184"/>
      <c r="AE252" s="1184"/>
      <c r="AF252" s="1184"/>
      <c r="AG252" s="1184"/>
      <c r="AH252" s="1184"/>
      <c r="AI252" s="1184"/>
      <c r="AJ252" s="1184"/>
      <c r="AK252" s="1184"/>
      <c r="AL252" s="1771"/>
      <c r="AM252" s="1771"/>
      <c r="AN252" s="1771"/>
      <c r="AO252" s="1771"/>
      <c r="AP252" s="1771"/>
      <c r="AQ252" s="1771"/>
    </row>
    <row r="253" spans="1:43" ht="17.25" customHeight="1">
      <c r="A253" s="1758"/>
      <c r="B253" s="1771"/>
      <c r="C253" s="1763"/>
      <c r="D253" s="8781"/>
      <c r="E253" s="8782"/>
      <c r="F253" s="8772"/>
      <c r="G253" s="8785"/>
      <c r="H253" s="8768"/>
      <c r="I253" s="8768"/>
      <c r="J253" s="8807"/>
      <c r="K253" s="8809"/>
      <c r="L253" s="8768"/>
      <c r="M253" s="8768"/>
      <c r="N253" s="8811"/>
      <c r="O253" s="8739"/>
      <c r="P253" s="236"/>
      <c r="Q253" s="237"/>
      <c r="R253" s="237" t="s">
        <v>314</v>
      </c>
      <c r="S253" s="1764"/>
      <c r="T253" s="1764"/>
      <c r="U253" s="1764"/>
      <c r="V253" s="1764"/>
      <c r="W253" s="1353"/>
      <c r="Y253" s="1184"/>
      <c r="Z253" s="1184"/>
      <c r="AA253" s="1184"/>
      <c r="AB253" s="1184"/>
      <c r="AC253" s="1184"/>
      <c r="AD253" s="1184"/>
      <c r="AE253" s="1184"/>
      <c r="AF253" s="1184"/>
      <c r="AG253" s="1184"/>
      <c r="AH253" s="1184"/>
      <c r="AI253" s="1184"/>
      <c r="AJ253" s="1184"/>
      <c r="AK253" s="1184"/>
      <c r="AL253" s="1771"/>
      <c r="AM253" s="1771"/>
      <c r="AN253" s="1771"/>
      <c r="AO253" s="1771"/>
      <c r="AP253" s="1771"/>
      <c r="AQ253" s="1771"/>
    </row>
    <row r="254" spans="1:43" ht="17.25" customHeight="1">
      <c r="A254" s="1758"/>
      <c r="B254" s="1771"/>
      <c r="C254" s="1763"/>
      <c r="D254" s="8781"/>
      <c r="E254" s="8782"/>
      <c r="F254" s="8772"/>
      <c r="G254" s="8785"/>
      <c r="H254" s="8768"/>
      <c r="I254" s="8768"/>
      <c r="J254" s="8807"/>
      <c r="K254" s="8739"/>
      <c r="L254" s="236"/>
      <c r="M254" s="237"/>
      <c r="N254" s="237" t="s">
        <v>315</v>
      </c>
      <c r="O254" s="237"/>
      <c r="P254" s="237"/>
      <c r="Q254" s="237"/>
      <c r="R254" s="237"/>
      <c r="S254" s="1764"/>
      <c r="T254" s="1764"/>
      <c r="U254" s="1764"/>
      <c r="V254" s="1764"/>
      <c r="W254" s="238"/>
      <c r="Y254" s="1184"/>
      <c r="Z254" s="1184"/>
      <c r="AA254" s="1184"/>
      <c r="AB254" s="1184"/>
      <c r="AC254" s="1184"/>
      <c r="AD254" s="1184"/>
      <c r="AE254" s="1184"/>
      <c r="AF254" s="1184"/>
      <c r="AG254" s="1184"/>
      <c r="AH254" s="1184"/>
      <c r="AI254" s="1184"/>
      <c r="AJ254" s="1184"/>
      <c r="AK254" s="1184"/>
      <c r="AL254" s="1771"/>
      <c r="AM254" s="1771"/>
      <c r="AN254" s="1771"/>
      <c r="AO254" s="1771"/>
      <c r="AP254" s="1771"/>
      <c r="AQ254" s="1771"/>
    </row>
    <row r="255" spans="1:43" ht="17.25" customHeight="1">
      <c r="A255" s="1758"/>
      <c r="B255" s="1771"/>
      <c r="C255" s="1760"/>
      <c r="D255" s="8781"/>
      <c r="E255" s="8782"/>
      <c r="F255" s="8772"/>
      <c r="G255" s="8785"/>
      <c r="H255" s="8806" t="s">
        <v>100</v>
      </c>
      <c r="I255" s="8806" t="s">
        <v>551</v>
      </c>
      <c r="J255" s="8805" t="s">
        <v>552</v>
      </c>
      <c r="K255" s="8808" t="s">
        <v>63</v>
      </c>
      <c r="L255" s="8735"/>
      <c r="M255" s="8735" t="s">
        <v>95</v>
      </c>
      <c r="N255" s="8810" t="str">
        <f>IF(Z255="","",INDEX(TERRITORY_MR_LIST,MATCH(Z255,TERRITORY_LIST_ID,0)))</f>
        <v>Территория 12</v>
      </c>
      <c r="O255" s="8808" t="s">
        <v>53</v>
      </c>
      <c r="P255" s="8735"/>
      <c r="Q255" s="8735" t="s">
        <v>95</v>
      </c>
      <c r="R255" s="8812" t="s">
        <v>24</v>
      </c>
      <c r="S255" s="8804" t="s">
        <v>53</v>
      </c>
      <c r="T255" s="1722"/>
      <c r="U255" s="1722" t="s">
        <v>95</v>
      </c>
      <c r="V255" s="1354"/>
      <c r="W255" s="8805"/>
      <c r="Y255" s="1191"/>
      <c r="Z255" s="1191" t="s">
        <v>146</v>
      </c>
      <c r="AA255" s="1191"/>
      <c r="AB255" s="1191"/>
      <c r="AC255" s="1191" t="s">
        <v>310</v>
      </c>
      <c r="AD255" s="1191" t="s">
        <v>553</v>
      </c>
      <c r="AE255" s="1191" t="s">
        <v>554</v>
      </c>
      <c r="AF255" s="1191" t="s">
        <v>555</v>
      </c>
      <c r="AG255" s="1191" t="s">
        <v>556</v>
      </c>
      <c r="AH255" s="1191" t="str">
        <f>IF($E$79=0,"",$E$79)</f>
        <v>Тариф на подвоз воды</v>
      </c>
      <c r="AI255" s="1191" t="str">
        <f>IF($G$79=0,"",$G$79)</f>
        <v>Холодное водоснабжение. Подвозная вода</v>
      </c>
      <c r="AJ255" s="1191" t="str">
        <f>IF($J$255=0,"",$J$255)</f>
        <v>Подвоз воды потребителям хутора Польского</v>
      </c>
      <c r="AK255" s="1191" t="str">
        <f>IF($K$255="нет","без дифференциации",IF($N$255=0,"",$N$255))</f>
        <v>Территория 12</v>
      </c>
      <c r="AL255" s="1762" t="str">
        <f>IF($O$255="нет","без дифференциации",IF($R$255=0,"",$R$255))</f>
        <v>без дифференциации</v>
      </c>
      <c r="AM255" s="1762"/>
      <c r="AN255" s="1191" t="str">
        <f>$I$255</f>
        <v>45</v>
      </c>
      <c r="AO255" s="1191" t="str">
        <f>$I$255&amp;"."&amp;$M$255</f>
        <v>45.1</v>
      </c>
      <c r="AP255" s="1191" t="str">
        <f>$I$255&amp;"."&amp;$M$255&amp;"."&amp;$Q$255</f>
        <v>45.1.1</v>
      </c>
      <c r="AQ255" s="1191"/>
    </row>
    <row r="256" spans="1:43" ht="17.25" customHeight="1">
      <c r="A256" s="1758"/>
      <c r="B256" s="1771"/>
      <c r="C256" s="1763"/>
      <c r="D256" s="8781"/>
      <c r="E256" s="8782"/>
      <c r="F256" s="8772"/>
      <c r="G256" s="8785"/>
      <c r="H256" s="8806"/>
      <c r="I256" s="8806"/>
      <c r="J256" s="8805"/>
      <c r="K256" s="8809"/>
      <c r="L256" s="8735"/>
      <c r="M256" s="8735"/>
      <c r="N256" s="8810"/>
      <c r="O256" s="8809"/>
      <c r="P256" s="8735"/>
      <c r="Q256" s="8735"/>
      <c r="R256" s="8812" t="s">
        <v>24</v>
      </c>
      <c r="S256" s="8804"/>
      <c r="T256" s="1355"/>
      <c r="U256" s="1356"/>
      <c r="V256" s="1356"/>
      <c r="W256" s="8805"/>
      <c r="Y256" s="1184"/>
      <c r="Z256" s="1184"/>
      <c r="AA256" s="1184"/>
      <c r="AB256" s="1184"/>
      <c r="AC256" s="1184"/>
      <c r="AD256" s="1184"/>
      <c r="AE256" s="1184"/>
      <c r="AF256" s="1184"/>
      <c r="AG256" s="1184"/>
      <c r="AH256" s="1184"/>
      <c r="AI256" s="1184"/>
      <c r="AJ256" s="1184"/>
      <c r="AK256" s="1184"/>
      <c r="AL256" s="1771"/>
      <c r="AM256" s="1771"/>
      <c r="AN256" s="1771"/>
      <c r="AO256" s="1771"/>
      <c r="AP256" s="1771"/>
      <c r="AQ256" s="1771"/>
    </row>
    <row r="257" spans="1:43" ht="17.25" customHeight="1">
      <c r="A257" s="1758"/>
      <c r="B257" s="1771"/>
      <c r="C257" s="1763"/>
      <c r="D257" s="8781"/>
      <c r="E257" s="8782"/>
      <c r="F257" s="8772"/>
      <c r="G257" s="8785"/>
      <c r="H257" s="8768"/>
      <c r="I257" s="8768"/>
      <c r="J257" s="8807"/>
      <c r="K257" s="8809"/>
      <c r="L257" s="8768"/>
      <c r="M257" s="8768"/>
      <c r="N257" s="8811"/>
      <c r="O257" s="8739"/>
      <c r="P257" s="236"/>
      <c r="Q257" s="237"/>
      <c r="R257" s="237" t="s">
        <v>314</v>
      </c>
      <c r="S257" s="1764"/>
      <c r="T257" s="1764"/>
      <c r="U257" s="1764"/>
      <c r="V257" s="1764"/>
      <c r="W257" s="1353"/>
      <c r="Y257" s="1184"/>
      <c r="Z257" s="1184"/>
      <c r="AA257" s="1184"/>
      <c r="AB257" s="1184"/>
      <c r="AC257" s="1184"/>
      <c r="AD257" s="1184"/>
      <c r="AE257" s="1184"/>
      <c r="AF257" s="1184"/>
      <c r="AG257" s="1184"/>
      <c r="AH257" s="1184"/>
      <c r="AI257" s="1184"/>
      <c r="AJ257" s="1184"/>
      <c r="AK257" s="1184"/>
      <c r="AL257" s="1771"/>
      <c r="AM257" s="1771"/>
      <c r="AN257" s="1771"/>
      <c r="AO257" s="1771"/>
      <c r="AP257" s="1771"/>
      <c r="AQ257" s="1771"/>
    </row>
    <row r="258" spans="1:43" ht="17.25" customHeight="1">
      <c r="A258" s="1758"/>
      <c r="B258" s="1771"/>
      <c r="C258" s="1763"/>
      <c r="D258" s="8781"/>
      <c r="E258" s="8782"/>
      <c r="F258" s="8772"/>
      <c r="G258" s="8785"/>
      <c r="H258" s="8768"/>
      <c r="I258" s="8768"/>
      <c r="J258" s="8807"/>
      <c r="K258" s="8739"/>
      <c r="L258" s="236"/>
      <c r="M258" s="237"/>
      <c r="N258" s="237" t="s">
        <v>315</v>
      </c>
      <c r="O258" s="237"/>
      <c r="P258" s="237"/>
      <c r="Q258" s="237"/>
      <c r="R258" s="237"/>
      <c r="S258" s="1764"/>
      <c r="T258" s="1764"/>
      <c r="U258" s="1764"/>
      <c r="V258" s="1764"/>
      <c r="W258" s="238"/>
      <c r="Y258" s="1184"/>
      <c r="Z258" s="1184"/>
      <c r="AA258" s="1184"/>
      <c r="AB258" s="1184"/>
      <c r="AC258" s="1184"/>
      <c r="AD258" s="1184"/>
      <c r="AE258" s="1184"/>
      <c r="AF258" s="1184"/>
      <c r="AG258" s="1184"/>
      <c r="AH258" s="1184"/>
      <c r="AI258" s="1184"/>
      <c r="AJ258" s="1184"/>
      <c r="AK258" s="1184"/>
      <c r="AL258" s="1771"/>
      <c r="AM258" s="1771"/>
      <c r="AN258" s="1771"/>
      <c r="AO258" s="1771"/>
      <c r="AP258" s="1771"/>
      <c r="AQ258" s="1771"/>
    </row>
    <row r="259" spans="1:43" ht="17.25" customHeight="1">
      <c r="A259" s="1758"/>
      <c r="B259" s="1771"/>
      <c r="C259" s="1760"/>
      <c r="D259" s="8781"/>
      <c r="E259" s="8782"/>
      <c r="F259" s="8772"/>
      <c r="G259" s="8785"/>
      <c r="H259" s="8806" t="s">
        <v>100</v>
      </c>
      <c r="I259" s="8806" t="s">
        <v>557</v>
      </c>
      <c r="J259" s="8805" t="s">
        <v>558</v>
      </c>
      <c r="K259" s="8808" t="s">
        <v>63</v>
      </c>
      <c r="L259" s="8735"/>
      <c r="M259" s="8735" t="s">
        <v>95</v>
      </c>
      <c r="N259" s="8810" t="str">
        <f>IF(Z259="","",INDEX(TERRITORY_MR_LIST,MATCH(Z259,TERRITORY_LIST_ID,0)))</f>
        <v>Территория 13</v>
      </c>
      <c r="O259" s="8808" t="s">
        <v>53</v>
      </c>
      <c r="P259" s="8735"/>
      <c r="Q259" s="8735" t="s">
        <v>95</v>
      </c>
      <c r="R259" s="8812" t="s">
        <v>24</v>
      </c>
      <c r="S259" s="8804" t="s">
        <v>53</v>
      </c>
      <c r="T259" s="1722"/>
      <c r="U259" s="1722" t="s">
        <v>95</v>
      </c>
      <c r="V259" s="1354"/>
      <c r="W259" s="8805"/>
      <c r="Y259" s="1191"/>
      <c r="Z259" s="1191" t="s">
        <v>151</v>
      </c>
      <c r="AA259" s="1191"/>
      <c r="AB259" s="1191"/>
      <c r="AC259" s="1191" t="s">
        <v>310</v>
      </c>
      <c r="AD259" s="1191" t="s">
        <v>559</v>
      </c>
      <c r="AE259" s="1191" t="s">
        <v>560</v>
      </c>
      <c r="AF259" s="1191" t="s">
        <v>561</v>
      </c>
      <c r="AG259" s="1191" t="s">
        <v>562</v>
      </c>
      <c r="AH259" s="1191" t="str">
        <f>IF($E$79=0,"",$E$79)</f>
        <v>Тариф на подвоз воды</v>
      </c>
      <c r="AI259" s="1191" t="str">
        <f>IF($G$79=0,"",$G$79)</f>
        <v>Холодное водоснабжение. Подвозная вода</v>
      </c>
      <c r="AJ259" s="1191" t="str">
        <f>IF($J$259=0,"",$J$259)</f>
        <v>Подвоз воды потребителям поселка Рогового</v>
      </c>
      <c r="AK259" s="1191" t="str">
        <f>IF($K$259="нет","без дифференциации",IF($N$259=0,"",$N$259))</f>
        <v>Территория 13</v>
      </c>
      <c r="AL259" s="1762" t="str">
        <f>IF($O$259="нет","без дифференциации",IF($R$259=0,"",$R$259))</f>
        <v>без дифференциации</v>
      </c>
      <c r="AM259" s="1762"/>
      <c r="AN259" s="1191" t="str">
        <f>$I$259</f>
        <v>46</v>
      </c>
      <c r="AO259" s="1191" t="str">
        <f>$I$259&amp;"."&amp;$M$259</f>
        <v>46.1</v>
      </c>
      <c r="AP259" s="1191" t="str">
        <f>$I$259&amp;"."&amp;$M$259&amp;"."&amp;$Q$259</f>
        <v>46.1.1</v>
      </c>
      <c r="AQ259" s="1191"/>
    </row>
    <row r="260" spans="1:43" ht="17.25" customHeight="1">
      <c r="A260" s="1758"/>
      <c r="B260" s="1771"/>
      <c r="C260" s="1763"/>
      <c r="D260" s="8781"/>
      <c r="E260" s="8782"/>
      <c r="F260" s="8772"/>
      <c r="G260" s="8785"/>
      <c r="H260" s="8806"/>
      <c r="I260" s="8806"/>
      <c r="J260" s="8805"/>
      <c r="K260" s="8809"/>
      <c r="L260" s="8735"/>
      <c r="M260" s="8735"/>
      <c r="N260" s="8810"/>
      <c r="O260" s="8809"/>
      <c r="P260" s="8735"/>
      <c r="Q260" s="8735"/>
      <c r="R260" s="8812" t="s">
        <v>24</v>
      </c>
      <c r="S260" s="8804"/>
      <c r="T260" s="1355"/>
      <c r="U260" s="1356"/>
      <c r="V260" s="1356"/>
      <c r="W260" s="8805"/>
      <c r="Y260" s="1184"/>
      <c r="Z260" s="1184"/>
      <c r="AA260" s="1184"/>
      <c r="AB260" s="1184"/>
      <c r="AC260" s="1184"/>
      <c r="AD260" s="1184"/>
      <c r="AE260" s="1184"/>
      <c r="AF260" s="1184"/>
      <c r="AG260" s="1184"/>
      <c r="AH260" s="1184"/>
      <c r="AI260" s="1184"/>
      <c r="AJ260" s="1184"/>
      <c r="AK260" s="1184"/>
      <c r="AL260" s="1771"/>
      <c r="AM260" s="1771"/>
      <c r="AN260" s="1771"/>
      <c r="AO260" s="1771"/>
      <c r="AP260" s="1771"/>
      <c r="AQ260" s="1771"/>
    </row>
    <row r="261" spans="1:43" ht="17.25" customHeight="1">
      <c r="A261" s="1758"/>
      <c r="B261" s="1771"/>
      <c r="C261" s="1763"/>
      <c r="D261" s="8781"/>
      <c r="E261" s="8782"/>
      <c r="F261" s="8772"/>
      <c r="G261" s="8785"/>
      <c r="H261" s="8768"/>
      <c r="I261" s="8768"/>
      <c r="J261" s="8807"/>
      <c r="K261" s="8809"/>
      <c r="L261" s="8768"/>
      <c r="M261" s="8768"/>
      <c r="N261" s="8811"/>
      <c r="O261" s="8739"/>
      <c r="P261" s="236"/>
      <c r="Q261" s="237"/>
      <c r="R261" s="237" t="s">
        <v>314</v>
      </c>
      <c r="S261" s="1764"/>
      <c r="T261" s="1764"/>
      <c r="U261" s="1764"/>
      <c r="V261" s="1764"/>
      <c r="W261" s="1353"/>
      <c r="Y261" s="1184"/>
      <c r="Z261" s="1184"/>
      <c r="AA261" s="1184"/>
      <c r="AB261" s="1184"/>
      <c r="AC261" s="1184"/>
      <c r="AD261" s="1184"/>
      <c r="AE261" s="1184"/>
      <c r="AF261" s="1184"/>
      <c r="AG261" s="1184"/>
      <c r="AH261" s="1184"/>
      <c r="AI261" s="1184"/>
      <c r="AJ261" s="1184"/>
      <c r="AK261" s="1184"/>
      <c r="AL261" s="1771"/>
      <c r="AM261" s="1771"/>
      <c r="AN261" s="1771"/>
      <c r="AO261" s="1771"/>
      <c r="AP261" s="1771"/>
      <c r="AQ261" s="1771"/>
    </row>
    <row r="262" spans="1:43" ht="17.25" customHeight="1">
      <c r="A262" s="1758"/>
      <c r="B262" s="1771"/>
      <c r="C262" s="1763"/>
      <c r="D262" s="8781"/>
      <c r="E262" s="8782"/>
      <c r="F262" s="8772"/>
      <c r="G262" s="8785"/>
      <c r="H262" s="8768"/>
      <c r="I262" s="8768"/>
      <c r="J262" s="8807"/>
      <c r="K262" s="8739"/>
      <c r="L262" s="236"/>
      <c r="M262" s="237"/>
      <c r="N262" s="237" t="s">
        <v>315</v>
      </c>
      <c r="O262" s="237"/>
      <c r="P262" s="237"/>
      <c r="Q262" s="237"/>
      <c r="R262" s="237"/>
      <c r="S262" s="1764"/>
      <c r="T262" s="1764"/>
      <c r="U262" s="1764"/>
      <c r="V262" s="1764"/>
      <c r="W262" s="238"/>
      <c r="Y262" s="1184"/>
      <c r="Z262" s="1184"/>
      <c r="AA262" s="1184"/>
      <c r="AB262" s="1184"/>
      <c r="AC262" s="1184"/>
      <c r="AD262" s="1184"/>
      <c r="AE262" s="1184"/>
      <c r="AF262" s="1184"/>
      <c r="AG262" s="1184"/>
      <c r="AH262" s="1184"/>
      <c r="AI262" s="1184"/>
      <c r="AJ262" s="1184"/>
      <c r="AK262" s="1184"/>
      <c r="AL262" s="1771"/>
      <c r="AM262" s="1771"/>
      <c r="AN262" s="1771"/>
      <c r="AO262" s="1771"/>
      <c r="AP262" s="1771"/>
      <c r="AQ262" s="1771"/>
    </row>
    <row r="263" spans="1:43" ht="17.25" customHeight="1">
      <c r="A263" s="1758"/>
      <c r="B263" s="1771"/>
      <c r="C263" s="1760"/>
      <c r="D263" s="8781"/>
      <c r="E263" s="8782"/>
      <c r="F263" s="8772"/>
      <c r="G263" s="8785"/>
      <c r="H263" s="8806" t="s">
        <v>100</v>
      </c>
      <c r="I263" s="8806" t="s">
        <v>563</v>
      </c>
      <c r="J263" s="8805" t="s">
        <v>564</v>
      </c>
      <c r="K263" s="8808" t="s">
        <v>63</v>
      </c>
      <c r="L263" s="8735"/>
      <c r="M263" s="8735" t="s">
        <v>95</v>
      </c>
      <c r="N263" s="8810" t="str">
        <f>IF(Z263="","",INDEX(TERRITORY_MR_LIST,MATCH(Z263,TERRITORY_LIST_ID,0)))</f>
        <v>Территория 13</v>
      </c>
      <c r="O263" s="8808" t="s">
        <v>53</v>
      </c>
      <c r="P263" s="8735"/>
      <c r="Q263" s="8735" t="s">
        <v>95</v>
      </c>
      <c r="R263" s="8812" t="s">
        <v>24</v>
      </c>
      <c r="S263" s="8804" t="s">
        <v>53</v>
      </c>
      <c r="T263" s="1722"/>
      <c r="U263" s="1722" t="s">
        <v>95</v>
      </c>
      <c r="V263" s="1354"/>
      <c r="W263" s="8805"/>
      <c r="Y263" s="1191"/>
      <c r="Z263" s="1191" t="s">
        <v>151</v>
      </c>
      <c r="AA263" s="1191"/>
      <c r="AB263" s="1191"/>
      <c r="AC263" s="1191" t="s">
        <v>310</v>
      </c>
      <c r="AD263" s="1191" t="s">
        <v>565</v>
      </c>
      <c r="AE263" s="1191" t="s">
        <v>566</v>
      </c>
      <c r="AF263" s="1191" t="s">
        <v>567</v>
      </c>
      <c r="AG263" s="1191" t="s">
        <v>568</v>
      </c>
      <c r="AH263" s="1191" t="str">
        <f>IF($E$79=0,"",$E$79)</f>
        <v>Тариф на подвоз воды</v>
      </c>
      <c r="AI263" s="1191" t="str">
        <f>IF($G$79=0,"",$G$79)</f>
        <v>Холодное водоснабжение. Подвозная вода</v>
      </c>
      <c r="AJ263" s="1191" t="str">
        <f>IF($J$263=0,"",$J$263)</f>
        <v>Подвоз воды потребителям поселка Приэтокского</v>
      </c>
      <c r="AK263" s="1191" t="str">
        <f>IF($K$263="нет","без дифференциации",IF($N$263=0,"",$N$263))</f>
        <v>Территория 13</v>
      </c>
      <c r="AL263" s="1762" t="str">
        <f>IF($O$263="нет","без дифференциации",IF($R$263=0,"",$R$263))</f>
        <v>без дифференциации</v>
      </c>
      <c r="AM263" s="1762"/>
      <c r="AN263" s="1191" t="str">
        <f>$I$263</f>
        <v>47</v>
      </c>
      <c r="AO263" s="1191" t="str">
        <f>$I$263&amp;"."&amp;$M$263</f>
        <v>47.1</v>
      </c>
      <c r="AP263" s="1191" t="str">
        <f>$I$263&amp;"."&amp;$M$263&amp;"."&amp;$Q$263</f>
        <v>47.1.1</v>
      </c>
      <c r="AQ263" s="1191"/>
    </row>
    <row r="264" spans="1:43" ht="17.25" customHeight="1">
      <c r="A264" s="1758"/>
      <c r="B264" s="1771"/>
      <c r="C264" s="1763"/>
      <c r="D264" s="8781"/>
      <c r="E264" s="8782"/>
      <c r="F264" s="8772"/>
      <c r="G264" s="8785"/>
      <c r="H264" s="8806"/>
      <c r="I264" s="8806"/>
      <c r="J264" s="8805"/>
      <c r="K264" s="8809"/>
      <c r="L264" s="8735"/>
      <c r="M264" s="8735"/>
      <c r="N264" s="8810"/>
      <c r="O264" s="8809"/>
      <c r="P264" s="8735"/>
      <c r="Q264" s="8735"/>
      <c r="R264" s="8812" t="s">
        <v>24</v>
      </c>
      <c r="S264" s="8804"/>
      <c r="T264" s="1355"/>
      <c r="U264" s="1356"/>
      <c r="V264" s="1356"/>
      <c r="W264" s="8805"/>
      <c r="Y264" s="1184"/>
      <c r="Z264" s="1184"/>
      <c r="AA264" s="1184"/>
      <c r="AB264" s="1184"/>
      <c r="AC264" s="1184"/>
      <c r="AD264" s="1184"/>
      <c r="AE264" s="1184"/>
      <c r="AF264" s="1184"/>
      <c r="AG264" s="1184"/>
      <c r="AH264" s="1184"/>
      <c r="AI264" s="1184"/>
      <c r="AJ264" s="1184"/>
      <c r="AK264" s="1184"/>
      <c r="AL264" s="1771"/>
      <c r="AM264" s="1771"/>
      <c r="AN264" s="1771"/>
      <c r="AO264" s="1771"/>
      <c r="AP264" s="1771"/>
      <c r="AQ264" s="1771"/>
    </row>
    <row r="265" spans="1:43" ht="17.25" customHeight="1">
      <c r="A265" s="1758"/>
      <c r="B265" s="1771"/>
      <c r="C265" s="1763"/>
      <c r="D265" s="8781"/>
      <c r="E265" s="8782"/>
      <c r="F265" s="8772"/>
      <c r="G265" s="8785"/>
      <c r="H265" s="8768"/>
      <c r="I265" s="8768"/>
      <c r="J265" s="8807"/>
      <c r="K265" s="8809"/>
      <c r="L265" s="8768"/>
      <c r="M265" s="8768"/>
      <c r="N265" s="8811"/>
      <c r="O265" s="8739"/>
      <c r="P265" s="236"/>
      <c r="Q265" s="237"/>
      <c r="R265" s="237" t="s">
        <v>314</v>
      </c>
      <c r="S265" s="1764"/>
      <c r="T265" s="1764"/>
      <c r="U265" s="1764"/>
      <c r="V265" s="1764"/>
      <c r="W265" s="1353"/>
      <c r="Y265" s="1184"/>
      <c r="Z265" s="1184"/>
      <c r="AA265" s="1184"/>
      <c r="AB265" s="1184"/>
      <c r="AC265" s="1184"/>
      <c r="AD265" s="1184"/>
      <c r="AE265" s="1184"/>
      <c r="AF265" s="1184"/>
      <c r="AG265" s="1184"/>
      <c r="AH265" s="1184"/>
      <c r="AI265" s="1184"/>
      <c r="AJ265" s="1184"/>
      <c r="AK265" s="1184"/>
      <c r="AL265" s="1771"/>
      <c r="AM265" s="1771"/>
      <c r="AN265" s="1771"/>
      <c r="AO265" s="1771"/>
      <c r="AP265" s="1771"/>
      <c r="AQ265" s="1771"/>
    </row>
    <row r="266" spans="1:43" ht="17.25" customHeight="1">
      <c r="A266" s="1758"/>
      <c r="B266" s="1771"/>
      <c r="C266" s="1763"/>
      <c r="D266" s="8781"/>
      <c r="E266" s="8782"/>
      <c r="F266" s="8772"/>
      <c r="G266" s="8785"/>
      <c r="H266" s="8768"/>
      <c r="I266" s="8768"/>
      <c r="J266" s="8807"/>
      <c r="K266" s="8739"/>
      <c r="L266" s="236"/>
      <c r="M266" s="237"/>
      <c r="N266" s="237" t="s">
        <v>315</v>
      </c>
      <c r="O266" s="237"/>
      <c r="P266" s="237"/>
      <c r="Q266" s="237"/>
      <c r="R266" s="237"/>
      <c r="S266" s="1764"/>
      <c r="T266" s="1764"/>
      <c r="U266" s="1764"/>
      <c r="V266" s="1764"/>
      <c r="W266" s="238"/>
      <c r="Y266" s="1184"/>
      <c r="Z266" s="1184"/>
      <c r="AA266" s="1184"/>
      <c r="AB266" s="1184"/>
      <c r="AC266" s="1184"/>
      <c r="AD266" s="1184"/>
      <c r="AE266" s="1184"/>
      <c r="AF266" s="1184"/>
      <c r="AG266" s="1184"/>
      <c r="AH266" s="1184"/>
      <c r="AI266" s="1184"/>
      <c r="AJ266" s="1184"/>
      <c r="AK266" s="1184"/>
      <c r="AL266" s="1771"/>
      <c r="AM266" s="1771"/>
      <c r="AN266" s="1771"/>
      <c r="AO266" s="1771"/>
      <c r="AP266" s="1771"/>
      <c r="AQ266" s="1771"/>
    </row>
    <row r="267" spans="1:43" ht="17.25" customHeight="1">
      <c r="A267" s="1758"/>
      <c r="B267" s="1771"/>
      <c r="C267" s="1760"/>
      <c r="D267" s="8781"/>
      <c r="E267" s="8782"/>
      <c r="F267" s="8772"/>
      <c r="G267" s="8785"/>
      <c r="H267" s="8806" t="s">
        <v>100</v>
      </c>
      <c r="I267" s="8806" t="s">
        <v>569</v>
      </c>
      <c r="J267" s="8805" t="s">
        <v>570</v>
      </c>
      <c r="K267" s="8808" t="s">
        <v>63</v>
      </c>
      <c r="L267" s="8735"/>
      <c r="M267" s="8735" t="s">
        <v>95</v>
      </c>
      <c r="N267" s="8810" t="str">
        <f>IF(Z267="","",INDEX(TERRITORY_MR_LIST,MATCH(Z267,TERRITORY_LIST_ID,0)))</f>
        <v>Территория 13</v>
      </c>
      <c r="O267" s="8808" t="s">
        <v>53</v>
      </c>
      <c r="P267" s="8735"/>
      <c r="Q267" s="8735" t="s">
        <v>95</v>
      </c>
      <c r="R267" s="8812" t="s">
        <v>24</v>
      </c>
      <c r="S267" s="8804" t="s">
        <v>53</v>
      </c>
      <c r="T267" s="1722"/>
      <c r="U267" s="1722" t="s">
        <v>95</v>
      </c>
      <c r="V267" s="1354"/>
      <c r="W267" s="8805"/>
      <c r="Y267" s="1191"/>
      <c r="Z267" s="1191" t="s">
        <v>151</v>
      </c>
      <c r="AA267" s="1191"/>
      <c r="AB267" s="1191"/>
      <c r="AC267" s="1191" t="s">
        <v>310</v>
      </c>
      <c r="AD267" s="1191" t="s">
        <v>571</v>
      </c>
      <c r="AE267" s="1191" t="s">
        <v>572</v>
      </c>
      <c r="AF267" s="1191" t="s">
        <v>573</v>
      </c>
      <c r="AG267" s="1191" t="s">
        <v>574</v>
      </c>
      <c r="AH267" s="1191" t="str">
        <f>IF($E$79=0,"",$E$79)</f>
        <v>Тариф на подвоз воды</v>
      </c>
      <c r="AI267" s="1191" t="str">
        <f>IF($G$79=0,"",$G$79)</f>
        <v>Холодное водоснабжение. Подвозная вода</v>
      </c>
      <c r="AJ267" s="1191" t="str">
        <f>IF($J$267=0,"",$J$267)</f>
        <v>Подвоз воды потребителям поселка Ореховая Роща</v>
      </c>
      <c r="AK267" s="1191" t="str">
        <f>IF($K$267="нет","без дифференциации",IF($N$267=0,"",$N$267))</f>
        <v>Территория 13</v>
      </c>
      <c r="AL267" s="1762" t="str">
        <f>IF($O$267="нет","без дифференциации",IF($R$267=0,"",$R$267))</f>
        <v>без дифференциации</v>
      </c>
      <c r="AM267" s="1762"/>
      <c r="AN267" s="1191" t="str">
        <f>$I$267</f>
        <v>48</v>
      </c>
      <c r="AO267" s="1191" t="str">
        <f>$I$267&amp;"."&amp;$M$267</f>
        <v>48.1</v>
      </c>
      <c r="AP267" s="1191" t="str">
        <f>$I$267&amp;"."&amp;$M$267&amp;"."&amp;$Q$267</f>
        <v>48.1.1</v>
      </c>
      <c r="AQ267" s="1191"/>
    </row>
    <row r="268" spans="1:43" ht="17.25" customHeight="1">
      <c r="A268" s="1758"/>
      <c r="B268" s="1771"/>
      <c r="C268" s="1763"/>
      <c r="D268" s="8781"/>
      <c r="E268" s="8782"/>
      <c r="F268" s="8772"/>
      <c r="G268" s="8785"/>
      <c r="H268" s="8806"/>
      <c r="I268" s="8806"/>
      <c r="J268" s="8805"/>
      <c r="K268" s="8809"/>
      <c r="L268" s="8735"/>
      <c r="M268" s="8735"/>
      <c r="N268" s="8810"/>
      <c r="O268" s="8809"/>
      <c r="P268" s="8735"/>
      <c r="Q268" s="8735"/>
      <c r="R268" s="8812" t="s">
        <v>24</v>
      </c>
      <c r="S268" s="8804"/>
      <c r="T268" s="1355"/>
      <c r="U268" s="1356"/>
      <c r="V268" s="1356"/>
      <c r="W268" s="8805"/>
      <c r="Y268" s="1184"/>
      <c r="Z268" s="1184"/>
      <c r="AA268" s="1184"/>
      <c r="AB268" s="1184"/>
      <c r="AC268" s="1184"/>
      <c r="AD268" s="1184"/>
      <c r="AE268" s="1184"/>
      <c r="AF268" s="1184"/>
      <c r="AG268" s="1184"/>
      <c r="AH268" s="1184"/>
      <c r="AI268" s="1184"/>
      <c r="AJ268" s="1184"/>
      <c r="AK268" s="1184"/>
      <c r="AL268" s="1771"/>
      <c r="AM268" s="1771"/>
      <c r="AN268" s="1771"/>
      <c r="AO268" s="1771"/>
      <c r="AP268" s="1771"/>
      <c r="AQ268" s="1771"/>
    </row>
    <row r="269" spans="1:43" ht="17.25" customHeight="1">
      <c r="A269" s="1758"/>
      <c r="B269" s="1771"/>
      <c r="C269" s="1763"/>
      <c r="D269" s="8781"/>
      <c r="E269" s="8782"/>
      <c r="F269" s="8772"/>
      <c r="G269" s="8785"/>
      <c r="H269" s="8768"/>
      <c r="I269" s="8768"/>
      <c r="J269" s="8807"/>
      <c r="K269" s="8809"/>
      <c r="L269" s="8768"/>
      <c r="M269" s="8768"/>
      <c r="N269" s="8811"/>
      <c r="O269" s="8739"/>
      <c r="P269" s="236"/>
      <c r="Q269" s="237"/>
      <c r="R269" s="237" t="s">
        <v>314</v>
      </c>
      <c r="S269" s="1764"/>
      <c r="T269" s="1764"/>
      <c r="U269" s="1764"/>
      <c r="V269" s="1764"/>
      <c r="W269" s="1353"/>
      <c r="Y269" s="1184"/>
      <c r="Z269" s="1184"/>
      <c r="AA269" s="1184"/>
      <c r="AB269" s="1184"/>
      <c r="AC269" s="1184"/>
      <c r="AD269" s="1184"/>
      <c r="AE269" s="1184"/>
      <c r="AF269" s="1184"/>
      <c r="AG269" s="1184"/>
      <c r="AH269" s="1184"/>
      <c r="AI269" s="1184"/>
      <c r="AJ269" s="1184"/>
      <c r="AK269" s="1184"/>
      <c r="AL269" s="1771"/>
      <c r="AM269" s="1771"/>
      <c r="AN269" s="1771"/>
      <c r="AO269" s="1771"/>
      <c r="AP269" s="1771"/>
      <c r="AQ269" s="1771"/>
    </row>
    <row r="270" spans="1:43" ht="17.25" customHeight="1">
      <c r="A270" s="1758"/>
      <c r="B270" s="1771"/>
      <c r="C270" s="1763"/>
      <c r="D270" s="8781"/>
      <c r="E270" s="8782"/>
      <c r="F270" s="8772"/>
      <c r="G270" s="8785"/>
      <c r="H270" s="8768"/>
      <c r="I270" s="8768"/>
      <c r="J270" s="8807"/>
      <c r="K270" s="8739"/>
      <c r="L270" s="236"/>
      <c r="M270" s="237"/>
      <c r="N270" s="237" t="s">
        <v>315</v>
      </c>
      <c r="O270" s="237"/>
      <c r="P270" s="237"/>
      <c r="Q270" s="237"/>
      <c r="R270" s="237"/>
      <c r="S270" s="1764"/>
      <c r="T270" s="1764"/>
      <c r="U270" s="1764"/>
      <c r="V270" s="1764"/>
      <c r="W270" s="238"/>
      <c r="Y270" s="1184"/>
      <c r="Z270" s="1184"/>
      <c r="AA270" s="1184"/>
      <c r="AB270" s="1184"/>
      <c r="AC270" s="1184"/>
      <c r="AD270" s="1184"/>
      <c r="AE270" s="1184"/>
      <c r="AF270" s="1184"/>
      <c r="AG270" s="1184"/>
      <c r="AH270" s="1184"/>
      <c r="AI270" s="1184"/>
      <c r="AJ270" s="1184"/>
      <c r="AK270" s="1184"/>
      <c r="AL270" s="1771"/>
      <c r="AM270" s="1771"/>
      <c r="AN270" s="1771"/>
      <c r="AO270" s="1771"/>
      <c r="AP270" s="1771"/>
      <c r="AQ270" s="1771"/>
    </row>
    <row r="271" spans="1:43" ht="17.25" customHeight="1">
      <c r="A271" s="1758"/>
      <c r="B271" s="1771"/>
      <c r="C271" s="1760"/>
      <c r="D271" s="8781"/>
      <c r="E271" s="8782"/>
      <c r="F271" s="8772"/>
      <c r="G271" s="8785"/>
      <c r="H271" s="8806" t="s">
        <v>100</v>
      </c>
      <c r="I271" s="8806" t="s">
        <v>575</v>
      </c>
      <c r="J271" s="8805" t="s">
        <v>576</v>
      </c>
      <c r="K271" s="8808" t="s">
        <v>63</v>
      </c>
      <c r="L271" s="8735"/>
      <c r="M271" s="8735" t="s">
        <v>95</v>
      </c>
      <c r="N271" s="8810" t="str">
        <f>IF(Z271="","",INDEX(TERRITORY_MR_LIST,MATCH(Z271,TERRITORY_LIST_ID,0)))</f>
        <v>Территория 13</v>
      </c>
      <c r="O271" s="8808" t="s">
        <v>53</v>
      </c>
      <c r="P271" s="8735"/>
      <c r="Q271" s="8735" t="s">
        <v>95</v>
      </c>
      <c r="R271" s="8812" t="s">
        <v>24</v>
      </c>
      <c r="S271" s="8804" t="s">
        <v>53</v>
      </c>
      <c r="T271" s="1722"/>
      <c r="U271" s="1722" t="s">
        <v>95</v>
      </c>
      <c r="V271" s="1354"/>
      <c r="W271" s="8805"/>
      <c r="Y271" s="1191"/>
      <c r="Z271" s="1191" t="s">
        <v>151</v>
      </c>
      <c r="AA271" s="1191"/>
      <c r="AB271" s="1191"/>
      <c r="AC271" s="1191" t="s">
        <v>310</v>
      </c>
      <c r="AD271" s="1191" t="s">
        <v>577</v>
      </c>
      <c r="AE271" s="1191" t="s">
        <v>578</v>
      </c>
      <c r="AF271" s="1191" t="s">
        <v>579</v>
      </c>
      <c r="AG271" s="1191" t="s">
        <v>580</v>
      </c>
      <c r="AH271" s="1191" t="str">
        <f>IF($E$79=0,"",$E$79)</f>
        <v>Тариф на подвоз воды</v>
      </c>
      <c r="AI271" s="1191" t="str">
        <f>IF($G$79=0,"",$G$79)</f>
        <v>Холодное водоснабжение. Подвозная вода</v>
      </c>
      <c r="AJ271" s="1191" t="str">
        <f>IF($J$271=0,"",$J$271)</f>
        <v>Подвоз воды потребителям хутора Беляева</v>
      </c>
      <c r="AK271" s="1191" t="str">
        <f>IF($K$271="нет","без дифференциации",IF($N$271=0,"",$N$271))</f>
        <v>Территория 13</v>
      </c>
      <c r="AL271" s="1762" t="str">
        <f>IF($O$271="нет","без дифференциации",IF($R$271=0,"",$R$271))</f>
        <v>без дифференциации</v>
      </c>
      <c r="AM271" s="1762"/>
      <c r="AN271" s="1191" t="str">
        <f>$I$271</f>
        <v>49</v>
      </c>
      <c r="AO271" s="1191" t="str">
        <f>$I$271&amp;"."&amp;$M$271</f>
        <v>49.1</v>
      </c>
      <c r="AP271" s="1191" t="str">
        <f>$I$271&amp;"."&amp;$M$271&amp;"."&amp;$Q$271</f>
        <v>49.1.1</v>
      </c>
      <c r="AQ271" s="1191"/>
    </row>
    <row r="272" spans="1:43" ht="17.25" customHeight="1">
      <c r="A272" s="1758"/>
      <c r="B272" s="1771"/>
      <c r="C272" s="1763"/>
      <c r="D272" s="8781"/>
      <c r="E272" s="8782"/>
      <c r="F272" s="8772"/>
      <c r="G272" s="8785"/>
      <c r="H272" s="8806"/>
      <c r="I272" s="8806"/>
      <c r="J272" s="8805"/>
      <c r="K272" s="8809"/>
      <c r="L272" s="8735"/>
      <c r="M272" s="8735"/>
      <c r="N272" s="8810"/>
      <c r="O272" s="8809"/>
      <c r="P272" s="8735"/>
      <c r="Q272" s="8735"/>
      <c r="R272" s="8812" t="s">
        <v>24</v>
      </c>
      <c r="S272" s="8804"/>
      <c r="T272" s="1355"/>
      <c r="U272" s="1356"/>
      <c r="V272" s="1356"/>
      <c r="W272" s="8805"/>
      <c r="Y272" s="1184"/>
      <c r="Z272" s="1184"/>
      <c r="AA272" s="1184"/>
      <c r="AB272" s="1184"/>
      <c r="AC272" s="1184"/>
      <c r="AD272" s="1184"/>
      <c r="AE272" s="1184"/>
      <c r="AF272" s="1184"/>
      <c r="AG272" s="1184"/>
      <c r="AH272" s="1184"/>
      <c r="AI272" s="1184"/>
      <c r="AJ272" s="1184"/>
      <c r="AK272" s="1184"/>
      <c r="AL272" s="1771"/>
      <c r="AM272" s="1771"/>
      <c r="AN272" s="1771"/>
      <c r="AO272" s="1771"/>
      <c r="AP272" s="1771"/>
      <c r="AQ272" s="1771"/>
    </row>
    <row r="273" spans="1:43" ht="17.25" customHeight="1">
      <c r="A273" s="1758"/>
      <c r="B273" s="1771"/>
      <c r="C273" s="1763"/>
      <c r="D273" s="8781"/>
      <c r="E273" s="8782"/>
      <c r="F273" s="8772"/>
      <c r="G273" s="8785"/>
      <c r="H273" s="8768"/>
      <c r="I273" s="8768"/>
      <c r="J273" s="8807"/>
      <c r="K273" s="8809"/>
      <c r="L273" s="8768"/>
      <c r="M273" s="8768"/>
      <c r="N273" s="8811"/>
      <c r="O273" s="8739"/>
      <c r="P273" s="236"/>
      <c r="Q273" s="237"/>
      <c r="R273" s="237" t="s">
        <v>314</v>
      </c>
      <c r="S273" s="1764"/>
      <c r="T273" s="1764"/>
      <c r="U273" s="1764"/>
      <c r="V273" s="1764"/>
      <c r="W273" s="1353"/>
      <c r="Y273" s="1184"/>
      <c r="Z273" s="1184"/>
      <c r="AA273" s="1184"/>
      <c r="AB273" s="1184"/>
      <c r="AC273" s="1184"/>
      <c r="AD273" s="1184"/>
      <c r="AE273" s="1184"/>
      <c r="AF273" s="1184"/>
      <c r="AG273" s="1184"/>
      <c r="AH273" s="1184"/>
      <c r="AI273" s="1184"/>
      <c r="AJ273" s="1184"/>
      <c r="AK273" s="1184"/>
      <c r="AL273" s="1771"/>
      <c r="AM273" s="1771"/>
      <c r="AN273" s="1771"/>
      <c r="AO273" s="1771"/>
      <c r="AP273" s="1771"/>
      <c r="AQ273" s="1771"/>
    </row>
    <row r="274" spans="1:43" ht="17.25" customHeight="1">
      <c r="A274" s="1758"/>
      <c r="B274" s="1771"/>
      <c r="C274" s="1763"/>
      <c r="D274" s="8781"/>
      <c r="E274" s="8782"/>
      <c r="F274" s="8772"/>
      <c r="G274" s="8785"/>
      <c r="H274" s="8768"/>
      <c r="I274" s="8768"/>
      <c r="J274" s="8807"/>
      <c r="K274" s="8739"/>
      <c r="L274" s="236"/>
      <c r="M274" s="237"/>
      <c r="N274" s="237" t="s">
        <v>315</v>
      </c>
      <c r="O274" s="237"/>
      <c r="P274" s="237"/>
      <c r="Q274" s="237"/>
      <c r="R274" s="237"/>
      <c r="S274" s="1764"/>
      <c r="T274" s="1764"/>
      <c r="U274" s="1764"/>
      <c r="V274" s="1764"/>
      <c r="W274" s="238"/>
      <c r="Y274" s="1184"/>
      <c r="Z274" s="1184"/>
      <c r="AA274" s="1184"/>
      <c r="AB274" s="1184"/>
      <c r="AC274" s="1184"/>
      <c r="AD274" s="1184"/>
      <c r="AE274" s="1184"/>
      <c r="AF274" s="1184"/>
      <c r="AG274" s="1184"/>
      <c r="AH274" s="1184"/>
      <c r="AI274" s="1184"/>
      <c r="AJ274" s="1184"/>
      <c r="AK274" s="1184"/>
      <c r="AL274" s="1771"/>
      <c r="AM274" s="1771"/>
      <c r="AN274" s="1771"/>
      <c r="AO274" s="1771"/>
      <c r="AP274" s="1771"/>
      <c r="AQ274" s="1771"/>
    </row>
    <row r="275" spans="1:43" ht="17.25" customHeight="1">
      <c r="A275" s="1758"/>
      <c r="B275" s="1771"/>
      <c r="C275" s="1760"/>
      <c r="D275" s="8781"/>
      <c r="E275" s="8782"/>
      <c r="F275" s="8772"/>
      <c r="G275" s="8785"/>
      <c r="H275" s="8806" t="s">
        <v>100</v>
      </c>
      <c r="I275" s="8806" t="s">
        <v>581</v>
      </c>
      <c r="J275" s="8805" t="s">
        <v>582</v>
      </c>
      <c r="K275" s="8808" t="s">
        <v>63</v>
      </c>
      <c r="L275" s="8735"/>
      <c r="M275" s="8735" t="s">
        <v>95</v>
      </c>
      <c r="N275" s="8810" t="str">
        <f>IF(Z275="","",INDEX(TERRITORY_MR_LIST,MATCH(Z275,TERRITORY_LIST_ID,0)))</f>
        <v>Территория 14</v>
      </c>
      <c r="O275" s="8808" t="s">
        <v>53</v>
      </c>
      <c r="P275" s="8735"/>
      <c r="Q275" s="8735" t="s">
        <v>95</v>
      </c>
      <c r="R275" s="8812" t="s">
        <v>24</v>
      </c>
      <c r="S275" s="8804" t="s">
        <v>53</v>
      </c>
      <c r="T275" s="1722"/>
      <c r="U275" s="1722" t="s">
        <v>95</v>
      </c>
      <c r="V275" s="1354"/>
      <c r="W275" s="8805"/>
      <c r="Y275" s="1191"/>
      <c r="Z275" s="1191" t="s">
        <v>156</v>
      </c>
      <c r="AA275" s="1191"/>
      <c r="AB275" s="1191"/>
      <c r="AC275" s="1191" t="s">
        <v>310</v>
      </c>
      <c r="AD275" s="1191" t="s">
        <v>583</v>
      </c>
      <c r="AE275" s="1191" t="s">
        <v>584</v>
      </c>
      <c r="AF275" s="1191" t="s">
        <v>585</v>
      </c>
      <c r="AG275" s="1191" t="s">
        <v>586</v>
      </c>
      <c r="AH275" s="1191" t="str">
        <f>IF($E$79=0,"",$E$79)</f>
        <v>Тариф на подвоз воды</v>
      </c>
      <c r="AI275" s="1191" t="str">
        <f>IF($G$79=0,"",$G$79)</f>
        <v>Холодное водоснабжение. Подвозная вода</v>
      </c>
      <c r="AJ275" s="1191" t="str">
        <f>IF($J$275=0,"",$J$275)</f>
        <v>Подвоз воды потребителям села Найдёновка</v>
      </c>
      <c r="AK275" s="1191" t="str">
        <f>IF($K$275="нет","без дифференциации",IF($N$275=0,"",$N$275))</f>
        <v>Территория 14</v>
      </c>
      <c r="AL275" s="1762" t="str">
        <f>IF($O$275="нет","без дифференциации",IF($R$275=0,"",$R$275))</f>
        <v>без дифференциации</v>
      </c>
      <c r="AM275" s="1762"/>
      <c r="AN275" s="1191" t="str">
        <f>$I$275</f>
        <v>50</v>
      </c>
      <c r="AO275" s="1191" t="str">
        <f>$I$275&amp;"."&amp;$M$275</f>
        <v>50.1</v>
      </c>
      <c r="AP275" s="1191" t="str">
        <f>$I$275&amp;"."&amp;$M$275&amp;"."&amp;$Q$275</f>
        <v>50.1.1</v>
      </c>
      <c r="AQ275" s="1191"/>
    </row>
    <row r="276" spans="1:43" ht="17.25" customHeight="1">
      <c r="A276" s="1758"/>
      <c r="B276" s="1771"/>
      <c r="C276" s="1763"/>
      <c r="D276" s="8781"/>
      <c r="E276" s="8782"/>
      <c r="F276" s="8772"/>
      <c r="G276" s="8785"/>
      <c r="H276" s="8806"/>
      <c r="I276" s="8806"/>
      <c r="J276" s="8805"/>
      <c r="K276" s="8809"/>
      <c r="L276" s="8735"/>
      <c r="M276" s="8735"/>
      <c r="N276" s="8810"/>
      <c r="O276" s="8809"/>
      <c r="P276" s="8735"/>
      <c r="Q276" s="8735"/>
      <c r="R276" s="8812" t="s">
        <v>24</v>
      </c>
      <c r="S276" s="8804"/>
      <c r="T276" s="1355"/>
      <c r="U276" s="1356"/>
      <c r="V276" s="1356"/>
      <c r="W276" s="8805"/>
      <c r="Y276" s="1184"/>
      <c r="Z276" s="1184"/>
      <c r="AA276" s="1184"/>
      <c r="AB276" s="1184"/>
      <c r="AC276" s="1184"/>
      <c r="AD276" s="1184"/>
      <c r="AE276" s="1184"/>
      <c r="AF276" s="1184"/>
      <c r="AG276" s="1184"/>
      <c r="AH276" s="1184"/>
      <c r="AI276" s="1184"/>
      <c r="AJ276" s="1184"/>
      <c r="AK276" s="1184"/>
      <c r="AL276" s="1771"/>
      <c r="AM276" s="1771"/>
      <c r="AN276" s="1771"/>
      <c r="AO276" s="1771"/>
      <c r="AP276" s="1771"/>
      <c r="AQ276" s="1771"/>
    </row>
    <row r="277" spans="1:43" ht="17.25" customHeight="1">
      <c r="A277" s="1758"/>
      <c r="B277" s="1771"/>
      <c r="C277" s="1763"/>
      <c r="D277" s="8781"/>
      <c r="E277" s="8782"/>
      <c r="F277" s="8772"/>
      <c r="G277" s="8785"/>
      <c r="H277" s="8768"/>
      <c r="I277" s="8768"/>
      <c r="J277" s="8807"/>
      <c r="K277" s="8809"/>
      <c r="L277" s="8768"/>
      <c r="M277" s="8768"/>
      <c r="N277" s="8811"/>
      <c r="O277" s="8739"/>
      <c r="P277" s="236"/>
      <c r="Q277" s="237"/>
      <c r="R277" s="237" t="s">
        <v>314</v>
      </c>
      <c r="S277" s="1764"/>
      <c r="T277" s="1764"/>
      <c r="U277" s="1764"/>
      <c r="V277" s="1764"/>
      <c r="W277" s="1353"/>
      <c r="Y277" s="1184"/>
      <c r="Z277" s="1184"/>
      <c r="AA277" s="1184"/>
      <c r="AB277" s="1184"/>
      <c r="AC277" s="1184"/>
      <c r="AD277" s="1184"/>
      <c r="AE277" s="1184"/>
      <c r="AF277" s="1184"/>
      <c r="AG277" s="1184"/>
      <c r="AH277" s="1184"/>
      <c r="AI277" s="1184"/>
      <c r="AJ277" s="1184"/>
      <c r="AK277" s="1184"/>
      <c r="AL277" s="1771"/>
      <c r="AM277" s="1771"/>
      <c r="AN277" s="1771"/>
      <c r="AO277" s="1771"/>
      <c r="AP277" s="1771"/>
      <c r="AQ277" s="1771"/>
    </row>
    <row r="278" spans="1:43" ht="17.25" customHeight="1">
      <c r="A278" s="1758"/>
      <c r="B278" s="1771"/>
      <c r="C278" s="1763"/>
      <c r="D278" s="8781"/>
      <c r="E278" s="8782"/>
      <c r="F278" s="8772"/>
      <c r="G278" s="8785"/>
      <c r="H278" s="8768"/>
      <c r="I278" s="8768"/>
      <c r="J278" s="8807"/>
      <c r="K278" s="8739"/>
      <c r="L278" s="236"/>
      <c r="M278" s="237"/>
      <c r="N278" s="237" t="s">
        <v>315</v>
      </c>
      <c r="O278" s="237"/>
      <c r="P278" s="237"/>
      <c r="Q278" s="237"/>
      <c r="R278" s="237"/>
      <c r="S278" s="1764"/>
      <c r="T278" s="1764"/>
      <c r="U278" s="1764"/>
      <c r="V278" s="1764"/>
      <c r="W278" s="238"/>
      <c r="Y278" s="1184"/>
      <c r="Z278" s="1184"/>
      <c r="AA278" s="1184"/>
      <c r="AB278" s="1184"/>
      <c r="AC278" s="1184"/>
      <c r="AD278" s="1184"/>
      <c r="AE278" s="1184"/>
      <c r="AF278" s="1184"/>
      <c r="AG278" s="1184"/>
      <c r="AH278" s="1184"/>
      <c r="AI278" s="1184"/>
      <c r="AJ278" s="1184"/>
      <c r="AK278" s="1184"/>
      <c r="AL278" s="1771"/>
      <c r="AM278" s="1771"/>
      <c r="AN278" s="1771"/>
      <c r="AO278" s="1771"/>
      <c r="AP278" s="1771"/>
      <c r="AQ278" s="1771"/>
    </row>
    <row r="279" spans="1:43" ht="17.25" customHeight="1">
      <c r="A279" s="1758"/>
      <c r="B279" s="1771"/>
      <c r="C279" s="1760"/>
      <c r="D279" s="8781"/>
      <c r="E279" s="8782"/>
      <c r="F279" s="8772"/>
      <c r="G279" s="8785"/>
      <c r="H279" s="8806" t="s">
        <v>100</v>
      </c>
      <c r="I279" s="8806" t="s">
        <v>587</v>
      </c>
      <c r="J279" s="8805" t="s">
        <v>588</v>
      </c>
      <c r="K279" s="8808" t="s">
        <v>63</v>
      </c>
      <c r="L279" s="8735"/>
      <c r="M279" s="8735" t="s">
        <v>95</v>
      </c>
      <c r="N279" s="8810" t="str">
        <f>IF(Z279="","",INDEX(TERRITORY_MR_LIST,MATCH(Z279,TERRITORY_LIST_ID,0)))</f>
        <v>Территория 14</v>
      </c>
      <c r="O279" s="8808" t="s">
        <v>53</v>
      </c>
      <c r="P279" s="8735"/>
      <c r="Q279" s="8735" t="s">
        <v>95</v>
      </c>
      <c r="R279" s="8812" t="s">
        <v>24</v>
      </c>
      <c r="S279" s="8804" t="s">
        <v>53</v>
      </c>
      <c r="T279" s="1722"/>
      <c r="U279" s="1722" t="s">
        <v>95</v>
      </c>
      <c r="V279" s="1354"/>
      <c r="W279" s="8805"/>
      <c r="Y279" s="1191"/>
      <c r="Z279" s="1191" t="s">
        <v>156</v>
      </c>
      <c r="AA279" s="1191"/>
      <c r="AB279" s="1191"/>
      <c r="AC279" s="1191" t="s">
        <v>310</v>
      </c>
      <c r="AD279" s="1191" t="s">
        <v>589</v>
      </c>
      <c r="AE279" s="1191" t="s">
        <v>590</v>
      </c>
      <c r="AF279" s="1191" t="s">
        <v>591</v>
      </c>
      <c r="AG279" s="1191" t="s">
        <v>592</v>
      </c>
      <c r="AH279" s="1191" t="str">
        <f>IF($E$79=0,"",$E$79)</f>
        <v>Тариф на подвоз воды</v>
      </c>
      <c r="AI279" s="1191" t="str">
        <f>IF($G$79=0,"",$G$79)</f>
        <v>Холодное водоснабжение. Подвозная вода</v>
      </c>
      <c r="AJ279" s="1191" t="str">
        <f>IF($J$279=0,"",$J$279)</f>
        <v>Подвоз воды потребителям села Подлужного</v>
      </c>
      <c r="AK279" s="1191" t="str">
        <f>IF($K$279="нет","без дифференциации",IF($N$279=0,"",$N$279))</f>
        <v>Территория 14</v>
      </c>
      <c r="AL279" s="1762" t="str">
        <f>IF($O$279="нет","без дифференциации",IF($R$279=0,"",$R$279))</f>
        <v>без дифференциации</v>
      </c>
      <c r="AM279" s="1762"/>
      <c r="AN279" s="1191" t="str">
        <f>$I$279</f>
        <v>51</v>
      </c>
      <c r="AO279" s="1191" t="str">
        <f>$I$279&amp;"."&amp;$M$279</f>
        <v>51.1</v>
      </c>
      <c r="AP279" s="1191" t="str">
        <f>$I$279&amp;"."&amp;$M$279&amp;"."&amp;$Q$279</f>
        <v>51.1.1</v>
      </c>
      <c r="AQ279" s="1191"/>
    </row>
    <row r="280" spans="1:43" ht="17.25" customHeight="1">
      <c r="A280" s="1758"/>
      <c r="B280" s="1771"/>
      <c r="C280" s="1763"/>
      <c r="D280" s="8781"/>
      <c r="E280" s="8782"/>
      <c r="F280" s="8772"/>
      <c r="G280" s="8785"/>
      <c r="H280" s="8806"/>
      <c r="I280" s="8806"/>
      <c r="J280" s="8805"/>
      <c r="K280" s="8809"/>
      <c r="L280" s="8735"/>
      <c r="M280" s="8735"/>
      <c r="N280" s="8810"/>
      <c r="O280" s="8809"/>
      <c r="P280" s="8735"/>
      <c r="Q280" s="8735"/>
      <c r="R280" s="8812" t="s">
        <v>24</v>
      </c>
      <c r="S280" s="8804"/>
      <c r="T280" s="1355"/>
      <c r="U280" s="1356"/>
      <c r="V280" s="1356"/>
      <c r="W280" s="8805"/>
      <c r="Y280" s="1184"/>
      <c r="Z280" s="1184"/>
      <c r="AA280" s="1184"/>
      <c r="AB280" s="1184"/>
      <c r="AC280" s="1184"/>
      <c r="AD280" s="1184"/>
      <c r="AE280" s="1184"/>
      <c r="AF280" s="1184"/>
      <c r="AG280" s="1184"/>
      <c r="AH280" s="1184"/>
      <c r="AI280" s="1184"/>
      <c r="AJ280" s="1184"/>
      <c r="AK280" s="1184"/>
      <c r="AL280" s="1771"/>
      <c r="AM280" s="1771"/>
      <c r="AN280" s="1771"/>
      <c r="AO280" s="1771"/>
      <c r="AP280" s="1771"/>
      <c r="AQ280" s="1771"/>
    </row>
    <row r="281" spans="1:43" ht="17.25" customHeight="1">
      <c r="A281" s="1758"/>
      <c r="B281" s="1771"/>
      <c r="C281" s="1763"/>
      <c r="D281" s="8781"/>
      <c r="E281" s="8782"/>
      <c r="F281" s="8772"/>
      <c r="G281" s="8785"/>
      <c r="H281" s="8768"/>
      <c r="I281" s="8768"/>
      <c r="J281" s="8807"/>
      <c r="K281" s="8809"/>
      <c r="L281" s="8768"/>
      <c r="M281" s="8768"/>
      <c r="N281" s="8811"/>
      <c r="O281" s="8739"/>
      <c r="P281" s="236"/>
      <c r="Q281" s="237"/>
      <c r="R281" s="237" t="s">
        <v>314</v>
      </c>
      <c r="S281" s="1764"/>
      <c r="T281" s="1764"/>
      <c r="U281" s="1764"/>
      <c r="V281" s="1764"/>
      <c r="W281" s="1353"/>
      <c r="Y281" s="1184"/>
      <c r="Z281" s="1184"/>
      <c r="AA281" s="1184"/>
      <c r="AB281" s="1184"/>
      <c r="AC281" s="1184"/>
      <c r="AD281" s="1184"/>
      <c r="AE281" s="1184"/>
      <c r="AF281" s="1184"/>
      <c r="AG281" s="1184"/>
      <c r="AH281" s="1184"/>
      <c r="AI281" s="1184"/>
      <c r="AJ281" s="1184"/>
      <c r="AK281" s="1184"/>
      <c r="AL281" s="1771"/>
      <c r="AM281" s="1771"/>
      <c r="AN281" s="1771"/>
      <c r="AO281" s="1771"/>
      <c r="AP281" s="1771"/>
      <c r="AQ281" s="1771"/>
    </row>
    <row r="282" spans="1:43" ht="17.25" customHeight="1">
      <c r="A282" s="1758"/>
      <c r="B282" s="1771"/>
      <c r="C282" s="1763"/>
      <c r="D282" s="8781"/>
      <c r="E282" s="8782"/>
      <c r="F282" s="8772"/>
      <c r="G282" s="8785"/>
      <c r="H282" s="8768"/>
      <c r="I282" s="8768"/>
      <c r="J282" s="8807"/>
      <c r="K282" s="8739"/>
      <c r="L282" s="236"/>
      <c r="M282" s="237"/>
      <c r="N282" s="237" t="s">
        <v>315</v>
      </c>
      <c r="O282" s="237"/>
      <c r="P282" s="237"/>
      <c r="Q282" s="237"/>
      <c r="R282" s="237"/>
      <c r="S282" s="1764"/>
      <c r="T282" s="1764"/>
      <c r="U282" s="1764"/>
      <c r="V282" s="1764"/>
      <c r="W282" s="238"/>
      <c r="Y282" s="1184"/>
      <c r="Z282" s="1184"/>
      <c r="AA282" s="1184"/>
      <c r="AB282" s="1184"/>
      <c r="AC282" s="1184"/>
      <c r="AD282" s="1184"/>
      <c r="AE282" s="1184"/>
      <c r="AF282" s="1184"/>
      <c r="AG282" s="1184"/>
      <c r="AH282" s="1184"/>
      <c r="AI282" s="1184"/>
      <c r="AJ282" s="1184"/>
      <c r="AK282" s="1184"/>
      <c r="AL282" s="1771"/>
      <c r="AM282" s="1771"/>
      <c r="AN282" s="1771"/>
      <c r="AO282" s="1771"/>
      <c r="AP282" s="1771"/>
      <c r="AQ282" s="1771"/>
    </row>
    <row r="283" spans="1:43" ht="17.25" customHeight="1">
      <c r="A283" s="1758"/>
      <c r="B283" s="1771"/>
      <c r="C283" s="1760"/>
      <c r="D283" s="8781"/>
      <c r="E283" s="8782"/>
      <c r="F283" s="8772"/>
      <c r="G283" s="8785"/>
      <c r="H283" s="8806" t="s">
        <v>100</v>
      </c>
      <c r="I283" s="8806" t="s">
        <v>593</v>
      </c>
      <c r="J283" s="8805" t="s">
        <v>594</v>
      </c>
      <c r="K283" s="8808" t="s">
        <v>63</v>
      </c>
      <c r="L283" s="8735"/>
      <c r="M283" s="8735" t="s">
        <v>95</v>
      </c>
      <c r="N283" s="8810" t="str">
        <f>IF(Z283="","",INDEX(TERRITORY_MR_LIST,MATCH(Z283,TERRITORY_LIST_ID,0)))</f>
        <v>Территория 14</v>
      </c>
      <c r="O283" s="8808" t="s">
        <v>53</v>
      </c>
      <c r="P283" s="8735"/>
      <c r="Q283" s="8735" t="s">
        <v>95</v>
      </c>
      <c r="R283" s="8812" t="s">
        <v>24</v>
      </c>
      <c r="S283" s="8804" t="s">
        <v>53</v>
      </c>
      <c r="T283" s="1722"/>
      <c r="U283" s="1722" t="s">
        <v>95</v>
      </c>
      <c r="V283" s="1354"/>
      <c r="W283" s="8805"/>
      <c r="Y283" s="1191"/>
      <c r="Z283" s="1191" t="s">
        <v>156</v>
      </c>
      <c r="AA283" s="1191"/>
      <c r="AB283" s="1191"/>
      <c r="AC283" s="1191" t="s">
        <v>310</v>
      </c>
      <c r="AD283" s="1191" t="s">
        <v>595</v>
      </c>
      <c r="AE283" s="1191" t="s">
        <v>596</v>
      </c>
      <c r="AF283" s="1191" t="s">
        <v>597</v>
      </c>
      <c r="AG283" s="1191" t="s">
        <v>598</v>
      </c>
      <c r="AH283" s="1191" t="str">
        <f>IF($E$79=0,"",$E$79)</f>
        <v>Тариф на подвоз воды</v>
      </c>
      <c r="AI283" s="1191" t="str">
        <f>IF($G$79=0,"",$G$79)</f>
        <v>Холодное водоснабжение. Подвозная вода</v>
      </c>
      <c r="AJ283" s="1191" t="str">
        <f>IF($J$283=0,"",$J$283)</f>
        <v>Подвоз воды потребителям хутора Красная Балка</v>
      </c>
      <c r="AK283" s="1191" t="str">
        <f>IF($K$283="нет","без дифференциации",IF($N$283=0,"",$N$283))</f>
        <v>Территория 14</v>
      </c>
      <c r="AL283" s="1762" t="str">
        <f>IF($O$283="нет","без дифференциации",IF($R$283=0,"",$R$283))</f>
        <v>без дифференциации</v>
      </c>
      <c r="AM283" s="1762"/>
      <c r="AN283" s="1191" t="str">
        <f>$I$283</f>
        <v>52</v>
      </c>
      <c r="AO283" s="1191" t="str">
        <f>$I$283&amp;"."&amp;$M$283</f>
        <v>52.1</v>
      </c>
      <c r="AP283" s="1191" t="str">
        <f>$I$283&amp;"."&amp;$M$283&amp;"."&amp;$Q$283</f>
        <v>52.1.1</v>
      </c>
      <c r="AQ283" s="1191"/>
    </row>
    <row r="284" spans="1:43" ht="17.25" customHeight="1">
      <c r="A284" s="1758"/>
      <c r="B284" s="1771"/>
      <c r="C284" s="1763"/>
      <c r="D284" s="8781"/>
      <c r="E284" s="8782"/>
      <c r="F284" s="8772"/>
      <c r="G284" s="8785"/>
      <c r="H284" s="8806"/>
      <c r="I284" s="8806"/>
      <c r="J284" s="8805"/>
      <c r="K284" s="8809"/>
      <c r="L284" s="8735"/>
      <c r="M284" s="8735"/>
      <c r="N284" s="8810"/>
      <c r="O284" s="8809"/>
      <c r="P284" s="8735"/>
      <c r="Q284" s="8735"/>
      <c r="R284" s="8812" t="s">
        <v>24</v>
      </c>
      <c r="S284" s="8804"/>
      <c r="T284" s="1355"/>
      <c r="U284" s="1356"/>
      <c r="V284" s="1356"/>
      <c r="W284" s="8805"/>
      <c r="Y284" s="1184"/>
      <c r="Z284" s="1184"/>
      <c r="AA284" s="1184"/>
      <c r="AB284" s="1184"/>
      <c r="AC284" s="1184"/>
      <c r="AD284" s="1184"/>
      <c r="AE284" s="1184"/>
      <c r="AF284" s="1184"/>
      <c r="AG284" s="1184"/>
      <c r="AH284" s="1184"/>
      <c r="AI284" s="1184"/>
      <c r="AJ284" s="1184"/>
      <c r="AK284" s="1184"/>
      <c r="AL284" s="1771"/>
      <c r="AM284" s="1771"/>
      <c r="AN284" s="1771"/>
      <c r="AO284" s="1771"/>
      <c r="AP284" s="1771"/>
      <c r="AQ284" s="1771"/>
    </row>
    <row r="285" spans="1:43" ht="17.25" customHeight="1">
      <c r="A285" s="1758"/>
      <c r="B285" s="1771"/>
      <c r="C285" s="1763"/>
      <c r="D285" s="8781"/>
      <c r="E285" s="8782"/>
      <c r="F285" s="8772"/>
      <c r="G285" s="8785"/>
      <c r="H285" s="8768"/>
      <c r="I285" s="8768"/>
      <c r="J285" s="8807"/>
      <c r="K285" s="8809"/>
      <c r="L285" s="8768"/>
      <c r="M285" s="8768"/>
      <c r="N285" s="8811"/>
      <c r="O285" s="8739"/>
      <c r="P285" s="236"/>
      <c r="Q285" s="237"/>
      <c r="R285" s="237" t="s">
        <v>314</v>
      </c>
      <c r="S285" s="1764"/>
      <c r="T285" s="1764"/>
      <c r="U285" s="1764"/>
      <c r="V285" s="1764"/>
      <c r="W285" s="1353"/>
      <c r="Y285" s="1184"/>
      <c r="Z285" s="1184"/>
      <c r="AA285" s="1184"/>
      <c r="AB285" s="1184"/>
      <c r="AC285" s="1184"/>
      <c r="AD285" s="1184"/>
      <c r="AE285" s="1184"/>
      <c r="AF285" s="1184"/>
      <c r="AG285" s="1184"/>
      <c r="AH285" s="1184"/>
      <c r="AI285" s="1184"/>
      <c r="AJ285" s="1184"/>
      <c r="AK285" s="1184"/>
      <c r="AL285" s="1771"/>
      <c r="AM285" s="1771"/>
      <c r="AN285" s="1771"/>
      <c r="AO285" s="1771"/>
      <c r="AP285" s="1771"/>
      <c r="AQ285" s="1771"/>
    </row>
    <row r="286" spans="1:43" ht="17.25" customHeight="1">
      <c r="A286" s="1758"/>
      <c r="B286" s="1771"/>
      <c r="C286" s="1763"/>
      <c r="D286" s="8781"/>
      <c r="E286" s="8782"/>
      <c r="F286" s="8772"/>
      <c r="G286" s="8785"/>
      <c r="H286" s="8768"/>
      <c r="I286" s="8768"/>
      <c r="J286" s="8807"/>
      <c r="K286" s="8739"/>
      <c r="L286" s="236"/>
      <c r="M286" s="237"/>
      <c r="N286" s="237" t="s">
        <v>315</v>
      </c>
      <c r="O286" s="237"/>
      <c r="P286" s="237"/>
      <c r="Q286" s="237"/>
      <c r="R286" s="237"/>
      <c r="S286" s="1764"/>
      <c r="T286" s="1764"/>
      <c r="U286" s="1764"/>
      <c r="V286" s="1764"/>
      <c r="W286" s="238"/>
      <c r="Y286" s="1184"/>
      <c r="Z286" s="1184"/>
      <c r="AA286" s="1184"/>
      <c r="AB286" s="1184"/>
      <c r="AC286" s="1184"/>
      <c r="AD286" s="1184"/>
      <c r="AE286" s="1184"/>
      <c r="AF286" s="1184"/>
      <c r="AG286" s="1184"/>
      <c r="AH286" s="1184"/>
      <c r="AI286" s="1184"/>
      <c r="AJ286" s="1184"/>
      <c r="AK286" s="1184"/>
      <c r="AL286" s="1771"/>
      <c r="AM286" s="1771"/>
      <c r="AN286" s="1771"/>
      <c r="AO286" s="1771"/>
      <c r="AP286" s="1771"/>
      <c r="AQ286" s="1771"/>
    </row>
    <row r="287" spans="1:43" ht="17.25" customHeight="1">
      <c r="A287" s="1758"/>
      <c r="B287" s="1771"/>
      <c r="C287" s="1760"/>
      <c r="D287" s="8781"/>
      <c r="E287" s="8782"/>
      <c r="F287" s="8772"/>
      <c r="G287" s="8785"/>
      <c r="H287" s="8806" t="s">
        <v>100</v>
      </c>
      <c r="I287" s="8806" t="s">
        <v>599</v>
      </c>
      <c r="J287" s="8805" t="s">
        <v>600</v>
      </c>
      <c r="K287" s="8808" t="s">
        <v>63</v>
      </c>
      <c r="L287" s="8735"/>
      <c r="M287" s="8735" t="s">
        <v>95</v>
      </c>
      <c r="N287" s="8810" t="str">
        <f>IF(Z287="","",INDEX(TERRITORY_MR_LIST,MATCH(Z287,TERRITORY_LIST_ID,0)))</f>
        <v>Территория 14</v>
      </c>
      <c r="O287" s="8808" t="s">
        <v>53</v>
      </c>
      <c r="P287" s="8735"/>
      <c r="Q287" s="8735" t="s">
        <v>95</v>
      </c>
      <c r="R287" s="8812" t="s">
        <v>24</v>
      </c>
      <c r="S287" s="8804" t="s">
        <v>53</v>
      </c>
      <c r="T287" s="1722"/>
      <c r="U287" s="1722" t="s">
        <v>95</v>
      </c>
      <c r="V287" s="1354"/>
      <c r="W287" s="8805"/>
      <c r="Y287" s="1191"/>
      <c r="Z287" s="1191" t="s">
        <v>156</v>
      </c>
      <c r="AA287" s="1191"/>
      <c r="AB287" s="1191"/>
      <c r="AC287" s="1191" t="s">
        <v>310</v>
      </c>
      <c r="AD287" s="1191" t="s">
        <v>601</v>
      </c>
      <c r="AE287" s="1191" t="s">
        <v>602</v>
      </c>
      <c r="AF287" s="1191" t="s">
        <v>603</v>
      </c>
      <c r="AG287" s="1191" t="s">
        <v>604</v>
      </c>
      <c r="AH287" s="1191" t="str">
        <f>IF($E$79=0,"",$E$79)</f>
        <v>Тариф на подвоз воды</v>
      </c>
      <c r="AI287" s="1191" t="str">
        <f>IF($G$79=0,"",$G$79)</f>
        <v>Холодное водоснабжение. Подвозная вода</v>
      </c>
      <c r="AJ287" s="1191" t="str">
        <f>IF($J$287=0,"",$J$287)</f>
        <v>Подвоз воды потребителям хутора Козлова</v>
      </c>
      <c r="AK287" s="1191" t="str">
        <f>IF($K$287="нет","без дифференциации",IF($N$287=0,"",$N$287))</f>
        <v>Территория 14</v>
      </c>
      <c r="AL287" s="1762" t="str">
        <f>IF($O$287="нет","без дифференциации",IF($R$287=0,"",$R$287))</f>
        <v>без дифференциации</v>
      </c>
      <c r="AM287" s="1762"/>
      <c r="AN287" s="1191" t="str">
        <f>$I$287</f>
        <v>53</v>
      </c>
      <c r="AO287" s="1191" t="str">
        <f>$I$287&amp;"."&amp;$M$287</f>
        <v>53.1</v>
      </c>
      <c r="AP287" s="1191" t="str">
        <f>$I$287&amp;"."&amp;$M$287&amp;"."&amp;$Q$287</f>
        <v>53.1.1</v>
      </c>
      <c r="AQ287" s="1191"/>
    </row>
    <row r="288" spans="1:43" ht="17.25" customHeight="1">
      <c r="A288" s="1758"/>
      <c r="B288" s="1771"/>
      <c r="C288" s="1763"/>
      <c r="D288" s="8781"/>
      <c r="E288" s="8782"/>
      <c r="F288" s="8772"/>
      <c r="G288" s="8785"/>
      <c r="H288" s="8806"/>
      <c r="I288" s="8806"/>
      <c r="J288" s="8805"/>
      <c r="K288" s="8809"/>
      <c r="L288" s="8735"/>
      <c r="M288" s="8735"/>
      <c r="N288" s="8810"/>
      <c r="O288" s="8809"/>
      <c r="P288" s="8735"/>
      <c r="Q288" s="8735"/>
      <c r="R288" s="8812" t="s">
        <v>24</v>
      </c>
      <c r="S288" s="8804"/>
      <c r="T288" s="1355"/>
      <c r="U288" s="1356"/>
      <c r="V288" s="1356"/>
      <c r="W288" s="8805"/>
      <c r="Y288" s="1184"/>
      <c r="Z288" s="1184"/>
      <c r="AA288" s="1184"/>
      <c r="AB288" s="1184"/>
      <c r="AC288" s="1184"/>
      <c r="AD288" s="1184"/>
      <c r="AE288" s="1184"/>
      <c r="AF288" s="1184"/>
      <c r="AG288" s="1184"/>
      <c r="AH288" s="1184"/>
      <c r="AI288" s="1184"/>
      <c r="AJ288" s="1184"/>
      <c r="AK288" s="1184"/>
      <c r="AL288" s="1771"/>
      <c r="AM288" s="1771"/>
      <c r="AN288" s="1771"/>
      <c r="AO288" s="1771"/>
      <c r="AP288" s="1771"/>
      <c r="AQ288" s="1771"/>
    </row>
    <row r="289" spans="1:43" ht="17.25" customHeight="1">
      <c r="A289" s="1758"/>
      <c r="B289" s="1771"/>
      <c r="C289" s="1763"/>
      <c r="D289" s="8781"/>
      <c r="E289" s="8782"/>
      <c r="F289" s="8772"/>
      <c r="G289" s="8785"/>
      <c r="H289" s="8768"/>
      <c r="I289" s="8768"/>
      <c r="J289" s="8807"/>
      <c r="K289" s="8809"/>
      <c r="L289" s="8768"/>
      <c r="M289" s="8768"/>
      <c r="N289" s="8811"/>
      <c r="O289" s="8739"/>
      <c r="P289" s="236"/>
      <c r="Q289" s="237"/>
      <c r="R289" s="237" t="s">
        <v>314</v>
      </c>
      <c r="S289" s="1764"/>
      <c r="T289" s="1764"/>
      <c r="U289" s="1764"/>
      <c r="V289" s="1764"/>
      <c r="W289" s="1353"/>
      <c r="Y289" s="1184"/>
      <c r="Z289" s="1184"/>
      <c r="AA289" s="1184"/>
      <c r="AB289" s="1184"/>
      <c r="AC289" s="1184"/>
      <c r="AD289" s="1184"/>
      <c r="AE289" s="1184"/>
      <c r="AF289" s="1184"/>
      <c r="AG289" s="1184"/>
      <c r="AH289" s="1184"/>
      <c r="AI289" s="1184"/>
      <c r="AJ289" s="1184"/>
      <c r="AK289" s="1184"/>
      <c r="AL289" s="1771"/>
      <c r="AM289" s="1771"/>
      <c r="AN289" s="1771"/>
      <c r="AO289" s="1771"/>
      <c r="AP289" s="1771"/>
      <c r="AQ289" s="1771"/>
    </row>
    <row r="290" spans="1:43" ht="17.25" customHeight="1">
      <c r="A290" s="1758"/>
      <c r="B290" s="1771"/>
      <c r="C290" s="1763"/>
      <c r="D290" s="8781"/>
      <c r="E290" s="8782"/>
      <c r="F290" s="8772"/>
      <c r="G290" s="8785"/>
      <c r="H290" s="8768"/>
      <c r="I290" s="8768"/>
      <c r="J290" s="8807"/>
      <c r="K290" s="8739"/>
      <c r="L290" s="236"/>
      <c r="M290" s="237"/>
      <c r="N290" s="237" t="s">
        <v>315</v>
      </c>
      <c r="O290" s="237"/>
      <c r="P290" s="237"/>
      <c r="Q290" s="237"/>
      <c r="R290" s="237"/>
      <c r="S290" s="1764"/>
      <c r="T290" s="1764"/>
      <c r="U290" s="1764"/>
      <c r="V290" s="1764"/>
      <c r="W290" s="238"/>
      <c r="Y290" s="1184"/>
      <c r="Z290" s="1184"/>
      <c r="AA290" s="1184"/>
      <c r="AB290" s="1184"/>
      <c r="AC290" s="1184"/>
      <c r="AD290" s="1184"/>
      <c r="AE290" s="1184"/>
      <c r="AF290" s="1184"/>
      <c r="AG290" s="1184"/>
      <c r="AH290" s="1184"/>
      <c r="AI290" s="1184"/>
      <c r="AJ290" s="1184"/>
      <c r="AK290" s="1184"/>
      <c r="AL290" s="1771"/>
      <c r="AM290" s="1771"/>
      <c r="AN290" s="1771"/>
      <c r="AO290" s="1771"/>
      <c r="AP290" s="1771"/>
      <c r="AQ290" s="1771"/>
    </row>
    <row r="291" spans="1:43" ht="17.25" customHeight="1">
      <c r="A291" s="1758"/>
      <c r="B291" s="1771"/>
      <c r="C291" s="1760"/>
      <c r="D291" s="8781"/>
      <c r="E291" s="8782"/>
      <c r="F291" s="8772"/>
      <c r="G291" s="8785"/>
      <c r="H291" s="8806" t="s">
        <v>100</v>
      </c>
      <c r="I291" s="8806" t="s">
        <v>605</v>
      </c>
      <c r="J291" s="8805" t="s">
        <v>606</v>
      </c>
      <c r="K291" s="8808" t="s">
        <v>63</v>
      </c>
      <c r="L291" s="8735"/>
      <c r="M291" s="8735" t="s">
        <v>95</v>
      </c>
      <c r="N291" s="8810" t="str">
        <f>IF(Z291="","",INDEX(TERRITORY_MR_LIST,MATCH(Z291,TERRITORY_LIST_ID,0)))</f>
        <v>Территория 14</v>
      </c>
      <c r="O291" s="8808" t="s">
        <v>53</v>
      </c>
      <c r="P291" s="8735"/>
      <c r="Q291" s="8735" t="s">
        <v>95</v>
      </c>
      <c r="R291" s="8812" t="s">
        <v>24</v>
      </c>
      <c r="S291" s="8804" t="s">
        <v>53</v>
      </c>
      <c r="T291" s="1722"/>
      <c r="U291" s="1722" t="s">
        <v>95</v>
      </c>
      <c r="V291" s="1354"/>
      <c r="W291" s="8805"/>
      <c r="Y291" s="1191"/>
      <c r="Z291" s="1191" t="s">
        <v>156</v>
      </c>
      <c r="AA291" s="1191"/>
      <c r="AB291" s="1191"/>
      <c r="AC291" s="1191" t="s">
        <v>310</v>
      </c>
      <c r="AD291" s="1191" t="s">
        <v>607</v>
      </c>
      <c r="AE291" s="1191" t="s">
        <v>608</v>
      </c>
      <c r="AF291" s="1191" t="s">
        <v>609</v>
      </c>
      <c r="AG291" s="1191" t="s">
        <v>610</v>
      </c>
      <c r="AH291" s="1191" t="str">
        <f>IF($E$79=0,"",$E$79)</f>
        <v>Тариф на подвоз воды</v>
      </c>
      <c r="AI291" s="1191" t="str">
        <f>IF($G$79=0,"",$G$79)</f>
        <v>Холодное водоснабжение. Подвозная вода</v>
      </c>
      <c r="AJ291" s="1191" t="str">
        <f>IF($J$291=0,"",$J$291)</f>
        <v>Подвоз воды потребителям села Тищенского</v>
      </c>
      <c r="AK291" s="1191" t="str">
        <f>IF($K$291="нет","без дифференциации",IF($N$291=0,"",$N$291))</f>
        <v>Территория 14</v>
      </c>
      <c r="AL291" s="1762" t="str">
        <f>IF($O$291="нет","без дифференциации",IF($R$291=0,"",$R$291))</f>
        <v>без дифференциации</v>
      </c>
      <c r="AM291" s="1762"/>
      <c r="AN291" s="1191" t="str">
        <f>$I$291</f>
        <v>54</v>
      </c>
      <c r="AO291" s="1191" t="str">
        <f>$I$291&amp;"."&amp;$M$291</f>
        <v>54.1</v>
      </c>
      <c r="AP291" s="1191" t="str">
        <f>$I$291&amp;"."&amp;$M$291&amp;"."&amp;$Q$291</f>
        <v>54.1.1</v>
      </c>
      <c r="AQ291" s="1191"/>
    </row>
    <row r="292" spans="1:43" ht="17.25" customHeight="1">
      <c r="A292" s="1758"/>
      <c r="B292" s="1771"/>
      <c r="C292" s="1763"/>
      <c r="D292" s="8781"/>
      <c r="E292" s="8782"/>
      <c r="F292" s="8772"/>
      <c r="G292" s="8785"/>
      <c r="H292" s="8806"/>
      <c r="I292" s="8806"/>
      <c r="J292" s="8805"/>
      <c r="K292" s="8809"/>
      <c r="L292" s="8735"/>
      <c r="M292" s="8735"/>
      <c r="N292" s="8810"/>
      <c r="O292" s="8809"/>
      <c r="P292" s="8735"/>
      <c r="Q292" s="8735"/>
      <c r="R292" s="8812" t="s">
        <v>24</v>
      </c>
      <c r="S292" s="8804"/>
      <c r="T292" s="1355"/>
      <c r="U292" s="1356"/>
      <c r="V292" s="1356"/>
      <c r="W292" s="8805"/>
      <c r="Y292" s="1184"/>
      <c r="Z292" s="1184"/>
      <c r="AA292" s="1184"/>
      <c r="AB292" s="1184"/>
      <c r="AC292" s="1184"/>
      <c r="AD292" s="1184"/>
      <c r="AE292" s="1184"/>
      <c r="AF292" s="1184"/>
      <c r="AG292" s="1184"/>
      <c r="AH292" s="1184"/>
      <c r="AI292" s="1184"/>
      <c r="AJ292" s="1184"/>
      <c r="AK292" s="1184"/>
      <c r="AL292" s="1771"/>
      <c r="AM292" s="1771"/>
      <c r="AN292" s="1771"/>
      <c r="AO292" s="1771"/>
      <c r="AP292" s="1771"/>
      <c r="AQ292" s="1771"/>
    </row>
    <row r="293" spans="1:43" ht="17.25" customHeight="1">
      <c r="A293" s="1758"/>
      <c r="B293" s="1771"/>
      <c r="C293" s="1763"/>
      <c r="D293" s="8781"/>
      <c r="E293" s="8782"/>
      <c r="F293" s="8772"/>
      <c r="G293" s="8785"/>
      <c r="H293" s="8768"/>
      <c r="I293" s="8768"/>
      <c r="J293" s="8807"/>
      <c r="K293" s="8809"/>
      <c r="L293" s="8768"/>
      <c r="M293" s="8768"/>
      <c r="N293" s="8811"/>
      <c r="O293" s="8739"/>
      <c r="P293" s="236"/>
      <c r="Q293" s="237"/>
      <c r="R293" s="237" t="s">
        <v>314</v>
      </c>
      <c r="S293" s="1764"/>
      <c r="T293" s="1764"/>
      <c r="U293" s="1764"/>
      <c r="V293" s="1764"/>
      <c r="W293" s="1353"/>
      <c r="Y293" s="1184"/>
      <c r="Z293" s="1184"/>
      <c r="AA293" s="1184"/>
      <c r="AB293" s="1184"/>
      <c r="AC293" s="1184"/>
      <c r="AD293" s="1184"/>
      <c r="AE293" s="1184"/>
      <c r="AF293" s="1184"/>
      <c r="AG293" s="1184"/>
      <c r="AH293" s="1184"/>
      <c r="AI293" s="1184"/>
      <c r="AJ293" s="1184"/>
      <c r="AK293" s="1184"/>
      <c r="AL293" s="1771"/>
      <c r="AM293" s="1771"/>
      <c r="AN293" s="1771"/>
      <c r="AO293" s="1771"/>
      <c r="AP293" s="1771"/>
      <c r="AQ293" s="1771"/>
    </row>
    <row r="294" spans="1:43" ht="17.25" customHeight="1">
      <c r="A294" s="1758"/>
      <c r="B294" s="1771"/>
      <c r="C294" s="1763"/>
      <c r="D294" s="8781"/>
      <c r="E294" s="8782"/>
      <c r="F294" s="8772"/>
      <c r="G294" s="8785"/>
      <c r="H294" s="8768"/>
      <c r="I294" s="8768"/>
      <c r="J294" s="8807"/>
      <c r="K294" s="8739"/>
      <c r="L294" s="236"/>
      <c r="M294" s="237"/>
      <c r="N294" s="237" t="s">
        <v>315</v>
      </c>
      <c r="O294" s="237"/>
      <c r="P294" s="237"/>
      <c r="Q294" s="237"/>
      <c r="R294" s="237"/>
      <c r="S294" s="1764"/>
      <c r="T294" s="1764"/>
      <c r="U294" s="1764"/>
      <c r="V294" s="1764"/>
      <c r="W294" s="238"/>
      <c r="Y294" s="1184"/>
      <c r="Z294" s="1184"/>
      <c r="AA294" s="1184"/>
      <c r="AB294" s="1184"/>
      <c r="AC294" s="1184"/>
      <c r="AD294" s="1184"/>
      <c r="AE294" s="1184"/>
      <c r="AF294" s="1184"/>
      <c r="AG294" s="1184"/>
      <c r="AH294" s="1184"/>
      <c r="AI294" s="1184"/>
      <c r="AJ294" s="1184"/>
      <c r="AK294" s="1184"/>
      <c r="AL294" s="1771"/>
      <c r="AM294" s="1771"/>
      <c r="AN294" s="1771"/>
      <c r="AO294" s="1771"/>
      <c r="AP294" s="1771"/>
      <c r="AQ294" s="1771"/>
    </row>
    <row r="295" spans="1:43" ht="17.25" customHeight="1">
      <c r="A295" s="1758"/>
      <c r="B295" s="1771"/>
      <c r="C295" s="1760"/>
      <c r="D295" s="8781"/>
      <c r="E295" s="8782"/>
      <c r="F295" s="8772"/>
      <c r="G295" s="8785"/>
      <c r="H295" s="8806" t="s">
        <v>100</v>
      </c>
      <c r="I295" s="8806" t="s">
        <v>611</v>
      </c>
      <c r="J295" s="8805" t="s">
        <v>612</v>
      </c>
      <c r="K295" s="8808" t="s">
        <v>63</v>
      </c>
      <c r="L295" s="8735"/>
      <c r="M295" s="8735" t="s">
        <v>95</v>
      </c>
      <c r="N295" s="8810" t="str">
        <f>IF(Z295="","",INDEX(TERRITORY_MR_LIST,MATCH(Z295,TERRITORY_LIST_ID,0)))</f>
        <v>Территория 15</v>
      </c>
      <c r="O295" s="8808" t="s">
        <v>53</v>
      </c>
      <c r="P295" s="8735"/>
      <c r="Q295" s="8735" t="s">
        <v>95</v>
      </c>
      <c r="R295" s="8812" t="s">
        <v>24</v>
      </c>
      <c r="S295" s="8804" t="s">
        <v>53</v>
      </c>
      <c r="T295" s="1722"/>
      <c r="U295" s="1722" t="s">
        <v>95</v>
      </c>
      <c r="V295" s="1354"/>
      <c r="W295" s="8805"/>
      <c r="Y295" s="1191"/>
      <c r="Z295" s="1191" t="s">
        <v>161</v>
      </c>
      <c r="AA295" s="1191"/>
      <c r="AB295" s="1191"/>
      <c r="AC295" s="1191" t="s">
        <v>310</v>
      </c>
      <c r="AD295" s="1191" t="s">
        <v>613</v>
      </c>
      <c r="AE295" s="1191" t="s">
        <v>614</v>
      </c>
      <c r="AF295" s="1191" t="s">
        <v>615</v>
      </c>
      <c r="AG295" s="1191" t="s">
        <v>616</v>
      </c>
      <c r="AH295" s="1191" t="str">
        <f>IF($E$79=0,"",$E$79)</f>
        <v>Тариф на подвоз воды</v>
      </c>
      <c r="AI295" s="1191" t="str">
        <f>IF($G$79=0,"",$G$79)</f>
        <v>Холодное водоснабжение. Подвозная вода</v>
      </c>
      <c r="AJ295" s="1191" t="str">
        <f>IF($J$295=0,"",$J$295)</f>
        <v>Подвоз воды потребителям хутора Вавилон</v>
      </c>
      <c r="AK295" s="1191" t="str">
        <f>IF($K$295="нет","без дифференциации",IF($N$295=0,"",$N$295))</f>
        <v>Территория 15</v>
      </c>
      <c r="AL295" s="1762" t="str">
        <f>IF($O$295="нет","без дифференциации",IF($R$295=0,"",$R$295))</f>
        <v>без дифференциации</v>
      </c>
      <c r="AM295" s="1762"/>
      <c r="AN295" s="1191" t="str">
        <f>$I$295</f>
        <v>55</v>
      </c>
      <c r="AO295" s="1191" t="str">
        <f>$I$295&amp;"."&amp;$M$295</f>
        <v>55.1</v>
      </c>
      <c r="AP295" s="1191" t="str">
        <f>$I$295&amp;"."&amp;$M$295&amp;"."&amp;$Q$295</f>
        <v>55.1.1</v>
      </c>
      <c r="AQ295" s="1191"/>
    </row>
    <row r="296" spans="1:43" ht="17.25" customHeight="1">
      <c r="A296" s="1758"/>
      <c r="B296" s="1771"/>
      <c r="C296" s="1763"/>
      <c r="D296" s="8781"/>
      <c r="E296" s="8782"/>
      <c r="F296" s="8772"/>
      <c r="G296" s="8785"/>
      <c r="H296" s="8806"/>
      <c r="I296" s="8806"/>
      <c r="J296" s="8805"/>
      <c r="K296" s="8809"/>
      <c r="L296" s="8735"/>
      <c r="M296" s="8735"/>
      <c r="N296" s="8810"/>
      <c r="O296" s="8809"/>
      <c r="P296" s="8735"/>
      <c r="Q296" s="8735"/>
      <c r="R296" s="8812" t="s">
        <v>24</v>
      </c>
      <c r="S296" s="8804"/>
      <c r="T296" s="1355"/>
      <c r="U296" s="1356"/>
      <c r="V296" s="1356"/>
      <c r="W296" s="8805"/>
      <c r="Y296" s="1184"/>
      <c r="Z296" s="1184"/>
      <c r="AA296" s="1184"/>
      <c r="AB296" s="1184"/>
      <c r="AC296" s="1184"/>
      <c r="AD296" s="1184"/>
      <c r="AE296" s="1184"/>
      <c r="AF296" s="1184"/>
      <c r="AG296" s="1184"/>
      <c r="AH296" s="1184"/>
      <c r="AI296" s="1184"/>
      <c r="AJ296" s="1184"/>
      <c r="AK296" s="1184"/>
      <c r="AL296" s="1771"/>
      <c r="AM296" s="1771"/>
      <c r="AN296" s="1771"/>
      <c r="AO296" s="1771"/>
      <c r="AP296" s="1771"/>
      <c r="AQ296" s="1771"/>
    </row>
    <row r="297" spans="1:43" ht="17.25" customHeight="1">
      <c r="A297" s="1758"/>
      <c r="B297" s="1771"/>
      <c r="C297" s="1763"/>
      <c r="D297" s="8781"/>
      <c r="E297" s="8782"/>
      <c r="F297" s="8772"/>
      <c r="G297" s="8785"/>
      <c r="H297" s="8768"/>
      <c r="I297" s="8768"/>
      <c r="J297" s="8807"/>
      <c r="K297" s="8809"/>
      <c r="L297" s="8768"/>
      <c r="M297" s="8768"/>
      <c r="N297" s="8811"/>
      <c r="O297" s="8739"/>
      <c r="P297" s="236"/>
      <c r="Q297" s="237"/>
      <c r="R297" s="237" t="s">
        <v>314</v>
      </c>
      <c r="S297" s="1764"/>
      <c r="T297" s="1764"/>
      <c r="U297" s="1764"/>
      <c r="V297" s="1764"/>
      <c r="W297" s="1353"/>
      <c r="Y297" s="1184"/>
      <c r="Z297" s="1184"/>
      <c r="AA297" s="1184"/>
      <c r="AB297" s="1184"/>
      <c r="AC297" s="1184"/>
      <c r="AD297" s="1184"/>
      <c r="AE297" s="1184"/>
      <c r="AF297" s="1184"/>
      <c r="AG297" s="1184"/>
      <c r="AH297" s="1184"/>
      <c r="AI297" s="1184"/>
      <c r="AJ297" s="1184"/>
      <c r="AK297" s="1184"/>
      <c r="AL297" s="1771"/>
      <c r="AM297" s="1771"/>
      <c r="AN297" s="1771"/>
      <c r="AO297" s="1771"/>
      <c r="AP297" s="1771"/>
      <c r="AQ297" s="1771"/>
    </row>
    <row r="298" spans="1:43" ht="17.25" customHeight="1">
      <c r="A298" s="1758"/>
      <c r="B298" s="1771"/>
      <c r="C298" s="1763"/>
      <c r="D298" s="8781"/>
      <c r="E298" s="8782"/>
      <c r="F298" s="8772"/>
      <c r="G298" s="8785"/>
      <c r="H298" s="8768"/>
      <c r="I298" s="8768"/>
      <c r="J298" s="8807"/>
      <c r="K298" s="8739"/>
      <c r="L298" s="236"/>
      <c r="M298" s="237"/>
      <c r="N298" s="237" t="s">
        <v>315</v>
      </c>
      <c r="O298" s="237"/>
      <c r="P298" s="237"/>
      <c r="Q298" s="237"/>
      <c r="R298" s="237"/>
      <c r="S298" s="1764"/>
      <c r="T298" s="1764"/>
      <c r="U298" s="1764"/>
      <c r="V298" s="1764"/>
      <c r="W298" s="238"/>
      <c r="Y298" s="1184"/>
      <c r="Z298" s="1184"/>
      <c r="AA298" s="1184"/>
      <c r="AB298" s="1184"/>
      <c r="AC298" s="1184"/>
      <c r="AD298" s="1184"/>
      <c r="AE298" s="1184"/>
      <c r="AF298" s="1184"/>
      <c r="AG298" s="1184"/>
      <c r="AH298" s="1184"/>
      <c r="AI298" s="1184"/>
      <c r="AJ298" s="1184"/>
      <c r="AK298" s="1184"/>
      <c r="AL298" s="1771"/>
      <c r="AM298" s="1771"/>
      <c r="AN298" s="1771"/>
      <c r="AO298" s="1771"/>
      <c r="AP298" s="1771"/>
      <c r="AQ298" s="1771"/>
    </row>
    <row r="299" spans="1:43" ht="17.25" customHeight="1">
      <c r="A299" s="1758"/>
      <c r="B299" s="1771"/>
      <c r="C299" s="1760"/>
      <c r="D299" s="8781"/>
      <c r="E299" s="8782"/>
      <c r="F299" s="8772"/>
      <c r="G299" s="8785"/>
      <c r="H299" s="8806" t="s">
        <v>100</v>
      </c>
      <c r="I299" s="8806" t="s">
        <v>617</v>
      </c>
      <c r="J299" s="8805" t="s">
        <v>618</v>
      </c>
      <c r="K299" s="8808" t="s">
        <v>63</v>
      </c>
      <c r="L299" s="8735"/>
      <c r="M299" s="8735" t="s">
        <v>95</v>
      </c>
      <c r="N299" s="8810" t="str">
        <f>IF(Z299="","",INDEX(TERRITORY_MR_LIST,MATCH(Z299,TERRITORY_LIST_ID,0)))</f>
        <v>Территория 16</v>
      </c>
      <c r="O299" s="8808" t="s">
        <v>53</v>
      </c>
      <c r="P299" s="8735"/>
      <c r="Q299" s="8735" t="s">
        <v>95</v>
      </c>
      <c r="R299" s="8812" t="s">
        <v>24</v>
      </c>
      <c r="S299" s="8804" t="s">
        <v>53</v>
      </c>
      <c r="T299" s="1722"/>
      <c r="U299" s="1722" t="s">
        <v>95</v>
      </c>
      <c r="V299" s="1354"/>
      <c r="W299" s="8805"/>
      <c r="Y299" s="1191"/>
      <c r="Z299" s="1191" t="s">
        <v>166</v>
      </c>
      <c r="AA299" s="1191"/>
      <c r="AB299" s="1191"/>
      <c r="AC299" s="1191" t="s">
        <v>310</v>
      </c>
      <c r="AD299" s="1191" t="s">
        <v>619</v>
      </c>
      <c r="AE299" s="1191" t="s">
        <v>620</v>
      </c>
      <c r="AF299" s="1191" t="s">
        <v>621</v>
      </c>
      <c r="AG299" s="1191" t="s">
        <v>622</v>
      </c>
      <c r="AH299" s="1191" t="str">
        <f>IF($E$79=0,"",$E$79)</f>
        <v>Тариф на подвоз воды</v>
      </c>
      <c r="AI299" s="1191" t="str">
        <f>IF($G$79=0,"",$G$79)</f>
        <v>Холодное водоснабжение. Подвозная вода</v>
      </c>
      <c r="AJ299" s="1191" t="str">
        <f>IF($J$299=0,"",$J$299)</f>
        <v>Подвоз воды потребителям хутора Липчанского</v>
      </c>
      <c r="AK299" s="1191" t="str">
        <f>IF($K$299="нет","без дифференциации",IF($N$299=0,"",$N$299))</f>
        <v>Территория 16</v>
      </c>
      <c r="AL299" s="1762" t="str">
        <f>IF($O$299="нет","без дифференциации",IF($R$299=0,"",$R$299))</f>
        <v>без дифференциации</v>
      </c>
      <c r="AM299" s="1762"/>
      <c r="AN299" s="1191" t="str">
        <f>$I$299</f>
        <v>56</v>
      </c>
      <c r="AO299" s="1191" t="str">
        <f>$I$299&amp;"."&amp;$M$299</f>
        <v>56.1</v>
      </c>
      <c r="AP299" s="1191" t="str">
        <f>$I$299&amp;"."&amp;$M$299&amp;"."&amp;$Q$299</f>
        <v>56.1.1</v>
      </c>
      <c r="AQ299" s="1191"/>
    </row>
    <row r="300" spans="1:43" ht="17.25" customHeight="1">
      <c r="A300" s="1758"/>
      <c r="B300" s="1771"/>
      <c r="C300" s="1763"/>
      <c r="D300" s="8781"/>
      <c r="E300" s="8782"/>
      <c r="F300" s="8772"/>
      <c r="G300" s="8785"/>
      <c r="H300" s="8806"/>
      <c r="I300" s="8806"/>
      <c r="J300" s="8805"/>
      <c r="K300" s="8809"/>
      <c r="L300" s="8735"/>
      <c r="M300" s="8735"/>
      <c r="N300" s="8810"/>
      <c r="O300" s="8809"/>
      <c r="P300" s="8735"/>
      <c r="Q300" s="8735"/>
      <c r="R300" s="8812" t="s">
        <v>24</v>
      </c>
      <c r="S300" s="8804"/>
      <c r="T300" s="1355"/>
      <c r="U300" s="1356"/>
      <c r="V300" s="1356"/>
      <c r="W300" s="8805"/>
      <c r="Y300" s="1184"/>
      <c r="Z300" s="1184"/>
      <c r="AA300" s="1184"/>
      <c r="AB300" s="1184"/>
      <c r="AC300" s="1184"/>
      <c r="AD300" s="1184"/>
      <c r="AE300" s="1184"/>
      <c r="AF300" s="1184"/>
      <c r="AG300" s="1184"/>
      <c r="AH300" s="1184"/>
      <c r="AI300" s="1184"/>
      <c r="AJ300" s="1184"/>
      <c r="AK300" s="1184"/>
      <c r="AL300" s="1771"/>
      <c r="AM300" s="1771"/>
      <c r="AN300" s="1771"/>
      <c r="AO300" s="1771"/>
      <c r="AP300" s="1771"/>
      <c r="AQ300" s="1771"/>
    </row>
    <row r="301" spans="1:43" ht="17.25" customHeight="1">
      <c r="A301" s="1758"/>
      <c r="B301" s="1771"/>
      <c r="C301" s="1763"/>
      <c r="D301" s="8781"/>
      <c r="E301" s="8782"/>
      <c r="F301" s="8772"/>
      <c r="G301" s="8785"/>
      <c r="H301" s="8768"/>
      <c r="I301" s="8768"/>
      <c r="J301" s="8807"/>
      <c r="K301" s="8809"/>
      <c r="L301" s="8768"/>
      <c r="M301" s="8768"/>
      <c r="N301" s="8811"/>
      <c r="O301" s="8739"/>
      <c r="P301" s="236"/>
      <c r="Q301" s="237"/>
      <c r="R301" s="237" t="s">
        <v>314</v>
      </c>
      <c r="S301" s="1764"/>
      <c r="T301" s="1764"/>
      <c r="U301" s="1764"/>
      <c r="V301" s="1764"/>
      <c r="W301" s="1353"/>
      <c r="Y301" s="1184"/>
      <c r="Z301" s="1184"/>
      <c r="AA301" s="1184"/>
      <c r="AB301" s="1184"/>
      <c r="AC301" s="1184"/>
      <c r="AD301" s="1184"/>
      <c r="AE301" s="1184"/>
      <c r="AF301" s="1184"/>
      <c r="AG301" s="1184"/>
      <c r="AH301" s="1184"/>
      <c r="AI301" s="1184"/>
      <c r="AJ301" s="1184"/>
      <c r="AK301" s="1184"/>
      <c r="AL301" s="1771"/>
      <c r="AM301" s="1771"/>
      <c r="AN301" s="1771"/>
      <c r="AO301" s="1771"/>
      <c r="AP301" s="1771"/>
      <c r="AQ301" s="1771"/>
    </row>
    <row r="302" spans="1:43" ht="17.25" customHeight="1">
      <c r="A302" s="1758"/>
      <c r="B302" s="1771"/>
      <c r="C302" s="1763"/>
      <c r="D302" s="8781"/>
      <c r="E302" s="8782"/>
      <c r="F302" s="8772"/>
      <c r="G302" s="8785"/>
      <c r="H302" s="8768"/>
      <c r="I302" s="8768"/>
      <c r="J302" s="8807"/>
      <c r="K302" s="8739"/>
      <c r="L302" s="236"/>
      <c r="M302" s="237"/>
      <c r="N302" s="237" t="s">
        <v>315</v>
      </c>
      <c r="O302" s="237"/>
      <c r="P302" s="237"/>
      <c r="Q302" s="237"/>
      <c r="R302" s="237"/>
      <c r="S302" s="1764"/>
      <c r="T302" s="1764"/>
      <c r="U302" s="1764"/>
      <c r="V302" s="1764"/>
      <c r="W302" s="238"/>
      <c r="Y302" s="1184"/>
      <c r="Z302" s="1184"/>
      <c r="AA302" s="1184"/>
      <c r="AB302" s="1184"/>
      <c r="AC302" s="1184"/>
      <c r="AD302" s="1184"/>
      <c r="AE302" s="1184"/>
      <c r="AF302" s="1184"/>
      <c r="AG302" s="1184"/>
      <c r="AH302" s="1184"/>
      <c r="AI302" s="1184"/>
      <c r="AJ302" s="1184"/>
      <c r="AK302" s="1184"/>
      <c r="AL302" s="1771"/>
      <c r="AM302" s="1771"/>
      <c r="AN302" s="1771"/>
      <c r="AO302" s="1771"/>
      <c r="AP302" s="1771"/>
      <c r="AQ302" s="1771"/>
    </row>
    <row r="303" spans="1:43" ht="17.25" customHeight="1">
      <c r="A303" s="1758"/>
      <c r="B303" s="1771"/>
      <c r="C303" s="1760"/>
      <c r="D303" s="8781"/>
      <c r="E303" s="8782"/>
      <c r="F303" s="8772"/>
      <c r="G303" s="8785"/>
      <c r="H303" s="8806" t="s">
        <v>100</v>
      </c>
      <c r="I303" s="8806" t="s">
        <v>623</v>
      </c>
      <c r="J303" s="8805" t="s">
        <v>624</v>
      </c>
      <c r="K303" s="8808" t="s">
        <v>63</v>
      </c>
      <c r="L303" s="8735"/>
      <c r="M303" s="8735" t="s">
        <v>95</v>
      </c>
      <c r="N303" s="8810" t="str">
        <f>IF(Z303="","",INDEX(TERRITORY_MR_LIST,MATCH(Z303,TERRITORY_LIST_ID,0)))</f>
        <v>Территория 17</v>
      </c>
      <c r="O303" s="8808" t="s">
        <v>53</v>
      </c>
      <c r="P303" s="8735"/>
      <c r="Q303" s="8735" t="s">
        <v>95</v>
      </c>
      <c r="R303" s="8812" t="s">
        <v>24</v>
      </c>
      <c r="S303" s="8804" t="s">
        <v>53</v>
      </c>
      <c r="T303" s="1722"/>
      <c r="U303" s="1722" t="s">
        <v>95</v>
      </c>
      <c r="V303" s="1354"/>
      <c r="W303" s="8805"/>
      <c r="Y303" s="1191"/>
      <c r="Z303" s="1191" t="s">
        <v>171</v>
      </c>
      <c r="AA303" s="1191"/>
      <c r="AB303" s="1191"/>
      <c r="AC303" s="1191" t="s">
        <v>310</v>
      </c>
      <c r="AD303" s="1191" t="s">
        <v>625</v>
      </c>
      <c r="AE303" s="1191" t="s">
        <v>626</v>
      </c>
      <c r="AF303" s="1191" t="s">
        <v>627</v>
      </c>
      <c r="AG303" s="1191" t="s">
        <v>628</v>
      </c>
      <c r="AH303" s="1191" t="str">
        <f>IF($E$79=0,"",$E$79)</f>
        <v>Тариф на подвоз воды</v>
      </c>
      <c r="AI303" s="1191" t="str">
        <f>IF($G$79=0,"",$G$79)</f>
        <v>Холодное водоснабжение. Подвозная вода</v>
      </c>
      <c r="AJ303" s="1191" t="str">
        <f>IF($J$303=0,"",$J$303)</f>
        <v>Подвоз воды потребителям поселка Высокогорного</v>
      </c>
      <c r="AK303" s="1191" t="str">
        <f>IF($K$303="нет","без дифференциации",IF($N$303=0,"",$N$303))</f>
        <v>Территория 17</v>
      </c>
      <c r="AL303" s="1762" t="str">
        <f>IF($O$303="нет","без дифференциации",IF($R$303=0,"",$R$303))</f>
        <v>без дифференциации</v>
      </c>
      <c r="AM303" s="1762"/>
      <c r="AN303" s="1191" t="str">
        <f>$I$303</f>
        <v>57</v>
      </c>
      <c r="AO303" s="1191" t="str">
        <f>$I$303&amp;"."&amp;$M$303</f>
        <v>57.1</v>
      </c>
      <c r="AP303" s="1191" t="str">
        <f>$I$303&amp;"."&amp;$M$303&amp;"."&amp;$Q$303</f>
        <v>57.1.1</v>
      </c>
      <c r="AQ303" s="1191"/>
    </row>
    <row r="304" spans="1:43" ht="17.25" customHeight="1">
      <c r="A304" s="1758"/>
      <c r="B304" s="1771"/>
      <c r="C304" s="1763"/>
      <c r="D304" s="8781"/>
      <c r="E304" s="8782"/>
      <c r="F304" s="8772"/>
      <c r="G304" s="8785"/>
      <c r="H304" s="8806"/>
      <c r="I304" s="8806"/>
      <c r="J304" s="8805"/>
      <c r="K304" s="8809"/>
      <c r="L304" s="8735"/>
      <c r="M304" s="8735"/>
      <c r="N304" s="8810"/>
      <c r="O304" s="8809"/>
      <c r="P304" s="8735"/>
      <c r="Q304" s="8735"/>
      <c r="R304" s="8812" t="s">
        <v>24</v>
      </c>
      <c r="S304" s="8804"/>
      <c r="T304" s="1355"/>
      <c r="U304" s="1356"/>
      <c r="V304" s="1356"/>
      <c r="W304" s="8805"/>
      <c r="Y304" s="1184"/>
      <c r="Z304" s="1184"/>
      <c r="AA304" s="1184"/>
      <c r="AB304" s="1184"/>
      <c r="AC304" s="1184"/>
      <c r="AD304" s="1184"/>
      <c r="AE304" s="1184"/>
      <c r="AF304" s="1184"/>
      <c r="AG304" s="1184"/>
      <c r="AH304" s="1184"/>
      <c r="AI304" s="1184"/>
      <c r="AJ304" s="1184"/>
      <c r="AK304" s="1184"/>
      <c r="AL304" s="1771"/>
      <c r="AM304" s="1771"/>
      <c r="AN304" s="1771"/>
      <c r="AO304" s="1771"/>
      <c r="AP304" s="1771"/>
      <c r="AQ304" s="1771"/>
    </row>
    <row r="305" spans="1:43" ht="17.25" customHeight="1">
      <c r="A305" s="1758"/>
      <c r="B305" s="1771"/>
      <c r="C305" s="1763"/>
      <c r="D305" s="8781"/>
      <c r="E305" s="8782"/>
      <c r="F305" s="8772"/>
      <c r="G305" s="8785"/>
      <c r="H305" s="8768"/>
      <c r="I305" s="8768"/>
      <c r="J305" s="8807"/>
      <c r="K305" s="8809"/>
      <c r="L305" s="8768"/>
      <c r="M305" s="8768"/>
      <c r="N305" s="8811"/>
      <c r="O305" s="8739"/>
      <c r="P305" s="236"/>
      <c r="Q305" s="237"/>
      <c r="R305" s="237" t="s">
        <v>314</v>
      </c>
      <c r="S305" s="1764"/>
      <c r="T305" s="1764"/>
      <c r="U305" s="1764"/>
      <c r="V305" s="1764"/>
      <c r="W305" s="1353"/>
      <c r="Y305" s="1184"/>
      <c r="Z305" s="1184"/>
      <c r="AA305" s="1184"/>
      <c r="AB305" s="1184"/>
      <c r="AC305" s="1184"/>
      <c r="AD305" s="1184"/>
      <c r="AE305" s="1184"/>
      <c r="AF305" s="1184"/>
      <c r="AG305" s="1184"/>
      <c r="AH305" s="1184"/>
      <c r="AI305" s="1184"/>
      <c r="AJ305" s="1184"/>
      <c r="AK305" s="1184"/>
      <c r="AL305" s="1771"/>
      <c r="AM305" s="1771"/>
      <c r="AN305" s="1771"/>
      <c r="AO305" s="1771"/>
      <c r="AP305" s="1771"/>
      <c r="AQ305" s="1771"/>
    </row>
    <row r="306" spans="1:43" ht="17.25" customHeight="1">
      <c r="A306" s="1758"/>
      <c r="B306" s="1771"/>
      <c r="C306" s="1763"/>
      <c r="D306" s="8781"/>
      <c r="E306" s="8782"/>
      <c r="F306" s="8772"/>
      <c r="G306" s="8785"/>
      <c r="H306" s="8768"/>
      <c r="I306" s="8768"/>
      <c r="J306" s="8807"/>
      <c r="K306" s="8739"/>
      <c r="L306" s="236"/>
      <c r="M306" s="237"/>
      <c r="N306" s="237" t="s">
        <v>315</v>
      </c>
      <c r="O306" s="237"/>
      <c r="P306" s="237"/>
      <c r="Q306" s="237"/>
      <c r="R306" s="237"/>
      <c r="S306" s="1764"/>
      <c r="T306" s="1764"/>
      <c r="U306" s="1764"/>
      <c r="V306" s="1764"/>
      <c r="W306" s="238"/>
      <c r="Y306" s="1184"/>
      <c r="Z306" s="1184"/>
      <c r="AA306" s="1184"/>
      <c r="AB306" s="1184"/>
      <c r="AC306" s="1184"/>
      <c r="AD306" s="1184"/>
      <c r="AE306" s="1184"/>
      <c r="AF306" s="1184"/>
      <c r="AG306" s="1184"/>
      <c r="AH306" s="1184"/>
      <c r="AI306" s="1184"/>
      <c r="AJ306" s="1184"/>
      <c r="AK306" s="1184"/>
      <c r="AL306" s="1771"/>
      <c r="AM306" s="1771"/>
      <c r="AN306" s="1771"/>
      <c r="AO306" s="1771"/>
      <c r="AP306" s="1771"/>
      <c r="AQ306" s="1771"/>
    </row>
    <row r="307" spans="1:43" ht="17.25" customHeight="1">
      <c r="A307" s="1758"/>
      <c r="B307" s="1771"/>
      <c r="C307" s="1760"/>
      <c r="D307" s="8781"/>
      <c r="E307" s="8782"/>
      <c r="F307" s="8772"/>
      <c r="G307" s="8785"/>
      <c r="H307" s="8806" t="s">
        <v>100</v>
      </c>
      <c r="I307" s="8806" t="s">
        <v>629</v>
      </c>
      <c r="J307" s="8805" t="s">
        <v>630</v>
      </c>
      <c r="K307" s="8808" t="s">
        <v>63</v>
      </c>
      <c r="L307" s="8735"/>
      <c r="M307" s="8735" t="s">
        <v>95</v>
      </c>
      <c r="N307" s="8810" t="str">
        <f>IF(Z307="","",INDEX(TERRITORY_MR_LIST,MATCH(Z307,TERRITORY_LIST_ID,0)))</f>
        <v>Территория 17</v>
      </c>
      <c r="O307" s="8808" t="s">
        <v>53</v>
      </c>
      <c r="P307" s="8735"/>
      <c r="Q307" s="8735" t="s">
        <v>95</v>
      </c>
      <c r="R307" s="8812" t="s">
        <v>24</v>
      </c>
      <c r="S307" s="8804" t="s">
        <v>53</v>
      </c>
      <c r="T307" s="1722"/>
      <c r="U307" s="1722" t="s">
        <v>95</v>
      </c>
      <c r="V307" s="1354"/>
      <c r="W307" s="8805"/>
      <c r="Y307" s="1191"/>
      <c r="Z307" s="1191" t="s">
        <v>171</v>
      </c>
      <c r="AA307" s="1191"/>
      <c r="AB307" s="1191"/>
      <c r="AC307" s="1191" t="s">
        <v>310</v>
      </c>
      <c r="AD307" s="1191" t="s">
        <v>631</v>
      </c>
      <c r="AE307" s="1191" t="s">
        <v>632</v>
      </c>
      <c r="AF307" s="1191" t="s">
        <v>633</v>
      </c>
      <c r="AG307" s="1191" t="s">
        <v>634</v>
      </c>
      <c r="AH307" s="1191" t="str">
        <f>IF($E$79=0,"",$E$79)</f>
        <v>Тариф на подвоз воды</v>
      </c>
      <c r="AI307" s="1191" t="str">
        <f>IF($G$79=0,"",$G$79)</f>
        <v>Холодное водоснабжение. Подвозная вода</v>
      </c>
      <c r="AJ307" s="1191" t="str">
        <f>IF($J$307=0,"",$J$307)</f>
        <v>Подвоз воды потребителям поселка Левоберезовского</v>
      </c>
      <c r="AK307" s="1191" t="str">
        <f>IF($K$307="нет","без дифференциации",IF($N$307=0,"",$N$307))</f>
        <v>Территория 17</v>
      </c>
      <c r="AL307" s="1762" t="str">
        <f>IF($O$307="нет","без дифференциации",IF($R$307=0,"",$R$307))</f>
        <v>без дифференциации</v>
      </c>
      <c r="AM307" s="1762"/>
      <c r="AN307" s="1191" t="str">
        <f>$I$307</f>
        <v>58</v>
      </c>
      <c r="AO307" s="1191" t="str">
        <f>$I$307&amp;"."&amp;$M$307</f>
        <v>58.1</v>
      </c>
      <c r="AP307" s="1191" t="str">
        <f>$I$307&amp;"."&amp;$M$307&amp;"."&amp;$Q$307</f>
        <v>58.1.1</v>
      </c>
      <c r="AQ307" s="1191"/>
    </row>
    <row r="308" spans="1:43" ht="17.25" customHeight="1">
      <c r="A308" s="1758"/>
      <c r="B308" s="1771"/>
      <c r="C308" s="1763"/>
      <c r="D308" s="8781"/>
      <c r="E308" s="8782"/>
      <c r="F308" s="8772"/>
      <c r="G308" s="8785"/>
      <c r="H308" s="8806"/>
      <c r="I308" s="8806"/>
      <c r="J308" s="8805"/>
      <c r="K308" s="8809"/>
      <c r="L308" s="8735"/>
      <c r="M308" s="8735"/>
      <c r="N308" s="8810"/>
      <c r="O308" s="8809"/>
      <c r="P308" s="8735"/>
      <c r="Q308" s="8735"/>
      <c r="R308" s="8812" t="s">
        <v>24</v>
      </c>
      <c r="S308" s="8804"/>
      <c r="T308" s="1355"/>
      <c r="U308" s="1356"/>
      <c r="V308" s="1356"/>
      <c r="W308" s="8805"/>
      <c r="Y308" s="1184"/>
      <c r="Z308" s="1184"/>
      <c r="AA308" s="1184"/>
      <c r="AB308" s="1184"/>
      <c r="AC308" s="1184"/>
      <c r="AD308" s="1184"/>
      <c r="AE308" s="1184"/>
      <c r="AF308" s="1184"/>
      <c r="AG308" s="1184"/>
      <c r="AH308" s="1184"/>
      <c r="AI308" s="1184"/>
      <c r="AJ308" s="1184"/>
      <c r="AK308" s="1184"/>
      <c r="AL308" s="1771"/>
      <c r="AM308" s="1771"/>
      <c r="AN308" s="1771"/>
      <c r="AO308" s="1771"/>
      <c r="AP308" s="1771"/>
      <c r="AQ308" s="1771"/>
    </row>
    <row r="309" spans="1:43" ht="17.25" customHeight="1">
      <c r="A309" s="1758"/>
      <c r="B309" s="1771"/>
      <c r="C309" s="1763"/>
      <c r="D309" s="8781"/>
      <c r="E309" s="8782"/>
      <c r="F309" s="8772"/>
      <c r="G309" s="8785"/>
      <c r="H309" s="8768"/>
      <c r="I309" s="8768"/>
      <c r="J309" s="8807"/>
      <c r="K309" s="8809"/>
      <c r="L309" s="8768"/>
      <c r="M309" s="8768"/>
      <c r="N309" s="8811"/>
      <c r="O309" s="8739"/>
      <c r="P309" s="236"/>
      <c r="Q309" s="237"/>
      <c r="R309" s="237" t="s">
        <v>314</v>
      </c>
      <c r="S309" s="1764"/>
      <c r="T309" s="1764"/>
      <c r="U309" s="1764"/>
      <c r="V309" s="1764"/>
      <c r="W309" s="1353"/>
      <c r="Y309" s="1184"/>
      <c r="Z309" s="1184"/>
      <c r="AA309" s="1184"/>
      <c r="AB309" s="1184"/>
      <c r="AC309" s="1184"/>
      <c r="AD309" s="1184"/>
      <c r="AE309" s="1184"/>
      <c r="AF309" s="1184"/>
      <c r="AG309" s="1184"/>
      <c r="AH309" s="1184"/>
      <c r="AI309" s="1184"/>
      <c r="AJ309" s="1184"/>
      <c r="AK309" s="1184"/>
      <c r="AL309" s="1771"/>
      <c r="AM309" s="1771"/>
      <c r="AN309" s="1771"/>
      <c r="AO309" s="1771"/>
      <c r="AP309" s="1771"/>
      <c r="AQ309" s="1771"/>
    </row>
    <row r="310" spans="1:43" ht="17.25" customHeight="1">
      <c r="A310" s="1758"/>
      <c r="B310" s="1771"/>
      <c r="C310" s="1763"/>
      <c r="D310" s="8781"/>
      <c r="E310" s="8782"/>
      <c r="F310" s="8772"/>
      <c r="G310" s="8785"/>
      <c r="H310" s="8768"/>
      <c r="I310" s="8768"/>
      <c r="J310" s="8807"/>
      <c r="K310" s="8739"/>
      <c r="L310" s="236"/>
      <c r="M310" s="237"/>
      <c r="N310" s="237" t="s">
        <v>315</v>
      </c>
      <c r="O310" s="237"/>
      <c r="P310" s="237"/>
      <c r="Q310" s="237"/>
      <c r="R310" s="237"/>
      <c r="S310" s="1764"/>
      <c r="T310" s="1764"/>
      <c r="U310" s="1764"/>
      <c r="V310" s="1764"/>
      <c r="W310" s="238"/>
      <c r="Y310" s="1184"/>
      <c r="Z310" s="1184"/>
      <c r="AA310" s="1184"/>
      <c r="AB310" s="1184"/>
      <c r="AC310" s="1184"/>
      <c r="AD310" s="1184"/>
      <c r="AE310" s="1184"/>
      <c r="AF310" s="1184"/>
      <c r="AG310" s="1184"/>
      <c r="AH310" s="1184"/>
      <c r="AI310" s="1184"/>
      <c r="AJ310" s="1184"/>
      <c r="AK310" s="1184"/>
      <c r="AL310" s="1771"/>
      <c r="AM310" s="1771"/>
      <c r="AN310" s="1771"/>
      <c r="AO310" s="1771"/>
      <c r="AP310" s="1771"/>
      <c r="AQ310" s="1771"/>
    </row>
    <row r="311" spans="1:43" ht="17.25" customHeight="1">
      <c r="A311" s="1758"/>
      <c r="B311" s="1771"/>
      <c r="C311" s="1760"/>
      <c r="D311" s="8781"/>
      <c r="E311" s="8782"/>
      <c r="F311" s="8772"/>
      <c r="G311" s="8785"/>
      <c r="H311" s="8806" t="s">
        <v>100</v>
      </c>
      <c r="I311" s="8806" t="s">
        <v>635</v>
      </c>
      <c r="J311" s="8805" t="s">
        <v>636</v>
      </c>
      <c r="K311" s="8808" t="s">
        <v>63</v>
      </c>
      <c r="L311" s="8735"/>
      <c r="M311" s="8735" t="s">
        <v>95</v>
      </c>
      <c r="N311" s="8810" t="str">
        <f>IF(Z311="","",INDEX(TERRITORY_MR_LIST,MATCH(Z311,TERRITORY_LIST_ID,0)))</f>
        <v>Территория 17</v>
      </c>
      <c r="O311" s="8808" t="s">
        <v>53</v>
      </c>
      <c r="P311" s="8735"/>
      <c r="Q311" s="8735" t="s">
        <v>95</v>
      </c>
      <c r="R311" s="8812" t="s">
        <v>24</v>
      </c>
      <c r="S311" s="8804" t="s">
        <v>53</v>
      </c>
      <c r="T311" s="1722"/>
      <c r="U311" s="1722" t="s">
        <v>95</v>
      </c>
      <c r="V311" s="1354"/>
      <c r="W311" s="8805"/>
      <c r="Y311" s="1191"/>
      <c r="Z311" s="1191" t="s">
        <v>171</v>
      </c>
      <c r="AA311" s="1191"/>
      <c r="AB311" s="1191"/>
      <c r="AC311" s="1191" t="s">
        <v>310</v>
      </c>
      <c r="AD311" s="1191" t="s">
        <v>637</v>
      </c>
      <c r="AE311" s="1191" t="s">
        <v>638</v>
      </c>
      <c r="AF311" s="1191" t="s">
        <v>639</v>
      </c>
      <c r="AG311" s="1191" t="s">
        <v>640</v>
      </c>
      <c r="AH311" s="1191" t="str">
        <f>IF($E$79=0,"",$E$79)</f>
        <v>Тариф на подвоз воды</v>
      </c>
      <c r="AI311" s="1191" t="str">
        <f>IF($G$79=0,"",$G$79)</f>
        <v>Холодное водоснабжение. Подвозная вода</v>
      </c>
      <c r="AJ311" s="1191" t="str">
        <f>IF($J$311=0,"",$J$311)</f>
        <v>Подвоз воды потребителям поселка Правоберезовского</v>
      </c>
      <c r="AK311" s="1191" t="str">
        <f>IF($K$311="нет","без дифференциации",IF($N$311=0,"",$N$311))</f>
        <v>Территория 17</v>
      </c>
      <c r="AL311" s="1762" t="str">
        <f>IF($O$311="нет","без дифференциации",IF($R$311=0,"",$R$311))</f>
        <v>без дифференциации</v>
      </c>
      <c r="AM311" s="1762"/>
      <c r="AN311" s="1191" t="str">
        <f>$I$311</f>
        <v>59</v>
      </c>
      <c r="AO311" s="1191" t="str">
        <f>$I$311&amp;"."&amp;$M$311</f>
        <v>59.1</v>
      </c>
      <c r="AP311" s="1191" t="str">
        <f>$I$311&amp;"."&amp;$M$311&amp;"."&amp;$Q$311</f>
        <v>59.1.1</v>
      </c>
      <c r="AQ311" s="1191"/>
    </row>
    <row r="312" spans="1:43" ht="17.25" customHeight="1">
      <c r="A312" s="1758"/>
      <c r="B312" s="1771"/>
      <c r="C312" s="1763"/>
      <c r="D312" s="8781"/>
      <c r="E312" s="8782"/>
      <c r="F312" s="8772"/>
      <c r="G312" s="8785"/>
      <c r="H312" s="8806"/>
      <c r="I312" s="8806"/>
      <c r="J312" s="8805"/>
      <c r="K312" s="8809"/>
      <c r="L312" s="8735"/>
      <c r="M312" s="8735"/>
      <c r="N312" s="8810"/>
      <c r="O312" s="8809"/>
      <c r="P312" s="8735"/>
      <c r="Q312" s="8735"/>
      <c r="R312" s="8812" t="s">
        <v>24</v>
      </c>
      <c r="S312" s="8804"/>
      <c r="T312" s="1355"/>
      <c r="U312" s="1356"/>
      <c r="V312" s="1356"/>
      <c r="W312" s="8805"/>
      <c r="Y312" s="1184"/>
      <c r="Z312" s="1184"/>
      <c r="AA312" s="1184"/>
      <c r="AB312" s="1184"/>
      <c r="AC312" s="1184"/>
      <c r="AD312" s="1184"/>
      <c r="AE312" s="1184"/>
      <c r="AF312" s="1184"/>
      <c r="AG312" s="1184"/>
      <c r="AH312" s="1184"/>
      <c r="AI312" s="1184"/>
      <c r="AJ312" s="1184"/>
      <c r="AK312" s="1184"/>
      <c r="AL312" s="1771"/>
      <c r="AM312" s="1771"/>
      <c r="AN312" s="1771"/>
      <c r="AO312" s="1771"/>
      <c r="AP312" s="1771"/>
      <c r="AQ312" s="1771"/>
    </row>
    <row r="313" spans="1:43" ht="17.25" customHeight="1">
      <c r="A313" s="1758"/>
      <c r="B313" s="1771"/>
      <c r="C313" s="1763"/>
      <c r="D313" s="8781"/>
      <c r="E313" s="8782"/>
      <c r="F313" s="8772"/>
      <c r="G313" s="8785"/>
      <c r="H313" s="8768"/>
      <c r="I313" s="8768"/>
      <c r="J313" s="8807"/>
      <c r="K313" s="8809"/>
      <c r="L313" s="8768"/>
      <c r="M313" s="8768"/>
      <c r="N313" s="8811"/>
      <c r="O313" s="8739"/>
      <c r="P313" s="236"/>
      <c r="Q313" s="237"/>
      <c r="R313" s="237" t="s">
        <v>314</v>
      </c>
      <c r="S313" s="1764"/>
      <c r="T313" s="1764"/>
      <c r="U313" s="1764"/>
      <c r="V313" s="1764"/>
      <c r="W313" s="1353"/>
      <c r="Y313" s="1184"/>
      <c r="Z313" s="1184"/>
      <c r="AA313" s="1184"/>
      <c r="AB313" s="1184"/>
      <c r="AC313" s="1184"/>
      <c r="AD313" s="1184"/>
      <c r="AE313" s="1184"/>
      <c r="AF313" s="1184"/>
      <c r="AG313" s="1184"/>
      <c r="AH313" s="1184"/>
      <c r="AI313" s="1184"/>
      <c r="AJ313" s="1184"/>
      <c r="AK313" s="1184"/>
      <c r="AL313" s="1771"/>
      <c r="AM313" s="1771"/>
      <c r="AN313" s="1771"/>
      <c r="AO313" s="1771"/>
      <c r="AP313" s="1771"/>
      <c r="AQ313" s="1771"/>
    </row>
    <row r="314" spans="1:43" ht="17.25" customHeight="1">
      <c r="A314" s="1758"/>
      <c r="B314" s="1771"/>
      <c r="C314" s="1763"/>
      <c r="D314" s="8781"/>
      <c r="E314" s="8782"/>
      <c r="F314" s="8772"/>
      <c r="G314" s="8785"/>
      <c r="H314" s="8768"/>
      <c r="I314" s="8768"/>
      <c r="J314" s="8807"/>
      <c r="K314" s="8739"/>
      <c r="L314" s="236"/>
      <c r="M314" s="237"/>
      <c r="N314" s="237" t="s">
        <v>315</v>
      </c>
      <c r="O314" s="237"/>
      <c r="P314" s="237"/>
      <c r="Q314" s="237"/>
      <c r="R314" s="237"/>
      <c r="S314" s="1764"/>
      <c r="T314" s="1764"/>
      <c r="U314" s="1764"/>
      <c r="V314" s="1764"/>
      <c r="W314" s="238"/>
      <c r="Y314" s="1184"/>
      <c r="Z314" s="1184"/>
      <c r="AA314" s="1184"/>
      <c r="AB314" s="1184"/>
      <c r="AC314" s="1184"/>
      <c r="AD314" s="1184"/>
      <c r="AE314" s="1184"/>
      <c r="AF314" s="1184"/>
      <c r="AG314" s="1184"/>
      <c r="AH314" s="1184"/>
      <c r="AI314" s="1184"/>
      <c r="AJ314" s="1184"/>
      <c r="AK314" s="1184"/>
      <c r="AL314" s="1771"/>
      <c r="AM314" s="1771"/>
      <c r="AN314" s="1771"/>
      <c r="AO314" s="1771"/>
      <c r="AP314" s="1771"/>
      <c r="AQ314" s="1771"/>
    </row>
    <row r="315" spans="1:43" ht="17.25" customHeight="1">
      <c r="A315" s="1758"/>
      <c r="B315" s="1771"/>
      <c r="C315" s="1760"/>
      <c r="D315" s="8781"/>
      <c r="E315" s="8782"/>
      <c r="F315" s="8772"/>
      <c r="G315" s="8785"/>
      <c r="H315" s="8806" t="s">
        <v>100</v>
      </c>
      <c r="I315" s="8806" t="s">
        <v>641</v>
      </c>
      <c r="J315" s="8805" t="s">
        <v>642</v>
      </c>
      <c r="K315" s="8808" t="s">
        <v>63</v>
      </c>
      <c r="L315" s="8735"/>
      <c r="M315" s="8735" t="s">
        <v>95</v>
      </c>
      <c r="N315" s="8810" t="str">
        <f>IF(Z315="","",INDEX(TERRITORY_MR_LIST,MATCH(Z315,TERRITORY_LIST_ID,0)))</f>
        <v>Территория 18</v>
      </c>
      <c r="O315" s="8808" t="s">
        <v>53</v>
      </c>
      <c r="P315" s="8735"/>
      <c r="Q315" s="8735" t="s">
        <v>95</v>
      </c>
      <c r="R315" s="8812" t="s">
        <v>24</v>
      </c>
      <c r="S315" s="8804" t="s">
        <v>53</v>
      </c>
      <c r="T315" s="1722"/>
      <c r="U315" s="1722" t="s">
        <v>95</v>
      </c>
      <c r="V315" s="1354"/>
      <c r="W315" s="8805"/>
      <c r="Y315" s="1191"/>
      <c r="Z315" s="1191" t="s">
        <v>176</v>
      </c>
      <c r="AA315" s="1191"/>
      <c r="AB315" s="1191"/>
      <c r="AC315" s="1191" t="s">
        <v>310</v>
      </c>
      <c r="AD315" s="1191" t="s">
        <v>643</v>
      </c>
      <c r="AE315" s="1191" t="s">
        <v>644</v>
      </c>
      <c r="AF315" s="1191" t="s">
        <v>645</v>
      </c>
      <c r="AG315" s="1191" t="s">
        <v>646</v>
      </c>
      <c r="AH315" s="1191" t="str">
        <f>IF($E$79=0,"",$E$79)</f>
        <v>Тариф на подвоз воды</v>
      </c>
      <c r="AI315" s="1191" t="str">
        <f>IF($G$79=0,"",$G$79)</f>
        <v>Холодное водоснабжение. Подвозная вода</v>
      </c>
      <c r="AJ315" s="1191" t="str">
        <f>IF($J$315=0,"",$J$315)</f>
        <v>Подвоз воды потребителям аула Бакрес</v>
      </c>
      <c r="AK315" s="1191" t="str">
        <f>IF($K$315="нет","без дифференциации",IF($N$315=0,"",$N$315))</f>
        <v>Территория 18</v>
      </c>
      <c r="AL315" s="1762" t="str">
        <f>IF($O$315="нет","без дифференциации",IF($R$315=0,"",$R$315))</f>
        <v>без дифференциации</v>
      </c>
      <c r="AM315" s="1762"/>
      <c r="AN315" s="1191" t="str">
        <f>$I$315</f>
        <v>60</v>
      </c>
      <c r="AO315" s="1191" t="str">
        <f>$I$315&amp;"."&amp;$M$315</f>
        <v>60.1</v>
      </c>
      <c r="AP315" s="1191" t="str">
        <f>$I$315&amp;"."&amp;$M$315&amp;"."&amp;$Q$315</f>
        <v>60.1.1</v>
      </c>
      <c r="AQ315" s="1191"/>
    </row>
    <row r="316" spans="1:43" ht="17.25" customHeight="1">
      <c r="A316" s="1758"/>
      <c r="B316" s="1771"/>
      <c r="C316" s="1763"/>
      <c r="D316" s="8781"/>
      <c r="E316" s="8782"/>
      <c r="F316" s="8772"/>
      <c r="G316" s="8785"/>
      <c r="H316" s="8806"/>
      <c r="I316" s="8806"/>
      <c r="J316" s="8805"/>
      <c r="K316" s="8809"/>
      <c r="L316" s="8735"/>
      <c r="M316" s="8735"/>
      <c r="N316" s="8810"/>
      <c r="O316" s="8809"/>
      <c r="P316" s="8735"/>
      <c r="Q316" s="8735"/>
      <c r="R316" s="8812" t="s">
        <v>24</v>
      </c>
      <c r="S316" s="8804"/>
      <c r="T316" s="1355"/>
      <c r="U316" s="1356"/>
      <c r="V316" s="1356"/>
      <c r="W316" s="8805"/>
      <c r="Y316" s="1184"/>
      <c r="Z316" s="1184"/>
      <c r="AA316" s="1184"/>
      <c r="AB316" s="1184"/>
      <c r="AC316" s="1184"/>
      <c r="AD316" s="1184"/>
      <c r="AE316" s="1184"/>
      <c r="AF316" s="1184"/>
      <c r="AG316" s="1184"/>
      <c r="AH316" s="1184"/>
      <c r="AI316" s="1184"/>
      <c r="AJ316" s="1184"/>
      <c r="AK316" s="1184"/>
      <c r="AL316" s="1771"/>
      <c r="AM316" s="1771"/>
      <c r="AN316" s="1771"/>
      <c r="AO316" s="1771"/>
      <c r="AP316" s="1771"/>
      <c r="AQ316" s="1771"/>
    </row>
    <row r="317" spans="1:43" ht="17.25" customHeight="1">
      <c r="A317" s="1758"/>
      <c r="B317" s="1771"/>
      <c r="C317" s="1763"/>
      <c r="D317" s="8781"/>
      <c r="E317" s="8782"/>
      <c r="F317" s="8772"/>
      <c r="G317" s="8785"/>
      <c r="H317" s="8768"/>
      <c r="I317" s="8768"/>
      <c r="J317" s="8807"/>
      <c r="K317" s="8809"/>
      <c r="L317" s="8768"/>
      <c r="M317" s="8768"/>
      <c r="N317" s="8811"/>
      <c r="O317" s="8739"/>
      <c r="P317" s="236"/>
      <c r="Q317" s="237"/>
      <c r="R317" s="237" t="s">
        <v>314</v>
      </c>
      <c r="S317" s="1764"/>
      <c r="T317" s="1764"/>
      <c r="U317" s="1764"/>
      <c r="V317" s="1764"/>
      <c r="W317" s="1353"/>
      <c r="Y317" s="1184"/>
      <c r="Z317" s="1184"/>
      <c r="AA317" s="1184"/>
      <c r="AB317" s="1184"/>
      <c r="AC317" s="1184"/>
      <c r="AD317" s="1184"/>
      <c r="AE317" s="1184"/>
      <c r="AF317" s="1184"/>
      <c r="AG317" s="1184"/>
      <c r="AH317" s="1184"/>
      <c r="AI317" s="1184"/>
      <c r="AJ317" s="1184"/>
      <c r="AK317" s="1184"/>
      <c r="AL317" s="1771"/>
      <c r="AM317" s="1771"/>
      <c r="AN317" s="1771"/>
      <c r="AO317" s="1771"/>
      <c r="AP317" s="1771"/>
      <c r="AQ317" s="1771"/>
    </row>
    <row r="318" spans="1:43" ht="17.25" customHeight="1">
      <c r="A318" s="1758"/>
      <c r="B318" s="1771"/>
      <c r="C318" s="1763"/>
      <c r="D318" s="8781"/>
      <c r="E318" s="8782"/>
      <c r="F318" s="8772"/>
      <c r="G318" s="8785"/>
      <c r="H318" s="8768"/>
      <c r="I318" s="8768"/>
      <c r="J318" s="8807"/>
      <c r="K318" s="8739"/>
      <c r="L318" s="236"/>
      <c r="M318" s="237"/>
      <c r="N318" s="237" t="s">
        <v>315</v>
      </c>
      <c r="O318" s="237"/>
      <c r="P318" s="237"/>
      <c r="Q318" s="237"/>
      <c r="R318" s="237"/>
      <c r="S318" s="1764"/>
      <c r="T318" s="1764"/>
      <c r="U318" s="1764"/>
      <c r="V318" s="1764"/>
      <c r="W318" s="238"/>
      <c r="Y318" s="1184"/>
      <c r="Z318" s="1184"/>
      <c r="AA318" s="1184"/>
      <c r="AB318" s="1184"/>
      <c r="AC318" s="1184"/>
      <c r="AD318" s="1184"/>
      <c r="AE318" s="1184"/>
      <c r="AF318" s="1184"/>
      <c r="AG318" s="1184"/>
      <c r="AH318" s="1184"/>
      <c r="AI318" s="1184"/>
      <c r="AJ318" s="1184"/>
      <c r="AK318" s="1184"/>
      <c r="AL318" s="1771"/>
      <c r="AM318" s="1771"/>
      <c r="AN318" s="1771"/>
      <c r="AO318" s="1771"/>
      <c r="AP318" s="1771"/>
      <c r="AQ318" s="1771"/>
    </row>
    <row r="319" spans="1:43" ht="17.25" customHeight="1">
      <c r="A319" s="1758"/>
      <c r="B319" s="1771"/>
      <c r="C319" s="1760"/>
      <c r="D319" s="8781"/>
      <c r="E319" s="8782"/>
      <c r="F319" s="8772"/>
      <c r="G319" s="8785"/>
      <c r="H319" s="8806" t="s">
        <v>100</v>
      </c>
      <c r="I319" s="8806" t="s">
        <v>647</v>
      </c>
      <c r="J319" s="8805" t="s">
        <v>648</v>
      </c>
      <c r="K319" s="8808" t="s">
        <v>63</v>
      </c>
      <c r="L319" s="8735"/>
      <c r="M319" s="8735" t="s">
        <v>95</v>
      </c>
      <c r="N319" s="8810" t="str">
        <f>IF(Z319="","",INDEX(TERRITORY_MR_LIST,MATCH(Z319,TERRITORY_LIST_ID,0)))</f>
        <v>Территория 18</v>
      </c>
      <c r="O319" s="8808" t="s">
        <v>53</v>
      </c>
      <c r="P319" s="8735"/>
      <c r="Q319" s="8735" t="s">
        <v>95</v>
      </c>
      <c r="R319" s="8812" t="s">
        <v>24</v>
      </c>
      <c r="S319" s="8804" t="s">
        <v>53</v>
      </c>
      <c r="T319" s="1722"/>
      <c r="U319" s="1722" t="s">
        <v>95</v>
      </c>
      <c r="V319" s="1354"/>
      <c r="W319" s="8805"/>
      <c r="Y319" s="1191"/>
      <c r="Z319" s="1191" t="s">
        <v>176</v>
      </c>
      <c r="AA319" s="1191"/>
      <c r="AB319" s="1191"/>
      <c r="AC319" s="1191" t="s">
        <v>310</v>
      </c>
      <c r="AD319" s="1191" t="s">
        <v>649</v>
      </c>
      <c r="AE319" s="1191" t="s">
        <v>650</v>
      </c>
      <c r="AF319" s="1191" t="s">
        <v>651</v>
      </c>
      <c r="AG319" s="1191" t="s">
        <v>652</v>
      </c>
      <c r="AH319" s="1191" t="str">
        <f>IF($E$79=0,"",$E$79)</f>
        <v>Тариф на подвоз воды</v>
      </c>
      <c r="AI319" s="1191" t="str">
        <f>IF($G$79=0,"",$G$79)</f>
        <v>Холодное водоснабжение. Подвозная вода</v>
      </c>
      <c r="AJ319" s="1191" t="str">
        <f>IF($J$319=0,"",$J$319)</f>
        <v>Подвоз воды потребителям аула Уллуби-Юрт</v>
      </c>
      <c r="AK319" s="1191" t="str">
        <f>IF($K$319="нет","без дифференциации",IF($N$319=0,"",$N$319))</f>
        <v>Территория 18</v>
      </c>
      <c r="AL319" s="1762" t="str">
        <f>IF($O$319="нет","без дифференциации",IF($R$319=0,"",$R$319))</f>
        <v>без дифференциации</v>
      </c>
      <c r="AM319" s="1762"/>
      <c r="AN319" s="1191" t="str">
        <f>$I$319</f>
        <v>61</v>
      </c>
      <c r="AO319" s="1191" t="str">
        <f>$I$319&amp;"."&amp;$M$319</f>
        <v>61.1</v>
      </c>
      <c r="AP319" s="1191" t="str">
        <f>$I$319&amp;"."&amp;$M$319&amp;"."&amp;$Q$319</f>
        <v>61.1.1</v>
      </c>
      <c r="AQ319" s="1191"/>
    </row>
    <row r="320" spans="1:43" ht="17.25" customHeight="1">
      <c r="A320" s="1758"/>
      <c r="B320" s="1771"/>
      <c r="C320" s="1763"/>
      <c r="D320" s="8781"/>
      <c r="E320" s="8782"/>
      <c r="F320" s="8772"/>
      <c r="G320" s="8785"/>
      <c r="H320" s="8806"/>
      <c r="I320" s="8806"/>
      <c r="J320" s="8805"/>
      <c r="K320" s="8809"/>
      <c r="L320" s="8735"/>
      <c r="M320" s="8735"/>
      <c r="N320" s="8810"/>
      <c r="O320" s="8809"/>
      <c r="P320" s="8735"/>
      <c r="Q320" s="8735"/>
      <c r="R320" s="8812" t="s">
        <v>24</v>
      </c>
      <c r="S320" s="8804"/>
      <c r="T320" s="1355"/>
      <c r="U320" s="1356"/>
      <c r="V320" s="1356"/>
      <c r="W320" s="8805"/>
      <c r="Y320" s="1184"/>
      <c r="Z320" s="1184"/>
      <c r="AA320" s="1184"/>
      <c r="AB320" s="1184"/>
      <c r="AC320" s="1184"/>
      <c r="AD320" s="1184"/>
      <c r="AE320" s="1184"/>
      <c r="AF320" s="1184"/>
      <c r="AG320" s="1184"/>
      <c r="AH320" s="1184"/>
      <c r="AI320" s="1184"/>
      <c r="AJ320" s="1184"/>
      <c r="AK320" s="1184"/>
      <c r="AL320" s="1771"/>
      <c r="AM320" s="1771"/>
      <c r="AN320" s="1771"/>
      <c r="AO320" s="1771"/>
      <c r="AP320" s="1771"/>
      <c r="AQ320" s="1771"/>
    </row>
    <row r="321" spans="1:43" ht="17.25" customHeight="1">
      <c r="A321" s="1758"/>
      <c r="B321" s="1771"/>
      <c r="C321" s="1763"/>
      <c r="D321" s="8781"/>
      <c r="E321" s="8782"/>
      <c r="F321" s="8772"/>
      <c r="G321" s="8785"/>
      <c r="H321" s="8768"/>
      <c r="I321" s="8768"/>
      <c r="J321" s="8807"/>
      <c r="K321" s="8809"/>
      <c r="L321" s="8768"/>
      <c r="M321" s="8768"/>
      <c r="N321" s="8811"/>
      <c r="O321" s="8739"/>
      <c r="P321" s="236"/>
      <c r="Q321" s="237"/>
      <c r="R321" s="237" t="s">
        <v>314</v>
      </c>
      <c r="S321" s="1764"/>
      <c r="T321" s="1764"/>
      <c r="U321" s="1764"/>
      <c r="V321" s="1764"/>
      <c r="W321" s="1353"/>
      <c r="Y321" s="1184"/>
      <c r="Z321" s="1184"/>
      <c r="AA321" s="1184"/>
      <c r="AB321" s="1184"/>
      <c r="AC321" s="1184"/>
      <c r="AD321" s="1184"/>
      <c r="AE321" s="1184"/>
      <c r="AF321" s="1184"/>
      <c r="AG321" s="1184"/>
      <c r="AH321" s="1184"/>
      <c r="AI321" s="1184"/>
      <c r="AJ321" s="1184"/>
      <c r="AK321" s="1184"/>
      <c r="AL321" s="1771"/>
      <c r="AM321" s="1771"/>
      <c r="AN321" s="1771"/>
      <c r="AO321" s="1771"/>
      <c r="AP321" s="1771"/>
      <c r="AQ321" s="1771"/>
    </row>
    <row r="322" spans="1:43" ht="17.25" customHeight="1">
      <c r="A322" s="1758"/>
      <c r="B322" s="1771"/>
      <c r="C322" s="1763"/>
      <c r="D322" s="8781"/>
      <c r="E322" s="8782"/>
      <c r="F322" s="8772"/>
      <c r="G322" s="8785"/>
      <c r="H322" s="8768"/>
      <c r="I322" s="8768"/>
      <c r="J322" s="8807"/>
      <c r="K322" s="8739"/>
      <c r="L322" s="236"/>
      <c r="M322" s="237"/>
      <c r="N322" s="237" t="s">
        <v>315</v>
      </c>
      <c r="O322" s="237"/>
      <c r="P322" s="237"/>
      <c r="Q322" s="237"/>
      <c r="R322" s="237"/>
      <c r="S322" s="1764"/>
      <c r="T322" s="1764"/>
      <c r="U322" s="1764"/>
      <c r="V322" s="1764"/>
      <c r="W322" s="238"/>
      <c r="Y322" s="1184"/>
      <c r="Z322" s="1184"/>
      <c r="AA322" s="1184"/>
      <c r="AB322" s="1184"/>
      <c r="AC322" s="1184"/>
      <c r="AD322" s="1184"/>
      <c r="AE322" s="1184"/>
      <c r="AF322" s="1184"/>
      <c r="AG322" s="1184"/>
      <c r="AH322" s="1184"/>
      <c r="AI322" s="1184"/>
      <c r="AJ322" s="1184"/>
      <c r="AK322" s="1184"/>
      <c r="AL322" s="1771"/>
      <c r="AM322" s="1771"/>
      <c r="AN322" s="1771"/>
      <c r="AO322" s="1771"/>
      <c r="AP322" s="1771"/>
      <c r="AQ322" s="1771"/>
    </row>
    <row r="323" spans="1:43" ht="17.25" customHeight="1">
      <c r="A323" s="1758"/>
      <c r="B323" s="1771"/>
      <c r="C323" s="1760"/>
      <c r="D323" s="8781"/>
      <c r="E323" s="8782"/>
      <c r="F323" s="8772"/>
      <c r="G323" s="8785"/>
      <c r="H323" s="8806" t="s">
        <v>100</v>
      </c>
      <c r="I323" s="8806" t="s">
        <v>653</v>
      </c>
      <c r="J323" s="8805" t="s">
        <v>654</v>
      </c>
      <c r="K323" s="8808" t="s">
        <v>63</v>
      </c>
      <c r="L323" s="8735"/>
      <c r="M323" s="8735" t="s">
        <v>95</v>
      </c>
      <c r="N323" s="8810" t="str">
        <f>IF(Z323="","",INDEX(TERRITORY_MR_LIST,MATCH(Z323,TERRITORY_LIST_ID,0)))</f>
        <v>Территория 18</v>
      </c>
      <c r="O323" s="8808" t="s">
        <v>53</v>
      </c>
      <c r="P323" s="8735"/>
      <c r="Q323" s="8735" t="s">
        <v>95</v>
      </c>
      <c r="R323" s="8812" t="s">
        <v>24</v>
      </c>
      <c r="S323" s="8804" t="s">
        <v>53</v>
      </c>
      <c r="T323" s="1722"/>
      <c r="U323" s="1722" t="s">
        <v>95</v>
      </c>
      <c r="V323" s="1354"/>
      <c r="W323" s="8805"/>
      <c r="Y323" s="1191"/>
      <c r="Z323" s="1191" t="s">
        <v>176</v>
      </c>
      <c r="AA323" s="1191"/>
      <c r="AB323" s="1191"/>
      <c r="AC323" s="1191" t="s">
        <v>310</v>
      </c>
      <c r="AD323" s="1191" t="s">
        <v>655</v>
      </c>
      <c r="AE323" s="1191" t="s">
        <v>656</v>
      </c>
      <c r="AF323" s="1191" t="s">
        <v>657</v>
      </c>
      <c r="AG323" s="1191" t="s">
        <v>658</v>
      </c>
      <c r="AH323" s="1191" t="str">
        <f>IF($E$79=0,"",$E$79)</f>
        <v>Тариф на подвоз воды</v>
      </c>
      <c r="AI323" s="1191" t="str">
        <f>IF($G$79=0,"",$G$79)</f>
        <v>Холодное водоснабжение. Подвозная вода</v>
      </c>
      <c r="AJ323" s="1191" t="str">
        <f>IF($J$323=0,"",$J$323)</f>
        <v>Подвоз воды потребителям аула Махач-Аул</v>
      </c>
      <c r="AK323" s="1191" t="str">
        <f>IF($K$323="нет","без дифференциации",IF($N$323=0,"",$N$323))</f>
        <v>Территория 18</v>
      </c>
      <c r="AL323" s="1762" t="str">
        <f>IF($O$323="нет","без дифференциации",IF($R$323=0,"",$R$323))</f>
        <v>без дифференциации</v>
      </c>
      <c r="AM323" s="1762"/>
      <c r="AN323" s="1191" t="str">
        <f>$I$323</f>
        <v>62</v>
      </c>
      <c r="AO323" s="1191" t="str">
        <f>$I$323&amp;"."&amp;$M$323</f>
        <v>62.1</v>
      </c>
      <c r="AP323" s="1191" t="str">
        <f>$I$323&amp;"."&amp;$M$323&amp;"."&amp;$Q$323</f>
        <v>62.1.1</v>
      </c>
      <c r="AQ323" s="1191"/>
    </row>
    <row r="324" spans="1:43" ht="17.25" customHeight="1">
      <c r="A324" s="1758"/>
      <c r="B324" s="1771"/>
      <c r="C324" s="1763"/>
      <c r="D324" s="8781"/>
      <c r="E324" s="8782"/>
      <c r="F324" s="8772"/>
      <c r="G324" s="8785"/>
      <c r="H324" s="8806"/>
      <c r="I324" s="8806"/>
      <c r="J324" s="8805"/>
      <c r="K324" s="8809"/>
      <c r="L324" s="8735"/>
      <c r="M324" s="8735"/>
      <c r="N324" s="8810"/>
      <c r="O324" s="8809"/>
      <c r="P324" s="8735"/>
      <c r="Q324" s="8735"/>
      <c r="R324" s="8812" t="s">
        <v>24</v>
      </c>
      <c r="S324" s="8804"/>
      <c r="T324" s="1355"/>
      <c r="U324" s="1356"/>
      <c r="V324" s="1356"/>
      <c r="W324" s="8805"/>
      <c r="Y324" s="1184"/>
      <c r="Z324" s="1184"/>
      <c r="AA324" s="1184"/>
      <c r="AB324" s="1184"/>
      <c r="AC324" s="1184"/>
      <c r="AD324" s="1184"/>
      <c r="AE324" s="1184"/>
      <c r="AF324" s="1184"/>
      <c r="AG324" s="1184"/>
      <c r="AH324" s="1184"/>
      <c r="AI324" s="1184"/>
      <c r="AJ324" s="1184"/>
      <c r="AK324" s="1184"/>
      <c r="AL324" s="1771"/>
      <c r="AM324" s="1771"/>
      <c r="AN324" s="1771"/>
      <c r="AO324" s="1771"/>
      <c r="AP324" s="1771"/>
      <c r="AQ324" s="1771"/>
    </row>
    <row r="325" spans="1:43" ht="17.25" customHeight="1">
      <c r="A325" s="1758"/>
      <c r="B325" s="1771"/>
      <c r="C325" s="1763"/>
      <c r="D325" s="8781"/>
      <c r="E325" s="8782"/>
      <c r="F325" s="8772"/>
      <c r="G325" s="8785"/>
      <c r="H325" s="8768"/>
      <c r="I325" s="8768"/>
      <c r="J325" s="8807"/>
      <c r="K325" s="8809"/>
      <c r="L325" s="8768"/>
      <c r="M325" s="8768"/>
      <c r="N325" s="8811"/>
      <c r="O325" s="8739"/>
      <c r="P325" s="236"/>
      <c r="Q325" s="237"/>
      <c r="R325" s="237" t="s">
        <v>314</v>
      </c>
      <c r="S325" s="1764"/>
      <c r="T325" s="1764"/>
      <c r="U325" s="1764"/>
      <c r="V325" s="1764"/>
      <c r="W325" s="1353"/>
      <c r="Y325" s="1184"/>
      <c r="Z325" s="1184"/>
      <c r="AA325" s="1184"/>
      <c r="AB325" s="1184"/>
      <c r="AC325" s="1184"/>
      <c r="AD325" s="1184"/>
      <c r="AE325" s="1184"/>
      <c r="AF325" s="1184"/>
      <c r="AG325" s="1184"/>
      <c r="AH325" s="1184"/>
      <c r="AI325" s="1184"/>
      <c r="AJ325" s="1184"/>
      <c r="AK325" s="1184"/>
      <c r="AL325" s="1771"/>
      <c r="AM325" s="1771"/>
      <c r="AN325" s="1771"/>
      <c r="AO325" s="1771"/>
      <c r="AP325" s="1771"/>
      <c r="AQ325" s="1771"/>
    </row>
    <row r="326" spans="1:43" ht="17.25" customHeight="1">
      <c r="A326" s="1758"/>
      <c r="B326" s="1771"/>
      <c r="C326" s="1763"/>
      <c r="D326" s="8781"/>
      <c r="E326" s="8782"/>
      <c r="F326" s="8772"/>
      <c r="G326" s="8785"/>
      <c r="H326" s="8768"/>
      <c r="I326" s="8768"/>
      <c r="J326" s="8807"/>
      <c r="K326" s="8739"/>
      <c r="L326" s="236"/>
      <c r="M326" s="237"/>
      <c r="N326" s="237" t="s">
        <v>315</v>
      </c>
      <c r="O326" s="237"/>
      <c r="P326" s="237"/>
      <c r="Q326" s="237"/>
      <c r="R326" s="237"/>
      <c r="S326" s="1764"/>
      <c r="T326" s="1764"/>
      <c r="U326" s="1764"/>
      <c r="V326" s="1764"/>
      <c r="W326" s="238"/>
      <c r="Y326" s="1184"/>
      <c r="Z326" s="1184"/>
      <c r="AA326" s="1184"/>
      <c r="AB326" s="1184"/>
      <c r="AC326" s="1184"/>
      <c r="AD326" s="1184"/>
      <c r="AE326" s="1184"/>
      <c r="AF326" s="1184"/>
      <c r="AG326" s="1184"/>
      <c r="AH326" s="1184"/>
      <c r="AI326" s="1184"/>
      <c r="AJ326" s="1184"/>
      <c r="AK326" s="1184"/>
      <c r="AL326" s="1771"/>
      <c r="AM326" s="1771"/>
      <c r="AN326" s="1771"/>
      <c r="AO326" s="1771"/>
      <c r="AP326" s="1771"/>
      <c r="AQ326" s="1771"/>
    </row>
    <row r="327" spans="1:43" ht="17.25" customHeight="1">
      <c r="A327" s="1758"/>
      <c r="B327" s="1771"/>
      <c r="C327" s="1760"/>
      <c r="D327" s="8781"/>
      <c r="E327" s="8782"/>
      <c r="F327" s="8772"/>
      <c r="G327" s="8785"/>
      <c r="H327" s="8806" t="s">
        <v>100</v>
      </c>
      <c r="I327" s="8806" t="s">
        <v>659</v>
      </c>
      <c r="J327" s="8805" t="s">
        <v>660</v>
      </c>
      <c r="K327" s="8808" t="s">
        <v>63</v>
      </c>
      <c r="L327" s="8735"/>
      <c r="M327" s="8735" t="s">
        <v>95</v>
      </c>
      <c r="N327" s="8810" t="str">
        <f>IF(Z327="","",INDEX(TERRITORY_MR_LIST,MATCH(Z327,TERRITORY_LIST_ID,0)))</f>
        <v>Территория 18</v>
      </c>
      <c r="O327" s="8808" t="s">
        <v>53</v>
      </c>
      <c r="P327" s="8735"/>
      <c r="Q327" s="8735" t="s">
        <v>95</v>
      </c>
      <c r="R327" s="8812" t="s">
        <v>24</v>
      </c>
      <c r="S327" s="8804" t="s">
        <v>53</v>
      </c>
      <c r="T327" s="1722"/>
      <c r="U327" s="1722" t="s">
        <v>95</v>
      </c>
      <c r="V327" s="1354"/>
      <c r="W327" s="8805"/>
      <c r="Y327" s="1191"/>
      <c r="Z327" s="1191" t="s">
        <v>176</v>
      </c>
      <c r="AA327" s="1191"/>
      <c r="AB327" s="1191"/>
      <c r="AC327" s="1191" t="s">
        <v>310</v>
      </c>
      <c r="AD327" s="1191" t="s">
        <v>661</v>
      </c>
      <c r="AE327" s="1191" t="s">
        <v>662</v>
      </c>
      <c r="AF327" s="1191" t="s">
        <v>663</v>
      </c>
      <c r="AG327" s="1191" t="s">
        <v>664</v>
      </c>
      <c r="AH327" s="1191" t="str">
        <f>IF($E$79=0,"",$E$79)</f>
        <v>Тариф на подвоз воды</v>
      </c>
      <c r="AI327" s="1191" t="str">
        <f>IF($G$79=0,"",$G$79)</f>
        <v>Холодное водоснабжение. Подвозная вода</v>
      </c>
      <c r="AJ327" s="1191" t="str">
        <f>IF($J$327=0,"",$J$327)</f>
        <v>Подвоз воды потребителям аула Уч-Тюбе</v>
      </c>
      <c r="AK327" s="1191" t="str">
        <f>IF($K$327="нет","без дифференциации",IF($N$327=0,"",$N$327))</f>
        <v>Территория 18</v>
      </c>
      <c r="AL327" s="1762" t="str">
        <f>IF($O$327="нет","без дифференциации",IF($R$327=0,"",$R$327))</f>
        <v>без дифференциации</v>
      </c>
      <c r="AM327" s="1762"/>
      <c r="AN327" s="1191" t="str">
        <f>$I$327</f>
        <v>63</v>
      </c>
      <c r="AO327" s="1191" t="str">
        <f>$I$327&amp;"."&amp;$M$327</f>
        <v>63.1</v>
      </c>
      <c r="AP327" s="1191" t="str">
        <f>$I$327&amp;"."&amp;$M$327&amp;"."&amp;$Q$327</f>
        <v>63.1.1</v>
      </c>
      <c r="AQ327" s="1191"/>
    </row>
    <row r="328" spans="1:43" ht="17.25" customHeight="1">
      <c r="A328" s="1758"/>
      <c r="B328" s="1771"/>
      <c r="C328" s="1763"/>
      <c r="D328" s="8781"/>
      <c r="E328" s="8782"/>
      <c r="F328" s="8772"/>
      <c r="G328" s="8785"/>
      <c r="H328" s="8806"/>
      <c r="I328" s="8806"/>
      <c r="J328" s="8805"/>
      <c r="K328" s="8809"/>
      <c r="L328" s="8735"/>
      <c r="M328" s="8735"/>
      <c r="N328" s="8810"/>
      <c r="O328" s="8809"/>
      <c r="P328" s="8735"/>
      <c r="Q328" s="8735"/>
      <c r="R328" s="8812" t="s">
        <v>24</v>
      </c>
      <c r="S328" s="8804"/>
      <c r="T328" s="1355"/>
      <c r="U328" s="1356"/>
      <c r="V328" s="1356"/>
      <c r="W328" s="8805"/>
      <c r="Y328" s="1184"/>
      <c r="Z328" s="1184"/>
      <c r="AA328" s="1184"/>
      <c r="AB328" s="1184"/>
      <c r="AC328" s="1184"/>
      <c r="AD328" s="1184"/>
      <c r="AE328" s="1184"/>
      <c r="AF328" s="1184"/>
      <c r="AG328" s="1184"/>
      <c r="AH328" s="1184"/>
      <c r="AI328" s="1184"/>
      <c r="AJ328" s="1184"/>
      <c r="AK328" s="1184"/>
      <c r="AL328" s="1771"/>
      <c r="AM328" s="1771"/>
      <c r="AN328" s="1771"/>
      <c r="AO328" s="1771"/>
      <c r="AP328" s="1771"/>
      <c r="AQ328" s="1771"/>
    </row>
    <row r="329" spans="1:43" ht="17.25" customHeight="1">
      <c r="A329" s="1758"/>
      <c r="B329" s="1771"/>
      <c r="C329" s="1763"/>
      <c r="D329" s="8781"/>
      <c r="E329" s="8782"/>
      <c r="F329" s="8772"/>
      <c r="G329" s="8785"/>
      <c r="H329" s="8768"/>
      <c r="I329" s="8768"/>
      <c r="J329" s="8807"/>
      <c r="K329" s="8809"/>
      <c r="L329" s="8768"/>
      <c r="M329" s="8768"/>
      <c r="N329" s="8811"/>
      <c r="O329" s="8739"/>
      <c r="P329" s="236"/>
      <c r="Q329" s="237"/>
      <c r="R329" s="237" t="s">
        <v>314</v>
      </c>
      <c r="S329" s="1764"/>
      <c r="T329" s="1764"/>
      <c r="U329" s="1764"/>
      <c r="V329" s="1764"/>
      <c r="W329" s="1353"/>
      <c r="Y329" s="1184"/>
      <c r="Z329" s="1184"/>
      <c r="AA329" s="1184"/>
      <c r="AB329" s="1184"/>
      <c r="AC329" s="1184"/>
      <c r="AD329" s="1184"/>
      <c r="AE329" s="1184"/>
      <c r="AF329" s="1184"/>
      <c r="AG329" s="1184"/>
      <c r="AH329" s="1184"/>
      <c r="AI329" s="1184"/>
      <c r="AJ329" s="1184"/>
      <c r="AK329" s="1184"/>
      <c r="AL329" s="1771"/>
      <c r="AM329" s="1771"/>
      <c r="AN329" s="1771"/>
      <c r="AO329" s="1771"/>
      <c r="AP329" s="1771"/>
      <c r="AQ329" s="1771"/>
    </row>
    <row r="330" spans="1:43" ht="17.25" customHeight="1">
      <c r="A330" s="1758"/>
      <c r="B330" s="1771"/>
      <c r="C330" s="1763"/>
      <c r="D330" s="8781"/>
      <c r="E330" s="8782"/>
      <c r="F330" s="8772"/>
      <c r="G330" s="8785"/>
      <c r="H330" s="8768"/>
      <c r="I330" s="8768"/>
      <c r="J330" s="8807"/>
      <c r="K330" s="8739"/>
      <c r="L330" s="236"/>
      <c r="M330" s="237"/>
      <c r="N330" s="237" t="s">
        <v>315</v>
      </c>
      <c r="O330" s="237"/>
      <c r="P330" s="237"/>
      <c r="Q330" s="237"/>
      <c r="R330" s="237"/>
      <c r="S330" s="1764"/>
      <c r="T330" s="1764"/>
      <c r="U330" s="1764"/>
      <c r="V330" s="1764"/>
      <c r="W330" s="238"/>
      <c r="Y330" s="1184"/>
      <c r="Z330" s="1184"/>
      <c r="AA330" s="1184"/>
      <c r="AB330" s="1184"/>
      <c r="AC330" s="1184"/>
      <c r="AD330" s="1184"/>
      <c r="AE330" s="1184"/>
      <c r="AF330" s="1184"/>
      <c r="AG330" s="1184"/>
      <c r="AH330" s="1184"/>
      <c r="AI330" s="1184"/>
      <c r="AJ330" s="1184"/>
      <c r="AK330" s="1184"/>
      <c r="AL330" s="1771"/>
      <c r="AM330" s="1771"/>
      <c r="AN330" s="1771"/>
      <c r="AO330" s="1771"/>
      <c r="AP330" s="1771"/>
      <c r="AQ330" s="1771"/>
    </row>
    <row r="331" spans="1:43" ht="17.25" customHeight="1">
      <c r="A331" s="1758"/>
      <c r="B331" s="1771"/>
      <c r="C331" s="1760"/>
      <c r="D331" s="8781"/>
      <c r="E331" s="8782"/>
      <c r="F331" s="8772"/>
      <c r="G331" s="8785"/>
      <c r="H331" s="8806" t="s">
        <v>100</v>
      </c>
      <c r="I331" s="8806" t="s">
        <v>115</v>
      </c>
      <c r="J331" s="8805" t="s">
        <v>665</v>
      </c>
      <c r="K331" s="8808" t="s">
        <v>63</v>
      </c>
      <c r="L331" s="8735"/>
      <c r="M331" s="8735" t="s">
        <v>95</v>
      </c>
      <c r="N331" s="8810" t="str">
        <f>IF(Z331="","",INDEX(TERRITORY_MR_LIST,MATCH(Z331,TERRITORY_LIST_ID,0)))</f>
        <v>Территория 18</v>
      </c>
      <c r="O331" s="8808" t="s">
        <v>53</v>
      </c>
      <c r="P331" s="8735"/>
      <c r="Q331" s="8735" t="s">
        <v>95</v>
      </c>
      <c r="R331" s="8812" t="s">
        <v>24</v>
      </c>
      <c r="S331" s="8804" t="s">
        <v>53</v>
      </c>
      <c r="T331" s="1722"/>
      <c r="U331" s="1722" t="s">
        <v>95</v>
      </c>
      <c r="V331" s="1354"/>
      <c r="W331" s="8805"/>
      <c r="Y331" s="1191"/>
      <c r="Z331" s="1191" t="s">
        <v>176</v>
      </c>
      <c r="AA331" s="1191"/>
      <c r="AB331" s="1191"/>
      <c r="AC331" s="1191" t="s">
        <v>310</v>
      </c>
      <c r="AD331" s="1191" t="s">
        <v>666</v>
      </c>
      <c r="AE331" s="1191" t="s">
        <v>667</v>
      </c>
      <c r="AF331" s="1191" t="s">
        <v>668</v>
      </c>
      <c r="AG331" s="1191" t="s">
        <v>669</v>
      </c>
      <c r="AH331" s="1191" t="str">
        <f>IF($E$79=0,"",$E$79)</f>
        <v>Тариф на подвоз воды</v>
      </c>
      <c r="AI331" s="1191" t="str">
        <f>IF($G$79=0,"",$G$79)</f>
        <v>Холодное водоснабжение. Подвозная вода</v>
      </c>
      <c r="AJ331" s="1191" t="str">
        <f>IF($J$331=0,"",$J$331)</f>
        <v>Подвоз воды потребителям аула Кунай</v>
      </c>
      <c r="AK331" s="1191" t="str">
        <f>IF($K$331="нет","без дифференциации",IF($N$331=0,"",$N$331))</f>
        <v>Территория 18</v>
      </c>
      <c r="AL331" s="1762" t="str">
        <f>IF($O$331="нет","без дифференциации",IF($R$331=0,"",$R$331))</f>
        <v>без дифференциации</v>
      </c>
      <c r="AM331" s="1762"/>
      <c r="AN331" s="1191" t="str">
        <f>$I$331</f>
        <v>64</v>
      </c>
      <c r="AO331" s="1191" t="str">
        <f>$I$331&amp;"."&amp;$M$331</f>
        <v>64.1</v>
      </c>
      <c r="AP331" s="1191" t="str">
        <f>$I$331&amp;"."&amp;$M$331&amp;"."&amp;$Q$331</f>
        <v>64.1.1</v>
      </c>
      <c r="AQ331" s="1191"/>
    </row>
    <row r="332" spans="1:43" ht="17.25" customHeight="1">
      <c r="A332" s="1758"/>
      <c r="B332" s="1771"/>
      <c r="C332" s="1763"/>
      <c r="D332" s="8781"/>
      <c r="E332" s="8782"/>
      <c r="F332" s="8772"/>
      <c r="G332" s="8785"/>
      <c r="H332" s="8806"/>
      <c r="I332" s="8806"/>
      <c r="J332" s="8805"/>
      <c r="K332" s="8809"/>
      <c r="L332" s="8735"/>
      <c r="M332" s="8735"/>
      <c r="N332" s="8810"/>
      <c r="O332" s="8809"/>
      <c r="P332" s="8735"/>
      <c r="Q332" s="8735"/>
      <c r="R332" s="8812" t="s">
        <v>24</v>
      </c>
      <c r="S332" s="8804"/>
      <c r="T332" s="1355"/>
      <c r="U332" s="1356"/>
      <c r="V332" s="1356"/>
      <c r="W332" s="8805"/>
      <c r="Y332" s="1184"/>
      <c r="Z332" s="1184"/>
      <c r="AA332" s="1184"/>
      <c r="AB332" s="1184"/>
      <c r="AC332" s="1184"/>
      <c r="AD332" s="1184"/>
      <c r="AE332" s="1184"/>
      <c r="AF332" s="1184"/>
      <c r="AG332" s="1184"/>
      <c r="AH332" s="1184"/>
      <c r="AI332" s="1184"/>
      <c r="AJ332" s="1184"/>
      <c r="AK332" s="1184"/>
      <c r="AL332" s="1771"/>
      <c r="AM332" s="1771"/>
      <c r="AN332" s="1771"/>
      <c r="AO332" s="1771"/>
      <c r="AP332" s="1771"/>
      <c r="AQ332" s="1771"/>
    </row>
    <row r="333" spans="1:43" ht="17.25" customHeight="1">
      <c r="A333" s="1758"/>
      <c r="B333" s="1771"/>
      <c r="C333" s="1763"/>
      <c r="D333" s="8781"/>
      <c r="E333" s="8782"/>
      <c r="F333" s="8772"/>
      <c r="G333" s="8785"/>
      <c r="H333" s="8768"/>
      <c r="I333" s="8768"/>
      <c r="J333" s="8807"/>
      <c r="K333" s="8809"/>
      <c r="L333" s="8768"/>
      <c r="M333" s="8768"/>
      <c r="N333" s="8811"/>
      <c r="O333" s="8739"/>
      <c r="P333" s="236"/>
      <c r="Q333" s="237"/>
      <c r="R333" s="237" t="s">
        <v>314</v>
      </c>
      <c r="S333" s="1764"/>
      <c r="T333" s="1764"/>
      <c r="U333" s="1764"/>
      <c r="V333" s="1764"/>
      <c r="W333" s="1353"/>
      <c r="Y333" s="1184"/>
      <c r="Z333" s="1184"/>
      <c r="AA333" s="1184"/>
      <c r="AB333" s="1184"/>
      <c r="AC333" s="1184"/>
      <c r="AD333" s="1184"/>
      <c r="AE333" s="1184"/>
      <c r="AF333" s="1184"/>
      <c r="AG333" s="1184"/>
      <c r="AH333" s="1184"/>
      <c r="AI333" s="1184"/>
      <c r="AJ333" s="1184"/>
      <c r="AK333" s="1184"/>
      <c r="AL333" s="1771"/>
      <c r="AM333" s="1771"/>
      <c r="AN333" s="1771"/>
      <c r="AO333" s="1771"/>
      <c r="AP333" s="1771"/>
      <c r="AQ333" s="1771"/>
    </row>
    <row r="334" spans="1:43" ht="17.25" customHeight="1">
      <c r="A334" s="1758"/>
      <c r="B334" s="1771"/>
      <c r="C334" s="1763"/>
      <c r="D334" s="8781"/>
      <c r="E334" s="8782"/>
      <c r="F334" s="8772"/>
      <c r="G334" s="8785"/>
      <c r="H334" s="8768"/>
      <c r="I334" s="8768"/>
      <c r="J334" s="8807"/>
      <c r="K334" s="8739"/>
      <c r="L334" s="236"/>
      <c r="M334" s="237"/>
      <c r="N334" s="237" t="s">
        <v>315</v>
      </c>
      <c r="O334" s="237"/>
      <c r="P334" s="237"/>
      <c r="Q334" s="237"/>
      <c r="R334" s="237"/>
      <c r="S334" s="1764"/>
      <c r="T334" s="1764"/>
      <c r="U334" s="1764"/>
      <c r="V334" s="1764"/>
      <c r="W334" s="238"/>
      <c r="Y334" s="1184"/>
      <c r="Z334" s="1184"/>
      <c r="AA334" s="1184"/>
      <c r="AB334" s="1184"/>
      <c r="AC334" s="1184"/>
      <c r="AD334" s="1184"/>
      <c r="AE334" s="1184"/>
      <c r="AF334" s="1184"/>
      <c r="AG334" s="1184"/>
      <c r="AH334" s="1184"/>
      <c r="AI334" s="1184"/>
      <c r="AJ334" s="1184"/>
      <c r="AK334" s="1184"/>
      <c r="AL334" s="1771"/>
      <c r="AM334" s="1771"/>
      <c r="AN334" s="1771"/>
      <c r="AO334" s="1771"/>
      <c r="AP334" s="1771"/>
      <c r="AQ334" s="1771"/>
    </row>
    <row r="335" spans="1:43" ht="17.25" customHeight="1">
      <c r="A335" s="1758"/>
      <c r="B335" s="1771"/>
      <c r="C335" s="1760"/>
      <c r="D335" s="8781"/>
      <c r="E335" s="8782"/>
      <c r="F335" s="8772"/>
      <c r="G335" s="8785"/>
      <c r="H335" s="8806" t="s">
        <v>100</v>
      </c>
      <c r="I335" s="8806" t="s">
        <v>670</v>
      </c>
      <c r="J335" s="8805" t="s">
        <v>671</v>
      </c>
      <c r="K335" s="8808" t="s">
        <v>63</v>
      </c>
      <c r="L335" s="8735"/>
      <c r="M335" s="8735" t="s">
        <v>95</v>
      </c>
      <c r="N335" s="8810" t="str">
        <f>IF(Z335="","",INDEX(TERRITORY_MR_LIST,MATCH(Z335,TERRITORY_LIST_ID,0)))</f>
        <v>Территория 18</v>
      </c>
      <c r="O335" s="8808" t="s">
        <v>53</v>
      </c>
      <c r="P335" s="8735"/>
      <c r="Q335" s="8735" t="s">
        <v>95</v>
      </c>
      <c r="R335" s="8812" t="s">
        <v>24</v>
      </c>
      <c r="S335" s="8804" t="s">
        <v>53</v>
      </c>
      <c r="T335" s="1722"/>
      <c r="U335" s="1722" t="s">
        <v>95</v>
      </c>
      <c r="V335" s="1354"/>
      <c r="W335" s="8805"/>
      <c r="Y335" s="1191"/>
      <c r="Z335" s="1191" t="s">
        <v>176</v>
      </c>
      <c r="AA335" s="1191"/>
      <c r="AB335" s="1191"/>
      <c r="AC335" s="1191" t="s">
        <v>310</v>
      </c>
      <c r="AD335" s="1191" t="s">
        <v>672</v>
      </c>
      <c r="AE335" s="1191" t="s">
        <v>673</v>
      </c>
      <c r="AF335" s="1191" t="s">
        <v>674</v>
      </c>
      <c r="AG335" s="1191" t="s">
        <v>675</v>
      </c>
      <c r="AH335" s="1191" t="str">
        <f>IF($E$79=0,"",$E$79)</f>
        <v>Тариф на подвоз воды</v>
      </c>
      <c r="AI335" s="1191" t="str">
        <f>IF($G$79=0,"",$G$79)</f>
        <v>Холодное водоснабжение. Подвозная вода</v>
      </c>
      <c r="AJ335" s="1191" t="str">
        <f>IF($J$335=0,"",$J$335)</f>
        <v>Подвоз воды потребителям аула Артезиан-Мангит</v>
      </c>
      <c r="AK335" s="1191" t="str">
        <f>IF($K$335="нет","без дифференциации",IF($N$335=0,"",$N$335))</f>
        <v>Территория 18</v>
      </c>
      <c r="AL335" s="1762" t="str">
        <f>IF($O$335="нет","без дифференциации",IF($R$335=0,"",$R$335))</f>
        <v>без дифференциации</v>
      </c>
      <c r="AM335" s="1762"/>
      <c r="AN335" s="1191" t="str">
        <f>$I$335</f>
        <v>65</v>
      </c>
      <c r="AO335" s="1191" t="str">
        <f>$I$335&amp;"."&amp;$M$335</f>
        <v>65.1</v>
      </c>
      <c r="AP335" s="1191" t="str">
        <f>$I$335&amp;"."&amp;$M$335&amp;"."&amp;$Q$335</f>
        <v>65.1.1</v>
      </c>
      <c r="AQ335" s="1191"/>
    </row>
    <row r="336" spans="1:43" ht="17.25" customHeight="1">
      <c r="A336" s="1758"/>
      <c r="B336" s="1771"/>
      <c r="C336" s="1763"/>
      <c r="D336" s="8781"/>
      <c r="E336" s="8782"/>
      <c r="F336" s="8772"/>
      <c r="G336" s="8785"/>
      <c r="H336" s="8806"/>
      <c r="I336" s="8806"/>
      <c r="J336" s="8805"/>
      <c r="K336" s="8809"/>
      <c r="L336" s="8735"/>
      <c r="M336" s="8735"/>
      <c r="N336" s="8810"/>
      <c r="O336" s="8809"/>
      <c r="P336" s="8735"/>
      <c r="Q336" s="8735"/>
      <c r="R336" s="8812" t="s">
        <v>24</v>
      </c>
      <c r="S336" s="8804"/>
      <c r="T336" s="1355"/>
      <c r="U336" s="1356"/>
      <c r="V336" s="1356"/>
      <c r="W336" s="8805"/>
      <c r="Y336" s="1184"/>
      <c r="Z336" s="1184"/>
      <c r="AA336" s="1184"/>
      <c r="AB336" s="1184"/>
      <c r="AC336" s="1184"/>
      <c r="AD336" s="1184"/>
      <c r="AE336" s="1184"/>
      <c r="AF336" s="1184"/>
      <c r="AG336" s="1184"/>
      <c r="AH336" s="1184"/>
      <c r="AI336" s="1184"/>
      <c r="AJ336" s="1184"/>
      <c r="AK336" s="1184"/>
      <c r="AL336" s="1771"/>
      <c r="AM336" s="1771"/>
      <c r="AN336" s="1771"/>
      <c r="AO336" s="1771"/>
      <c r="AP336" s="1771"/>
      <c r="AQ336" s="1771"/>
    </row>
    <row r="337" spans="1:43" ht="17.25" customHeight="1">
      <c r="A337" s="1758"/>
      <c r="B337" s="1771"/>
      <c r="C337" s="1763"/>
      <c r="D337" s="8781"/>
      <c r="E337" s="8782"/>
      <c r="F337" s="8772"/>
      <c r="G337" s="8785"/>
      <c r="H337" s="8768"/>
      <c r="I337" s="8768"/>
      <c r="J337" s="8807"/>
      <c r="K337" s="8809"/>
      <c r="L337" s="8768"/>
      <c r="M337" s="8768"/>
      <c r="N337" s="8811"/>
      <c r="O337" s="8739"/>
      <c r="P337" s="236"/>
      <c r="Q337" s="237"/>
      <c r="R337" s="237" t="s">
        <v>314</v>
      </c>
      <c r="S337" s="1764"/>
      <c r="T337" s="1764"/>
      <c r="U337" s="1764"/>
      <c r="V337" s="1764"/>
      <c r="W337" s="1353"/>
      <c r="Y337" s="1184"/>
      <c r="Z337" s="1184"/>
      <c r="AA337" s="1184"/>
      <c r="AB337" s="1184"/>
      <c r="AC337" s="1184"/>
      <c r="AD337" s="1184"/>
      <c r="AE337" s="1184"/>
      <c r="AF337" s="1184"/>
      <c r="AG337" s="1184"/>
      <c r="AH337" s="1184"/>
      <c r="AI337" s="1184"/>
      <c r="AJ337" s="1184"/>
      <c r="AK337" s="1184"/>
      <c r="AL337" s="1771"/>
      <c r="AM337" s="1771"/>
      <c r="AN337" s="1771"/>
      <c r="AO337" s="1771"/>
      <c r="AP337" s="1771"/>
      <c r="AQ337" s="1771"/>
    </row>
    <row r="338" spans="1:43" ht="17.25" customHeight="1">
      <c r="A338" s="1758"/>
      <c r="B338" s="1771"/>
      <c r="C338" s="1763"/>
      <c r="D338" s="8781"/>
      <c r="E338" s="8782"/>
      <c r="F338" s="8772"/>
      <c r="G338" s="8785"/>
      <c r="H338" s="8768"/>
      <c r="I338" s="8768"/>
      <c r="J338" s="8807"/>
      <c r="K338" s="8739"/>
      <c r="L338" s="236"/>
      <c r="M338" s="237"/>
      <c r="N338" s="237" t="s">
        <v>315</v>
      </c>
      <c r="O338" s="237"/>
      <c r="P338" s="237"/>
      <c r="Q338" s="237"/>
      <c r="R338" s="237"/>
      <c r="S338" s="1764"/>
      <c r="T338" s="1764"/>
      <c r="U338" s="1764"/>
      <c r="V338" s="1764"/>
      <c r="W338" s="238"/>
      <c r="Y338" s="1184"/>
      <c r="Z338" s="1184"/>
      <c r="AA338" s="1184"/>
      <c r="AB338" s="1184"/>
      <c r="AC338" s="1184"/>
      <c r="AD338" s="1184"/>
      <c r="AE338" s="1184"/>
      <c r="AF338" s="1184"/>
      <c r="AG338" s="1184"/>
      <c r="AH338" s="1184"/>
      <c r="AI338" s="1184"/>
      <c r="AJ338" s="1184"/>
      <c r="AK338" s="1184"/>
      <c r="AL338" s="1771"/>
      <c r="AM338" s="1771"/>
      <c r="AN338" s="1771"/>
      <c r="AO338" s="1771"/>
      <c r="AP338" s="1771"/>
      <c r="AQ338" s="1771"/>
    </row>
    <row r="339" spans="1:43" ht="17.25" customHeight="1">
      <c r="A339" s="1758"/>
      <c r="B339" s="1771"/>
      <c r="C339" s="1760"/>
      <c r="D339" s="8781"/>
      <c r="E339" s="8782"/>
      <c r="F339" s="8772"/>
      <c r="G339" s="8785"/>
      <c r="H339" s="8806" t="s">
        <v>100</v>
      </c>
      <c r="I339" s="8806" t="s">
        <v>676</v>
      </c>
      <c r="J339" s="8805" t="s">
        <v>677</v>
      </c>
      <c r="K339" s="8808" t="s">
        <v>63</v>
      </c>
      <c r="L339" s="8735"/>
      <c r="M339" s="8735" t="s">
        <v>95</v>
      </c>
      <c r="N339" s="8810" t="str">
        <f>IF(Z339="","",INDEX(TERRITORY_MR_LIST,MATCH(Z339,TERRITORY_LIST_ID,0)))</f>
        <v>Территория 18</v>
      </c>
      <c r="O339" s="8808" t="s">
        <v>53</v>
      </c>
      <c r="P339" s="8735"/>
      <c r="Q339" s="8735" t="s">
        <v>95</v>
      </c>
      <c r="R339" s="8812" t="s">
        <v>24</v>
      </c>
      <c r="S339" s="8804" t="s">
        <v>53</v>
      </c>
      <c r="T339" s="1722"/>
      <c r="U339" s="1722" t="s">
        <v>95</v>
      </c>
      <c r="V339" s="1354"/>
      <c r="W339" s="8805"/>
      <c r="Y339" s="1191"/>
      <c r="Z339" s="1191" t="s">
        <v>176</v>
      </c>
      <c r="AA339" s="1191"/>
      <c r="AB339" s="1191"/>
      <c r="AC339" s="1191" t="s">
        <v>310</v>
      </c>
      <c r="AD339" s="1191" t="s">
        <v>678</v>
      </c>
      <c r="AE339" s="1191" t="s">
        <v>679</v>
      </c>
      <c r="AF339" s="1191" t="s">
        <v>680</v>
      </c>
      <c r="AG339" s="1191" t="s">
        <v>681</v>
      </c>
      <c r="AH339" s="1191" t="str">
        <f>IF($E$79=0,"",$E$79)</f>
        <v>Тариф на подвоз воды</v>
      </c>
      <c r="AI339" s="1191" t="str">
        <f>IF($G$79=0,"",$G$79)</f>
        <v>Холодное водоснабжение. Подвозная вода</v>
      </c>
      <c r="AJ339" s="1191" t="str">
        <f>IF($J$339=0,"",$J$339)</f>
        <v>Подвоз воды потребителям аула Кок-Бас</v>
      </c>
      <c r="AK339" s="1191" t="str">
        <f>IF($K$339="нет","без дифференциации",IF($N$339=0,"",$N$339))</f>
        <v>Территория 18</v>
      </c>
      <c r="AL339" s="1762" t="str">
        <f>IF($O$339="нет","без дифференциации",IF($R$339=0,"",$R$339))</f>
        <v>без дифференциации</v>
      </c>
      <c r="AM339" s="1762"/>
      <c r="AN339" s="1191" t="str">
        <f>$I$339</f>
        <v>66</v>
      </c>
      <c r="AO339" s="1191" t="str">
        <f>$I$339&amp;"."&amp;$M$339</f>
        <v>66.1</v>
      </c>
      <c r="AP339" s="1191" t="str">
        <f>$I$339&amp;"."&amp;$M$339&amp;"."&amp;$Q$339</f>
        <v>66.1.1</v>
      </c>
      <c r="AQ339" s="1191"/>
    </row>
    <row r="340" spans="1:43" ht="17.25" customHeight="1">
      <c r="A340" s="1758"/>
      <c r="B340" s="1771"/>
      <c r="C340" s="1763"/>
      <c r="D340" s="8781"/>
      <c r="E340" s="8782"/>
      <c r="F340" s="8772"/>
      <c r="G340" s="8785"/>
      <c r="H340" s="8806"/>
      <c r="I340" s="8806"/>
      <c r="J340" s="8805"/>
      <c r="K340" s="8809"/>
      <c r="L340" s="8735"/>
      <c r="M340" s="8735"/>
      <c r="N340" s="8810"/>
      <c r="O340" s="8809"/>
      <c r="P340" s="8735"/>
      <c r="Q340" s="8735"/>
      <c r="R340" s="8812" t="s">
        <v>24</v>
      </c>
      <c r="S340" s="8804"/>
      <c r="T340" s="1355"/>
      <c r="U340" s="1356"/>
      <c r="V340" s="1356"/>
      <c r="W340" s="8805"/>
      <c r="Y340" s="1184"/>
      <c r="Z340" s="1184"/>
      <c r="AA340" s="1184"/>
      <c r="AB340" s="1184"/>
      <c r="AC340" s="1184"/>
      <c r="AD340" s="1184"/>
      <c r="AE340" s="1184"/>
      <c r="AF340" s="1184"/>
      <c r="AG340" s="1184"/>
      <c r="AH340" s="1184"/>
      <c r="AI340" s="1184"/>
      <c r="AJ340" s="1184"/>
      <c r="AK340" s="1184"/>
      <c r="AL340" s="1771"/>
      <c r="AM340" s="1771"/>
      <c r="AN340" s="1771"/>
      <c r="AO340" s="1771"/>
      <c r="AP340" s="1771"/>
      <c r="AQ340" s="1771"/>
    </row>
    <row r="341" spans="1:43" ht="17.25" customHeight="1">
      <c r="A341" s="1758"/>
      <c r="B341" s="1771"/>
      <c r="C341" s="1763"/>
      <c r="D341" s="8781"/>
      <c r="E341" s="8782"/>
      <c r="F341" s="8772"/>
      <c r="G341" s="8785"/>
      <c r="H341" s="8768"/>
      <c r="I341" s="8768"/>
      <c r="J341" s="8807"/>
      <c r="K341" s="8809"/>
      <c r="L341" s="8768"/>
      <c r="M341" s="8768"/>
      <c r="N341" s="8811"/>
      <c r="O341" s="8739"/>
      <c r="P341" s="236"/>
      <c r="Q341" s="237"/>
      <c r="R341" s="237" t="s">
        <v>314</v>
      </c>
      <c r="S341" s="1764"/>
      <c r="T341" s="1764"/>
      <c r="U341" s="1764"/>
      <c r="V341" s="1764"/>
      <c r="W341" s="1353"/>
      <c r="Y341" s="1184"/>
      <c r="Z341" s="1184"/>
      <c r="AA341" s="1184"/>
      <c r="AB341" s="1184"/>
      <c r="AC341" s="1184"/>
      <c r="AD341" s="1184"/>
      <c r="AE341" s="1184"/>
      <c r="AF341" s="1184"/>
      <c r="AG341" s="1184"/>
      <c r="AH341" s="1184"/>
      <c r="AI341" s="1184"/>
      <c r="AJ341" s="1184"/>
      <c r="AK341" s="1184"/>
      <c r="AL341" s="1771"/>
      <c r="AM341" s="1771"/>
      <c r="AN341" s="1771"/>
      <c r="AO341" s="1771"/>
      <c r="AP341" s="1771"/>
      <c r="AQ341" s="1771"/>
    </row>
    <row r="342" spans="1:43" ht="17.25" customHeight="1">
      <c r="A342" s="1758"/>
      <c r="B342" s="1771"/>
      <c r="C342" s="1763"/>
      <c r="D342" s="8781"/>
      <c r="E342" s="8782"/>
      <c r="F342" s="8772"/>
      <c r="G342" s="8785"/>
      <c r="H342" s="8768"/>
      <c r="I342" s="8768"/>
      <c r="J342" s="8807"/>
      <c r="K342" s="8739"/>
      <c r="L342" s="236"/>
      <c r="M342" s="237"/>
      <c r="N342" s="237" t="s">
        <v>315</v>
      </c>
      <c r="O342" s="237"/>
      <c r="P342" s="237"/>
      <c r="Q342" s="237"/>
      <c r="R342" s="237"/>
      <c r="S342" s="1764"/>
      <c r="T342" s="1764"/>
      <c r="U342" s="1764"/>
      <c r="V342" s="1764"/>
      <c r="W342" s="238"/>
      <c r="Y342" s="1184"/>
      <c r="Z342" s="1184"/>
      <c r="AA342" s="1184"/>
      <c r="AB342" s="1184"/>
      <c r="AC342" s="1184"/>
      <c r="AD342" s="1184"/>
      <c r="AE342" s="1184"/>
      <c r="AF342" s="1184"/>
      <c r="AG342" s="1184"/>
      <c r="AH342" s="1184"/>
      <c r="AI342" s="1184"/>
      <c r="AJ342" s="1184"/>
      <c r="AK342" s="1184"/>
      <c r="AL342" s="1771"/>
      <c r="AM342" s="1771"/>
      <c r="AN342" s="1771"/>
      <c r="AO342" s="1771"/>
      <c r="AP342" s="1771"/>
      <c r="AQ342" s="1771"/>
    </row>
    <row r="343" spans="1:43" ht="17.25" customHeight="1">
      <c r="A343" s="1758"/>
      <c r="B343" s="1771"/>
      <c r="C343" s="1760"/>
      <c r="D343" s="8781"/>
      <c r="E343" s="8782"/>
      <c r="F343" s="8772"/>
      <c r="G343" s="8785"/>
      <c r="H343" s="8806" t="s">
        <v>100</v>
      </c>
      <c r="I343" s="8806" t="s">
        <v>682</v>
      </c>
      <c r="J343" s="8805" t="s">
        <v>683</v>
      </c>
      <c r="K343" s="8808" t="s">
        <v>63</v>
      </c>
      <c r="L343" s="8735"/>
      <c r="M343" s="8735" t="s">
        <v>95</v>
      </c>
      <c r="N343" s="8810" t="str">
        <f>IF(Z343="","",INDEX(TERRITORY_MR_LIST,MATCH(Z343,TERRITORY_LIST_ID,0)))</f>
        <v>Территория 18</v>
      </c>
      <c r="O343" s="8808" t="s">
        <v>53</v>
      </c>
      <c r="P343" s="8735"/>
      <c r="Q343" s="8735" t="s">
        <v>95</v>
      </c>
      <c r="R343" s="8812" t="s">
        <v>24</v>
      </c>
      <c r="S343" s="8804" t="s">
        <v>53</v>
      </c>
      <c r="T343" s="1722"/>
      <c r="U343" s="1722" t="s">
        <v>95</v>
      </c>
      <c r="V343" s="1354"/>
      <c r="W343" s="8805"/>
      <c r="Y343" s="1191"/>
      <c r="Z343" s="1191" t="s">
        <v>176</v>
      </c>
      <c r="AA343" s="1191"/>
      <c r="AB343" s="1191"/>
      <c r="AC343" s="1191" t="s">
        <v>310</v>
      </c>
      <c r="AD343" s="1191" t="s">
        <v>684</v>
      </c>
      <c r="AE343" s="1191" t="s">
        <v>685</v>
      </c>
      <c r="AF343" s="1191" t="s">
        <v>686</v>
      </c>
      <c r="AG343" s="1191" t="s">
        <v>687</v>
      </c>
      <c r="AH343" s="1191" t="str">
        <f>IF($E$79=0,"",$E$79)</f>
        <v>Тариф на подвоз воды</v>
      </c>
      <c r="AI343" s="1191" t="str">
        <f>IF($G$79=0,"",$G$79)</f>
        <v>Холодное водоснабжение. Подвозная вода</v>
      </c>
      <c r="AJ343" s="1191" t="str">
        <f>IF($J$343=0,"",$J$343)</f>
        <v>Подвоз воды потребителям села Ачикулак</v>
      </c>
      <c r="AK343" s="1191" t="str">
        <f>IF($K$343="нет","без дифференциации",IF($N$343=0,"",$N$343))</f>
        <v>Территория 18</v>
      </c>
      <c r="AL343" s="1762" t="str">
        <f>IF($O$343="нет","без дифференциации",IF($R$343=0,"",$R$343))</f>
        <v>без дифференциации</v>
      </c>
      <c r="AM343" s="1762"/>
      <c r="AN343" s="1191" t="str">
        <f>$I$343</f>
        <v>67</v>
      </c>
      <c r="AO343" s="1191" t="str">
        <f>$I$343&amp;"."&amp;$M$343</f>
        <v>67.1</v>
      </c>
      <c r="AP343" s="1191" t="str">
        <f>$I$343&amp;"."&amp;$M$343&amp;"."&amp;$Q$343</f>
        <v>67.1.1</v>
      </c>
      <c r="AQ343" s="1191"/>
    </row>
    <row r="344" spans="1:43" ht="17.25" customHeight="1">
      <c r="A344" s="1758"/>
      <c r="B344" s="1771"/>
      <c r="C344" s="1763"/>
      <c r="D344" s="8781"/>
      <c r="E344" s="8782"/>
      <c r="F344" s="8772"/>
      <c r="G344" s="8785"/>
      <c r="H344" s="8806"/>
      <c r="I344" s="8806"/>
      <c r="J344" s="8805"/>
      <c r="K344" s="8809"/>
      <c r="L344" s="8735"/>
      <c r="M344" s="8735"/>
      <c r="N344" s="8810"/>
      <c r="O344" s="8809"/>
      <c r="P344" s="8735"/>
      <c r="Q344" s="8735"/>
      <c r="R344" s="8812" t="s">
        <v>24</v>
      </c>
      <c r="S344" s="8804"/>
      <c r="T344" s="1355"/>
      <c r="U344" s="1356"/>
      <c r="V344" s="1356"/>
      <c r="W344" s="8805"/>
      <c r="Y344" s="1184"/>
      <c r="Z344" s="1184"/>
      <c r="AA344" s="1184"/>
      <c r="AB344" s="1184"/>
      <c r="AC344" s="1184"/>
      <c r="AD344" s="1184"/>
      <c r="AE344" s="1184"/>
      <c r="AF344" s="1184"/>
      <c r="AG344" s="1184"/>
      <c r="AH344" s="1184"/>
      <c r="AI344" s="1184"/>
      <c r="AJ344" s="1184"/>
      <c r="AK344" s="1184"/>
      <c r="AL344" s="1771"/>
      <c r="AM344" s="1771"/>
      <c r="AN344" s="1771"/>
      <c r="AO344" s="1771"/>
      <c r="AP344" s="1771"/>
      <c r="AQ344" s="1771"/>
    </row>
    <row r="345" spans="1:43" ht="17.25" customHeight="1">
      <c r="A345" s="1758"/>
      <c r="B345" s="1771"/>
      <c r="C345" s="1763"/>
      <c r="D345" s="8781"/>
      <c r="E345" s="8782"/>
      <c r="F345" s="8772"/>
      <c r="G345" s="8785"/>
      <c r="H345" s="8768"/>
      <c r="I345" s="8768"/>
      <c r="J345" s="8807"/>
      <c r="K345" s="8809"/>
      <c r="L345" s="8768"/>
      <c r="M345" s="8768"/>
      <c r="N345" s="8811"/>
      <c r="O345" s="8739"/>
      <c r="P345" s="236"/>
      <c r="Q345" s="237"/>
      <c r="R345" s="237" t="s">
        <v>314</v>
      </c>
      <c r="S345" s="1764"/>
      <c r="T345" s="1764"/>
      <c r="U345" s="1764"/>
      <c r="V345" s="1764"/>
      <c r="W345" s="1353"/>
      <c r="Y345" s="1184"/>
      <c r="Z345" s="1184"/>
      <c r="AA345" s="1184"/>
      <c r="AB345" s="1184"/>
      <c r="AC345" s="1184"/>
      <c r="AD345" s="1184"/>
      <c r="AE345" s="1184"/>
      <c r="AF345" s="1184"/>
      <c r="AG345" s="1184"/>
      <c r="AH345" s="1184"/>
      <c r="AI345" s="1184"/>
      <c r="AJ345" s="1184"/>
      <c r="AK345" s="1184"/>
      <c r="AL345" s="1771"/>
      <c r="AM345" s="1771"/>
      <c r="AN345" s="1771"/>
      <c r="AO345" s="1771"/>
      <c r="AP345" s="1771"/>
      <c r="AQ345" s="1771"/>
    </row>
    <row r="346" spans="1:43" ht="17.25" customHeight="1">
      <c r="A346" s="1758"/>
      <c r="B346" s="1771"/>
      <c r="C346" s="1763"/>
      <c r="D346" s="8781"/>
      <c r="E346" s="8782"/>
      <c r="F346" s="8772"/>
      <c r="G346" s="8785"/>
      <c r="H346" s="8768"/>
      <c r="I346" s="8768"/>
      <c r="J346" s="8807"/>
      <c r="K346" s="8739"/>
      <c r="L346" s="236"/>
      <c r="M346" s="237"/>
      <c r="N346" s="237" t="s">
        <v>315</v>
      </c>
      <c r="O346" s="237"/>
      <c r="P346" s="237"/>
      <c r="Q346" s="237"/>
      <c r="R346" s="237"/>
      <c r="S346" s="1764"/>
      <c r="T346" s="1764"/>
      <c r="U346" s="1764"/>
      <c r="V346" s="1764"/>
      <c r="W346" s="238"/>
      <c r="Y346" s="1184"/>
      <c r="Z346" s="1184"/>
      <c r="AA346" s="1184"/>
      <c r="AB346" s="1184"/>
      <c r="AC346" s="1184"/>
      <c r="AD346" s="1184"/>
      <c r="AE346" s="1184"/>
      <c r="AF346" s="1184"/>
      <c r="AG346" s="1184"/>
      <c r="AH346" s="1184"/>
      <c r="AI346" s="1184"/>
      <c r="AJ346" s="1184"/>
      <c r="AK346" s="1184"/>
      <c r="AL346" s="1771"/>
      <c r="AM346" s="1771"/>
      <c r="AN346" s="1771"/>
      <c r="AO346" s="1771"/>
      <c r="AP346" s="1771"/>
      <c r="AQ346" s="1771"/>
    </row>
    <row r="347" spans="1:43" ht="17.25" customHeight="1">
      <c r="A347" s="1758"/>
      <c r="B347" s="1771"/>
      <c r="C347" s="1760"/>
      <c r="D347" s="8781"/>
      <c r="E347" s="8782"/>
      <c r="F347" s="8772"/>
      <c r="G347" s="8785"/>
      <c r="H347" s="8806" t="s">
        <v>100</v>
      </c>
      <c r="I347" s="8806" t="s">
        <v>688</v>
      </c>
      <c r="J347" s="8805" t="s">
        <v>689</v>
      </c>
      <c r="K347" s="8808" t="s">
        <v>63</v>
      </c>
      <c r="L347" s="8735"/>
      <c r="M347" s="8735" t="s">
        <v>95</v>
      </c>
      <c r="N347" s="8810" t="str">
        <f>IF(Z347="","",INDEX(TERRITORY_MR_LIST,MATCH(Z347,TERRITORY_LIST_ID,0)))</f>
        <v>Территория 19</v>
      </c>
      <c r="O347" s="8808" t="s">
        <v>53</v>
      </c>
      <c r="P347" s="8735"/>
      <c r="Q347" s="8735" t="s">
        <v>95</v>
      </c>
      <c r="R347" s="8812" t="s">
        <v>24</v>
      </c>
      <c r="S347" s="8804" t="s">
        <v>53</v>
      </c>
      <c r="T347" s="1722"/>
      <c r="U347" s="1722" t="s">
        <v>95</v>
      </c>
      <c r="V347" s="1354"/>
      <c r="W347" s="8805"/>
      <c r="Y347" s="1191"/>
      <c r="Z347" s="1191" t="s">
        <v>181</v>
      </c>
      <c r="AA347" s="1191"/>
      <c r="AB347" s="1191"/>
      <c r="AC347" s="1191" t="s">
        <v>310</v>
      </c>
      <c r="AD347" s="1191" t="s">
        <v>690</v>
      </c>
      <c r="AE347" s="1191" t="s">
        <v>691</v>
      </c>
      <c r="AF347" s="1191" t="s">
        <v>692</v>
      </c>
      <c r="AG347" s="1191" t="s">
        <v>693</v>
      </c>
      <c r="AH347" s="1191" t="str">
        <f>IF($E$79=0,"",$E$79)</f>
        <v>Тариф на подвоз воды</v>
      </c>
      <c r="AI347" s="1191" t="str">
        <f>IF($G$79=0,"",$G$79)</f>
        <v>Холодное водоснабжение. Подвозная вода</v>
      </c>
      <c r="AJ347" s="1191" t="str">
        <f>IF($J$347=0,"",$J$347)</f>
        <v>Подвоз воды потребителям хутора Ганькин</v>
      </c>
      <c r="AK347" s="1191" t="str">
        <f>IF($K$347="нет","без дифференциации",IF($N$347=0,"",$N$347))</f>
        <v>Территория 19</v>
      </c>
      <c r="AL347" s="1762" t="str">
        <f>IF($O$347="нет","без дифференциации",IF($R$347=0,"",$R$347))</f>
        <v>без дифференциации</v>
      </c>
      <c r="AM347" s="1762"/>
      <c r="AN347" s="1191" t="str">
        <f>$I$347</f>
        <v>68</v>
      </c>
      <c r="AO347" s="1191" t="str">
        <f>$I$347&amp;"."&amp;$M$347</f>
        <v>68.1</v>
      </c>
      <c r="AP347" s="1191" t="str">
        <f>$I$347&amp;"."&amp;$M$347&amp;"."&amp;$Q$347</f>
        <v>68.1.1</v>
      </c>
      <c r="AQ347" s="1191"/>
    </row>
    <row r="348" spans="1:43" ht="17.25" customHeight="1">
      <c r="A348" s="1758"/>
      <c r="B348" s="1771"/>
      <c r="C348" s="1763"/>
      <c r="D348" s="8781"/>
      <c r="E348" s="8782"/>
      <c r="F348" s="8772"/>
      <c r="G348" s="8785"/>
      <c r="H348" s="8806"/>
      <c r="I348" s="8806"/>
      <c r="J348" s="8805"/>
      <c r="K348" s="8809"/>
      <c r="L348" s="8735"/>
      <c r="M348" s="8735"/>
      <c r="N348" s="8810"/>
      <c r="O348" s="8809"/>
      <c r="P348" s="8735"/>
      <c r="Q348" s="8735"/>
      <c r="R348" s="8812" t="s">
        <v>24</v>
      </c>
      <c r="S348" s="8804"/>
      <c r="T348" s="1355"/>
      <c r="U348" s="1356"/>
      <c r="V348" s="1356"/>
      <c r="W348" s="8805"/>
      <c r="Y348" s="1184"/>
      <c r="Z348" s="1184"/>
      <c r="AA348" s="1184"/>
      <c r="AB348" s="1184"/>
      <c r="AC348" s="1184"/>
      <c r="AD348" s="1184"/>
      <c r="AE348" s="1184"/>
      <c r="AF348" s="1184"/>
      <c r="AG348" s="1184"/>
      <c r="AH348" s="1184"/>
      <c r="AI348" s="1184"/>
      <c r="AJ348" s="1184"/>
      <c r="AK348" s="1184"/>
      <c r="AL348" s="1771"/>
      <c r="AM348" s="1771"/>
      <c r="AN348" s="1771"/>
      <c r="AO348" s="1771"/>
      <c r="AP348" s="1771"/>
      <c r="AQ348" s="1771"/>
    </row>
    <row r="349" spans="1:43" ht="17.25" customHeight="1">
      <c r="A349" s="1758"/>
      <c r="B349" s="1771"/>
      <c r="C349" s="1763"/>
      <c r="D349" s="8781"/>
      <c r="E349" s="8782"/>
      <c r="F349" s="8772"/>
      <c r="G349" s="8785"/>
      <c r="H349" s="8768"/>
      <c r="I349" s="8768"/>
      <c r="J349" s="8807"/>
      <c r="K349" s="8809"/>
      <c r="L349" s="8768"/>
      <c r="M349" s="8768"/>
      <c r="N349" s="8811"/>
      <c r="O349" s="8739"/>
      <c r="P349" s="236"/>
      <c r="Q349" s="237"/>
      <c r="R349" s="237" t="s">
        <v>314</v>
      </c>
      <c r="S349" s="1764"/>
      <c r="T349" s="1764"/>
      <c r="U349" s="1764"/>
      <c r="V349" s="1764"/>
      <c r="W349" s="1353"/>
      <c r="Y349" s="1184"/>
      <c r="Z349" s="1184"/>
      <c r="AA349" s="1184"/>
      <c r="AB349" s="1184"/>
      <c r="AC349" s="1184"/>
      <c r="AD349" s="1184"/>
      <c r="AE349" s="1184"/>
      <c r="AF349" s="1184"/>
      <c r="AG349" s="1184"/>
      <c r="AH349" s="1184"/>
      <c r="AI349" s="1184"/>
      <c r="AJ349" s="1184"/>
      <c r="AK349" s="1184"/>
      <c r="AL349" s="1771"/>
      <c r="AM349" s="1771"/>
      <c r="AN349" s="1771"/>
      <c r="AO349" s="1771"/>
      <c r="AP349" s="1771"/>
      <c r="AQ349" s="1771"/>
    </row>
    <row r="350" spans="1:43" ht="17.25" customHeight="1">
      <c r="A350" s="1758"/>
      <c r="B350" s="1771"/>
      <c r="C350" s="1763"/>
      <c r="D350" s="8781"/>
      <c r="E350" s="8782"/>
      <c r="F350" s="8772"/>
      <c r="G350" s="8785"/>
      <c r="H350" s="8768"/>
      <c r="I350" s="8768"/>
      <c r="J350" s="8807"/>
      <c r="K350" s="8739"/>
      <c r="L350" s="236"/>
      <c r="M350" s="237"/>
      <c r="N350" s="237" t="s">
        <v>315</v>
      </c>
      <c r="O350" s="237"/>
      <c r="P350" s="237"/>
      <c r="Q350" s="237"/>
      <c r="R350" s="237"/>
      <c r="S350" s="1764"/>
      <c r="T350" s="1764"/>
      <c r="U350" s="1764"/>
      <c r="V350" s="1764"/>
      <c r="W350" s="238"/>
      <c r="Y350" s="1184"/>
      <c r="Z350" s="1184"/>
      <c r="AA350" s="1184"/>
      <c r="AB350" s="1184"/>
      <c r="AC350" s="1184"/>
      <c r="AD350" s="1184"/>
      <c r="AE350" s="1184"/>
      <c r="AF350" s="1184"/>
      <c r="AG350" s="1184"/>
      <c r="AH350" s="1184"/>
      <c r="AI350" s="1184"/>
      <c r="AJ350" s="1184"/>
      <c r="AK350" s="1184"/>
      <c r="AL350" s="1771"/>
      <c r="AM350" s="1771"/>
      <c r="AN350" s="1771"/>
      <c r="AO350" s="1771"/>
      <c r="AP350" s="1771"/>
      <c r="AQ350" s="1771"/>
    </row>
    <row r="351" spans="1:43" ht="17.25" customHeight="1">
      <c r="A351" s="1758"/>
      <c r="B351" s="1771"/>
      <c r="C351" s="1760"/>
      <c r="D351" s="8781"/>
      <c r="E351" s="8782"/>
      <c r="F351" s="8772"/>
      <c r="G351" s="8785"/>
      <c r="H351" s="8806" t="s">
        <v>100</v>
      </c>
      <c r="I351" s="8806" t="s">
        <v>694</v>
      </c>
      <c r="J351" s="8805" t="s">
        <v>695</v>
      </c>
      <c r="K351" s="8808" t="s">
        <v>63</v>
      </c>
      <c r="L351" s="8735"/>
      <c r="M351" s="8735" t="s">
        <v>95</v>
      </c>
      <c r="N351" s="8810" t="str">
        <f>IF(Z351="","",INDEX(TERRITORY_MR_LIST,MATCH(Z351,TERRITORY_LIST_ID,0)))</f>
        <v>Территория 20</v>
      </c>
      <c r="O351" s="8808" t="s">
        <v>53</v>
      </c>
      <c r="P351" s="8735"/>
      <c r="Q351" s="8735" t="s">
        <v>95</v>
      </c>
      <c r="R351" s="8812" t="s">
        <v>24</v>
      </c>
      <c r="S351" s="8804" t="s">
        <v>53</v>
      </c>
      <c r="T351" s="1722"/>
      <c r="U351" s="1722" t="s">
        <v>95</v>
      </c>
      <c r="V351" s="1354"/>
      <c r="W351" s="8805"/>
      <c r="Y351" s="1191"/>
      <c r="Z351" s="1191" t="s">
        <v>186</v>
      </c>
      <c r="AA351" s="1191"/>
      <c r="AB351" s="1191"/>
      <c r="AC351" s="1191" t="s">
        <v>310</v>
      </c>
      <c r="AD351" s="1191" t="s">
        <v>696</v>
      </c>
      <c r="AE351" s="1191" t="s">
        <v>697</v>
      </c>
      <c r="AF351" s="1191" t="s">
        <v>698</v>
      </c>
      <c r="AG351" s="1191" t="s">
        <v>699</v>
      </c>
      <c r="AH351" s="1191" t="str">
        <f>IF($E$79=0,"",$E$79)</f>
        <v>Тариф на подвоз воды</v>
      </c>
      <c r="AI351" s="1191" t="str">
        <f>IF($G$79=0,"",$G$79)</f>
        <v>Холодное водоснабжение. Подвозная вода</v>
      </c>
      <c r="AJ351" s="1191" t="str">
        <f>IF($J$351=0,"",$J$351)</f>
        <v>Подвоз воды потребителям хутора Сычёвского</v>
      </c>
      <c r="AK351" s="1191" t="str">
        <f>IF($K$351="нет","без дифференциации",IF($N$351=0,"",$N$351))</f>
        <v>Территория 20</v>
      </c>
      <c r="AL351" s="1762" t="str">
        <f>IF($O$351="нет","без дифференциации",IF($R$351=0,"",$R$351))</f>
        <v>без дифференциации</v>
      </c>
      <c r="AM351" s="1762"/>
      <c r="AN351" s="1191" t="str">
        <f>$I$351</f>
        <v>69</v>
      </c>
      <c r="AO351" s="1191" t="str">
        <f>$I$351&amp;"."&amp;$M$351</f>
        <v>69.1</v>
      </c>
      <c r="AP351" s="1191" t="str">
        <f>$I$351&amp;"."&amp;$M$351&amp;"."&amp;$Q$351</f>
        <v>69.1.1</v>
      </c>
      <c r="AQ351" s="1191"/>
    </row>
    <row r="352" spans="1:43" ht="17.25" customHeight="1">
      <c r="A352" s="1758"/>
      <c r="B352" s="1771"/>
      <c r="C352" s="1763"/>
      <c r="D352" s="8781"/>
      <c r="E352" s="8782"/>
      <c r="F352" s="8772"/>
      <c r="G352" s="8785"/>
      <c r="H352" s="8806"/>
      <c r="I352" s="8806"/>
      <c r="J352" s="8805"/>
      <c r="K352" s="8809"/>
      <c r="L352" s="8735"/>
      <c r="M352" s="8735"/>
      <c r="N352" s="8810"/>
      <c r="O352" s="8809"/>
      <c r="P352" s="8735"/>
      <c r="Q352" s="8735"/>
      <c r="R352" s="8812" t="s">
        <v>24</v>
      </c>
      <c r="S352" s="8804"/>
      <c r="T352" s="1355"/>
      <c r="U352" s="1356"/>
      <c r="V352" s="1356"/>
      <c r="W352" s="8805"/>
      <c r="Y352" s="1184"/>
      <c r="Z352" s="1184"/>
      <c r="AA352" s="1184"/>
      <c r="AB352" s="1184"/>
      <c r="AC352" s="1184"/>
      <c r="AD352" s="1184"/>
      <c r="AE352" s="1184"/>
      <c r="AF352" s="1184"/>
      <c r="AG352" s="1184"/>
      <c r="AH352" s="1184"/>
      <c r="AI352" s="1184"/>
      <c r="AJ352" s="1184"/>
      <c r="AK352" s="1184"/>
      <c r="AL352" s="1771"/>
      <c r="AM352" s="1771"/>
      <c r="AN352" s="1771"/>
      <c r="AO352" s="1771"/>
      <c r="AP352" s="1771"/>
      <c r="AQ352" s="1771"/>
    </row>
    <row r="353" spans="1:43" ht="17.25" customHeight="1">
      <c r="A353" s="1758"/>
      <c r="B353" s="1771"/>
      <c r="C353" s="1763"/>
      <c r="D353" s="8781"/>
      <c r="E353" s="8782"/>
      <c r="F353" s="8772"/>
      <c r="G353" s="8785"/>
      <c r="H353" s="8768"/>
      <c r="I353" s="8768"/>
      <c r="J353" s="8807"/>
      <c r="K353" s="8809"/>
      <c r="L353" s="8768"/>
      <c r="M353" s="8768"/>
      <c r="N353" s="8811"/>
      <c r="O353" s="8739"/>
      <c r="P353" s="236"/>
      <c r="Q353" s="237"/>
      <c r="R353" s="237" t="s">
        <v>314</v>
      </c>
      <c r="S353" s="1764"/>
      <c r="T353" s="1764"/>
      <c r="U353" s="1764"/>
      <c r="V353" s="1764"/>
      <c r="W353" s="1353"/>
      <c r="Y353" s="1184"/>
      <c r="Z353" s="1184"/>
      <c r="AA353" s="1184"/>
      <c r="AB353" s="1184"/>
      <c r="AC353" s="1184"/>
      <c r="AD353" s="1184"/>
      <c r="AE353" s="1184"/>
      <c r="AF353" s="1184"/>
      <c r="AG353" s="1184"/>
      <c r="AH353" s="1184"/>
      <c r="AI353" s="1184"/>
      <c r="AJ353" s="1184"/>
      <c r="AK353" s="1184"/>
      <c r="AL353" s="1771"/>
      <c r="AM353" s="1771"/>
      <c r="AN353" s="1771"/>
      <c r="AO353" s="1771"/>
      <c r="AP353" s="1771"/>
      <c r="AQ353" s="1771"/>
    </row>
    <row r="354" spans="1:43" ht="17.25" customHeight="1">
      <c r="A354" s="1758"/>
      <c r="B354" s="1771"/>
      <c r="C354" s="1763"/>
      <c r="D354" s="8781"/>
      <c r="E354" s="8782"/>
      <c r="F354" s="8772"/>
      <c r="G354" s="8785"/>
      <c r="H354" s="8768"/>
      <c r="I354" s="8768"/>
      <c r="J354" s="8807"/>
      <c r="K354" s="8739"/>
      <c r="L354" s="236"/>
      <c r="M354" s="237"/>
      <c r="N354" s="237" t="s">
        <v>315</v>
      </c>
      <c r="O354" s="237"/>
      <c r="P354" s="237"/>
      <c r="Q354" s="237"/>
      <c r="R354" s="237"/>
      <c r="S354" s="1764"/>
      <c r="T354" s="1764"/>
      <c r="U354" s="1764"/>
      <c r="V354" s="1764"/>
      <c r="W354" s="238"/>
      <c r="Y354" s="1184"/>
      <c r="Z354" s="1184"/>
      <c r="AA354" s="1184"/>
      <c r="AB354" s="1184"/>
      <c r="AC354" s="1184"/>
      <c r="AD354" s="1184"/>
      <c r="AE354" s="1184"/>
      <c r="AF354" s="1184"/>
      <c r="AG354" s="1184"/>
      <c r="AH354" s="1184"/>
      <c r="AI354" s="1184"/>
      <c r="AJ354" s="1184"/>
      <c r="AK354" s="1184"/>
      <c r="AL354" s="1771"/>
      <c r="AM354" s="1771"/>
      <c r="AN354" s="1771"/>
      <c r="AO354" s="1771"/>
      <c r="AP354" s="1771"/>
      <c r="AQ354" s="1771"/>
    </row>
    <row r="355" spans="1:43" ht="17.25" customHeight="1">
      <c r="A355" s="1758"/>
      <c r="B355" s="1771"/>
      <c r="C355" s="1760"/>
      <c r="D355" s="8781"/>
      <c r="E355" s="8782"/>
      <c r="F355" s="8772"/>
      <c r="G355" s="8785"/>
      <c r="H355" s="8806" t="s">
        <v>100</v>
      </c>
      <c r="I355" s="8806" t="s">
        <v>700</v>
      </c>
      <c r="J355" s="8805" t="s">
        <v>701</v>
      </c>
      <c r="K355" s="8808" t="s">
        <v>63</v>
      </c>
      <c r="L355" s="8735"/>
      <c r="M355" s="8735" t="s">
        <v>95</v>
      </c>
      <c r="N355" s="8810" t="str">
        <f>IF(Z355="","",INDEX(TERRITORY_MR_LIST,MATCH(Z355,TERRITORY_LIST_ID,0)))</f>
        <v>Территория 21</v>
      </c>
      <c r="O355" s="8808" t="s">
        <v>53</v>
      </c>
      <c r="P355" s="8735"/>
      <c r="Q355" s="8735" t="s">
        <v>95</v>
      </c>
      <c r="R355" s="8812" t="s">
        <v>24</v>
      </c>
      <c r="S355" s="8804" t="s">
        <v>53</v>
      </c>
      <c r="T355" s="1722"/>
      <c r="U355" s="1722" t="s">
        <v>95</v>
      </c>
      <c r="V355" s="1354"/>
      <c r="W355" s="8805"/>
      <c r="Y355" s="1191"/>
      <c r="Z355" s="1191" t="s">
        <v>191</v>
      </c>
      <c r="AA355" s="1191"/>
      <c r="AB355" s="1191"/>
      <c r="AC355" s="1191" t="s">
        <v>310</v>
      </c>
      <c r="AD355" s="1191" t="s">
        <v>702</v>
      </c>
      <c r="AE355" s="1191" t="s">
        <v>703</v>
      </c>
      <c r="AF355" s="1191" t="s">
        <v>704</v>
      </c>
      <c r="AG355" s="1191" t="s">
        <v>705</v>
      </c>
      <c r="AH355" s="1191" t="str">
        <f>IF($E$79=0,"",$E$79)</f>
        <v>Тариф на подвоз воды</v>
      </c>
      <c r="AI355" s="1191" t="str">
        <f>IF($G$79=0,"",$G$79)</f>
        <v>Холодное водоснабжение. Подвозная вода</v>
      </c>
      <c r="AJ355" s="1191" t="str">
        <f>IF($J$355=0,"",$J$355)</f>
        <v>Подвоз воды потребителям села Величаевского</v>
      </c>
      <c r="AK355" s="1191" t="str">
        <f>IF($K$355="нет","без дифференциации",IF($N$355=0,"",$N$355))</f>
        <v>Территория 21</v>
      </c>
      <c r="AL355" s="1762" t="str">
        <f>IF($O$355="нет","без дифференциации",IF($R$355=0,"",$R$355))</f>
        <v>без дифференциации</v>
      </c>
      <c r="AM355" s="1762"/>
      <c r="AN355" s="1191" t="str">
        <f>$I$355</f>
        <v>70</v>
      </c>
      <c r="AO355" s="1191" t="str">
        <f>$I$355&amp;"."&amp;$M$355</f>
        <v>70.1</v>
      </c>
      <c r="AP355" s="1191" t="str">
        <f>$I$355&amp;"."&amp;$M$355&amp;"."&amp;$Q$355</f>
        <v>70.1.1</v>
      </c>
      <c r="AQ355" s="1191"/>
    </row>
    <row r="356" spans="1:43" ht="17.25" customHeight="1">
      <c r="A356" s="1758"/>
      <c r="B356" s="1771"/>
      <c r="C356" s="1763"/>
      <c r="D356" s="8781"/>
      <c r="E356" s="8782"/>
      <c r="F356" s="8772"/>
      <c r="G356" s="8785"/>
      <c r="H356" s="8806"/>
      <c r="I356" s="8806"/>
      <c r="J356" s="8805"/>
      <c r="K356" s="8809"/>
      <c r="L356" s="8735"/>
      <c r="M356" s="8735"/>
      <c r="N356" s="8810"/>
      <c r="O356" s="8809"/>
      <c r="P356" s="8735"/>
      <c r="Q356" s="8735"/>
      <c r="R356" s="8812" t="s">
        <v>24</v>
      </c>
      <c r="S356" s="8804"/>
      <c r="T356" s="1355"/>
      <c r="U356" s="1356"/>
      <c r="V356" s="1356"/>
      <c r="W356" s="8805"/>
      <c r="Y356" s="1184"/>
      <c r="Z356" s="1184"/>
      <c r="AA356" s="1184"/>
      <c r="AB356" s="1184"/>
      <c r="AC356" s="1184"/>
      <c r="AD356" s="1184"/>
      <c r="AE356" s="1184"/>
      <c r="AF356" s="1184"/>
      <c r="AG356" s="1184"/>
      <c r="AH356" s="1184"/>
      <c r="AI356" s="1184"/>
      <c r="AJ356" s="1184"/>
      <c r="AK356" s="1184"/>
      <c r="AL356" s="1771"/>
      <c r="AM356" s="1771"/>
      <c r="AN356" s="1771"/>
      <c r="AO356" s="1771"/>
      <c r="AP356" s="1771"/>
      <c r="AQ356" s="1771"/>
    </row>
    <row r="357" spans="1:43" ht="17.25" customHeight="1">
      <c r="A357" s="1758"/>
      <c r="B357" s="1771"/>
      <c r="C357" s="1763"/>
      <c r="D357" s="8781"/>
      <c r="E357" s="8782"/>
      <c r="F357" s="8772"/>
      <c r="G357" s="8785"/>
      <c r="H357" s="8768"/>
      <c r="I357" s="8768"/>
      <c r="J357" s="8807"/>
      <c r="K357" s="8809"/>
      <c r="L357" s="8768"/>
      <c r="M357" s="8768"/>
      <c r="N357" s="8811"/>
      <c r="O357" s="8739"/>
      <c r="P357" s="236"/>
      <c r="Q357" s="237"/>
      <c r="R357" s="237" t="s">
        <v>314</v>
      </c>
      <c r="S357" s="1764"/>
      <c r="T357" s="1764"/>
      <c r="U357" s="1764"/>
      <c r="V357" s="1764"/>
      <c r="W357" s="1353"/>
      <c r="Y357" s="1184"/>
      <c r="Z357" s="1184"/>
      <c r="AA357" s="1184"/>
      <c r="AB357" s="1184"/>
      <c r="AC357" s="1184"/>
      <c r="AD357" s="1184"/>
      <c r="AE357" s="1184"/>
      <c r="AF357" s="1184"/>
      <c r="AG357" s="1184"/>
      <c r="AH357" s="1184"/>
      <c r="AI357" s="1184"/>
      <c r="AJ357" s="1184"/>
      <c r="AK357" s="1184"/>
      <c r="AL357" s="1771"/>
      <c r="AM357" s="1771"/>
      <c r="AN357" s="1771"/>
      <c r="AO357" s="1771"/>
      <c r="AP357" s="1771"/>
      <c r="AQ357" s="1771"/>
    </row>
    <row r="358" spans="1:43" ht="17.25" customHeight="1">
      <c r="A358" s="1758"/>
      <c r="B358" s="1771"/>
      <c r="C358" s="1763"/>
      <c r="D358" s="8781"/>
      <c r="E358" s="8782"/>
      <c r="F358" s="8772"/>
      <c r="G358" s="8785"/>
      <c r="H358" s="8768"/>
      <c r="I358" s="8768"/>
      <c r="J358" s="8807"/>
      <c r="K358" s="8739"/>
      <c r="L358" s="236"/>
      <c r="M358" s="237"/>
      <c r="N358" s="237" t="s">
        <v>315</v>
      </c>
      <c r="O358" s="237"/>
      <c r="P358" s="237"/>
      <c r="Q358" s="237"/>
      <c r="R358" s="237"/>
      <c r="S358" s="1764"/>
      <c r="T358" s="1764"/>
      <c r="U358" s="1764"/>
      <c r="V358" s="1764"/>
      <c r="W358" s="238"/>
      <c r="Y358" s="1184"/>
      <c r="Z358" s="1184"/>
      <c r="AA358" s="1184"/>
      <c r="AB358" s="1184"/>
      <c r="AC358" s="1184"/>
      <c r="AD358" s="1184"/>
      <c r="AE358" s="1184"/>
      <c r="AF358" s="1184"/>
      <c r="AG358" s="1184"/>
      <c r="AH358" s="1184"/>
      <c r="AI358" s="1184"/>
      <c r="AJ358" s="1184"/>
      <c r="AK358" s="1184"/>
      <c r="AL358" s="1771"/>
      <c r="AM358" s="1771"/>
      <c r="AN358" s="1771"/>
      <c r="AO358" s="1771"/>
      <c r="AP358" s="1771"/>
      <c r="AQ358" s="1771"/>
    </row>
    <row r="359" spans="1:43" s="1771" customFormat="1" ht="17.25" customHeight="1">
      <c r="A359" s="240"/>
      <c r="C359" s="239"/>
      <c r="D359" s="8768"/>
      <c r="E359" s="8770"/>
      <c r="F359" s="8773"/>
      <c r="G359" s="8784"/>
      <c r="H359" s="1839"/>
      <c r="I359" s="1840"/>
      <c r="J359" s="1841" t="s">
        <v>706</v>
      </c>
      <c r="K359" s="1842"/>
      <c r="L359" s="1843"/>
      <c r="M359" s="1844"/>
      <c r="N359" s="1845"/>
      <c r="O359" s="1846"/>
      <c r="P359" s="1847"/>
      <c r="Q359" s="1848"/>
      <c r="R359" s="1849"/>
      <c r="S359" s="1850"/>
      <c r="T359" s="1851"/>
      <c r="U359" s="1852"/>
      <c r="V359" s="1853"/>
      <c r="W359" s="1854"/>
      <c r="X359" s="1184"/>
      <c r="Y359" s="1184"/>
      <c r="Z359" s="1184"/>
      <c r="AA359" s="1184"/>
      <c r="AB359" s="1184"/>
      <c r="AC359" s="1184"/>
      <c r="AD359" s="1184"/>
      <c r="AE359" s="1184"/>
      <c r="AF359" s="1184"/>
      <c r="AG359" s="1184"/>
      <c r="AH359" s="1184"/>
      <c r="AI359" s="1184"/>
      <c r="AJ359" s="1184"/>
      <c r="AK359" s="1184"/>
      <c r="AL359" s="1184"/>
      <c r="AM359" s="1184"/>
      <c r="AN359" s="1184"/>
      <c r="AO359" s="1184"/>
      <c r="AP359" s="1184"/>
      <c r="AQ359" s="1184"/>
    </row>
    <row r="360" spans="1:43" s="1771" customFormat="1" ht="17.25" customHeight="1">
      <c r="A360" s="240"/>
      <c r="C360" s="126"/>
      <c r="D360" s="8767">
        <v>5</v>
      </c>
      <c r="E360" s="8769" t="s">
        <v>707</v>
      </c>
      <c r="F360" s="8771" t="s">
        <v>53</v>
      </c>
      <c r="G360" s="8769"/>
      <c r="H360" s="8774"/>
      <c r="I360" s="8776"/>
      <c r="J360" s="8778"/>
      <c r="K360" s="8761"/>
      <c r="L360" s="8761"/>
      <c r="M360" s="8761"/>
      <c r="N360" s="8763"/>
      <c r="O360" s="8761"/>
      <c r="P360" s="8761"/>
      <c r="Q360" s="8761"/>
      <c r="R360" s="8766"/>
      <c r="S360" s="8761"/>
      <c r="T360" s="1386"/>
      <c r="U360" s="1386"/>
      <c r="V360" s="1388"/>
      <c r="W360" s="1220"/>
      <c r="X360" s="1191"/>
      <c r="Y360" s="1191"/>
      <c r="Z360" s="1191"/>
      <c r="AA360" s="1191"/>
      <c r="AB360" s="1191"/>
      <c r="AC360" s="1191" t="s">
        <v>708</v>
      </c>
      <c r="AD360" s="1191" t="s">
        <v>709</v>
      </c>
      <c r="AE360" s="1191" t="s">
        <v>710</v>
      </c>
      <c r="AF360" s="1191" t="s">
        <v>711</v>
      </c>
      <c r="AG360" s="1191"/>
      <c r="AH360" s="1191" t="str">
        <f>IF($E$360=0,"",$E$360)</f>
        <v>Тариф на подключение (технологическое присоединение) к централизованной системе холодного водоснабжения</v>
      </c>
      <c r="AI360" s="1191" t="str">
        <f>IF($G$360=0,"",$G$360)</f>
        <v/>
      </c>
      <c r="AJ360" s="1191" t="str">
        <f>IF($J$360=0,"",$J$360)</f>
        <v/>
      </c>
      <c r="AK360" s="1191" t="str">
        <f>IF($K$360="нет","без дифференциации",IF($N$360=0,"",$N$360))</f>
        <v/>
      </c>
      <c r="AL360" s="1191" t="str">
        <f>IF($O$360="нет","без дифференциации",IF($R$360=0,"",$R$360))</f>
        <v/>
      </c>
      <c r="AM360" s="1191" t="str">
        <f>IF($S$360="нет","без дифференциации",IF($V$360=0,"",$V$360))</f>
        <v/>
      </c>
      <c r="AN360" s="1692">
        <f>$I$360</f>
        <v>0</v>
      </c>
      <c r="AO360" s="1191" t="str">
        <f>$I$360&amp;"."&amp;$M$360</f>
        <v>.</v>
      </c>
      <c r="AP360" s="1184" t="str">
        <f>$I$360&amp;"."&amp;$M$360&amp;"."&amp;$Q$360</f>
        <v>..</v>
      </c>
      <c r="AQ360" s="1184" t="str">
        <f>$I$360&amp;"."&amp;$M$360&amp;"."&amp;$Q$360&amp;"."&amp;$U$360</f>
        <v>...</v>
      </c>
    </row>
    <row r="361" spans="1:43" s="1771" customFormat="1" ht="17.25" customHeight="1">
      <c r="A361" s="240"/>
      <c r="C361" s="239"/>
      <c r="D361" s="8767"/>
      <c r="E361" s="8769"/>
      <c r="F361" s="8772"/>
      <c r="G361" s="8769"/>
      <c r="H361" s="8775"/>
      <c r="I361" s="8777"/>
      <c r="J361" s="8779"/>
      <c r="K361" s="8762"/>
      <c r="L361" s="8762"/>
      <c r="M361" s="8762"/>
      <c r="N361" s="8764"/>
      <c r="O361" s="8762"/>
      <c r="P361" s="8762"/>
      <c r="Q361" s="8762"/>
      <c r="R361" s="8765"/>
      <c r="S361" s="8762"/>
      <c r="T361" s="1221"/>
      <c r="U361" s="1221"/>
      <c r="V361" s="1221"/>
      <c r="W361" s="1222"/>
      <c r="X361" s="1184"/>
      <c r="Y361" s="1184"/>
      <c r="Z361" s="1184"/>
      <c r="AA361" s="1184"/>
      <c r="AB361" s="1184"/>
      <c r="AC361" s="1184"/>
      <c r="AD361" s="1184"/>
      <c r="AE361" s="1184"/>
      <c r="AF361" s="1184"/>
      <c r="AG361" s="1184"/>
      <c r="AH361" s="1184"/>
      <c r="AI361" s="1184"/>
      <c r="AJ361" s="1184"/>
      <c r="AK361" s="1184"/>
      <c r="AL361" s="1184"/>
      <c r="AM361" s="1184"/>
      <c r="AN361" s="1184"/>
      <c r="AO361" s="1184"/>
      <c r="AP361" s="1184"/>
      <c r="AQ361" s="1184"/>
    </row>
    <row r="362" spans="1:43" s="1771" customFormat="1" ht="17.25" customHeight="1">
      <c r="A362" s="240"/>
      <c r="C362" s="239"/>
      <c r="D362" s="8768"/>
      <c r="E362" s="8770"/>
      <c r="F362" s="8772"/>
      <c r="G362" s="8770"/>
      <c r="H362" s="8775"/>
      <c r="I362" s="8777"/>
      <c r="J362" s="8780"/>
      <c r="K362" s="8762"/>
      <c r="L362" s="8762"/>
      <c r="M362" s="8762"/>
      <c r="N362" s="8765"/>
      <c r="O362" s="8762"/>
      <c r="P362" s="1387"/>
      <c r="Q362" s="1221"/>
      <c r="R362" s="1221"/>
      <c r="S362" s="251"/>
      <c r="T362" s="251"/>
      <c r="U362" s="251"/>
      <c r="V362" s="251"/>
      <c r="W362" s="1222"/>
      <c r="X362" s="1184"/>
      <c r="Y362" s="1184"/>
      <c r="Z362" s="1184"/>
      <c r="AA362" s="1184"/>
      <c r="AB362" s="1184"/>
      <c r="AC362" s="1184"/>
      <c r="AD362" s="1184"/>
      <c r="AE362" s="1184"/>
      <c r="AF362" s="1184"/>
      <c r="AG362" s="1184"/>
      <c r="AH362" s="1184"/>
      <c r="AI362" s="1184"/>
      <c r="AJ362" s="1184"/>
      <c r="AK362" s="1184"/>
      <c r="AL362" s="1184"/>
      <c r="AM362" s="1184"/>
      <c r="AN362" s="1184"/>
      <c r="AO362" s="1184"/>
      <c r="AP362" s="1184"/>
      <c r="AQ362" s="1184"/>
    </row>
    <row r="363" spans="1:43" s="1771" customFormat="1" ht="17.25" customHeight="1">
      <c r="A363" s="240"/>
      <c r="C363" s="239"/>
      <c r="D363" s="8768"/>
      <c r="E363" s="8770"/>
      <c r="F363" s="8772"/>
      <c r="G363" s="8770"/>
      <c r="H363" s="8775"/>
      <c r="I363" s="8777"/>
      <c r="J363" s="8780"/>
      <c r="K363" s="8762"/>
      <c r="L363" s="1221"/>
      <c r="M363" s="1221"/>
      <c r="N363" s="1221"/>
      <c r="O363" s="1221"/>
      <c r="P363" s="1221"/>
      <c r="Q363" s="1221"/>
      <c r="R363" s="1221"/>
      <c r="S363" s="251"/>
      <c r="T363" s="251"/>
      <c r="U363" s="251"/>
      <c r="V363" s="251"/>
      <c r="W363" s="1222"/>
      <c r="X363" s="1184"/>
      <c r="Y363" s="1184"/>
      <c r="Z363" s="1184"/>
      <c r="AA363" s="1184"/>
      <c r="AB363" s="1184"/>
      <c r="AC363" s="1184"/>
      <c r="AD363" s="1184"/>
      <c r="AE363" s="1184"/>
      <c r="AF363" s="1184"/>
      <c r="AG363" s="1184"/>
      <c r="AH363" s="1184"/>
      <c r="AI363" s="1184"/>
      <c r="AJ363" s="1184"/>
      <c r="AK363" s="1184"/>
      <c r="AL363" s="1184"/>
      <c r="AM363" s="1184"/>
      <c r="AN363" s="1184"/>
      <c r="AO363" s="1184"/>
      <c r="AP363" s="1184"/>
      <c r="AQ363" s="1184"/>
    </row>
    <row r="364" spans="1:43" s="1771" customFormat="1" ht="17.25" customHeight="1">
      <c r="A364" s="240"/>
      <c r="C364" s="239"/>
      <c r="D364" s="8768"/>
      <c r="E364" s="8770"/>
      <c r="F364" s="8773"/>
      <c r="G364" s="8770"/>
      <c r="H364" s="1223"/>
      <c r="I364" s="1224"/>
      <c r="J364" s="1224"/>
      <c r="K364" s="1224"/>
      <c r="L364" s="1224"/>
      <c r="M364" s="1224"/>
      <c r="N364" s="1224"/>
      <c r="O364" s="1224"/>
      <c r="P364" s="1224"/>
      <c r="Q364" s="1224"/>
      <c r="R364" s="1224"/>
      <c r="S364" s="1225"/>
      <c r="T364" s="1225"/>
      <c r="U364" s="1225"/>
      <c r="V364" s="1225"/>
      <c r="W364" s="1226"/>
      <c r="X364" s="1184"/>
      <c r="Y364" s="1184"/>
      <c r="Z364" s="1184"/>
      <c r="AA364" s="1184"/>
      <c r="AB364" s="1184"/>
      <c r="AC364" s="1184"/>
      <c r="AD364" s="1184"/>
      <c r="AE364" s="1184"/>
      <c r="AF364" s="1184"/>
      <c r="AG364" s="1184"/>
      <c r="AH364" s="1184"/>
      <c r="AI364" s="1184"/>
      <c r="AJ364" s="1184"/>
      <c r="AK364" s="1184"/>
      <c r="AL364" s="1184"/>
      <c r="AM364" s="1184"/>
      <c r="AN364" s="1184"/>
      <c r="AO364" s="1184"/>
      <c r="AP364" s="1184"/>
      <c r="AQ364" s="1184"/>
    </row>
    <row r="365" spans="1:43" s="1771" customFormat="1" ht="11.25" hidden="1" customHeight="1">
      <c r="A365" s="191"/>
      <c r="B365" s="191"/>
      <c r="Y365" s="1184"/>
      <c r="Z365" s="1184"/>
      <c r="AA365" s="1184"/>
      <c r="AB365" s="1184"/>
      <c r="AC365" s="1184"/>
      <c r="AD365" s="1184"/>
      <c r="AE365" s="1184"/>
      <c r="AF365" s="1184"/>
      <c r="AG365" s="1184"/>
      <c r="AH365" s="1184"/>
      <c r="AI365" s="1184"/>
      <c r="AJ365" s="1184"/>
      <c r="AK365" s="1184"/>
      <c r="AL365" s="1184"/>
      <c r="AM365" s="1184"/>
      <c r="AN365" s="1184"/>
      <c r="AO365" s="1184"/>
      <c r="AP365" s="1184"/>
      <c r="AQ365" s="1184"/>
    </row>
    <row r="366" spans="1:43" s="1771" customFormat="1" ht="17.25" hidden="1" customHeight="1">
      <c r="A366" s="240"/>
      <c r="C366" s="126"/>
      <c r="D366" s="8767">
        <v>1</v>
      </c>
      <c r="E366" s="8769" t="s">
        <v>712</v>
      </c>
      <c r="F366" s="8771" t="s">
        <v>53</v>
      </c>
      <c r="G366" s="8769"/>
      <c r="H366" s="8774"/>
      <c r="I366" s="8776"/>
      <c r="J366" s="8778"/>
      <c r="K366" s="8761"/>
      <c r="L366" s="8761"/>
      <c r="M366" s="8761"/>
      <c r="N366" s="8763"/>
      <c r="O366" s="8761"/>
      <c r="P366" s="8761"/>
      <c r="Q366" s="8761"/>
      <c r="R366" s="8766"/>
      <c r="S366" s="8761"/>
      <c r="T366" s="1386"/>
      <c r="U366" s="1386"/>
      <c r="V366" s="1388"/>
      <c r="W366" s="1220"/>
      <c r="Y366" s="1191"/>
      <c r="Z366" s="1191"/>
      <c r="AA366" s="1191"/>
      <c r="AB366" s="1191"/>
      <c r="AC366" s="1191" t="s">
        <v>713</v>
      </c>
      <c r="AD366" s="1191" t="s">
        <v>714</v>
      </c>
      <c r="AE366" s="1191" t="s">
        <v>715</v>
      </c>
      <c r="AF366" s="1191" t="s">
        <v>716</v>
      </c>
      <c r="AG366" s="1191"/>
      <c r="AH366" s="1191" t="str">
        <f>IF($E$366=0,"",$E$366)</f>
        <v>Тариф на горячую воду (горячее водоснабжение)</v>
      </c>
      <c r="AI366" s="1191" t="str">
        <f>IF($G$366=0,"",$G$366)</f>
        <v/>
      </c>
      <c r="AJ366" s="1191" t="str">
        <f>IF($J$366=0,"",$J$366)</f>
        <v/>
      </c>
      <c r="AK366" s="1191" t="str">
        <f>IF($K$366="нет","без дифференциации",IF($N$366=0,"",$N$366))</f>
        <v/>
      </c>
      <c r="AL366" s="1191" t="str">
        <f>IF($O$366="нет","без дифференциации",IF($R$366=0,"",$R$366))</f>
        <v/>
      </c>
      <c r="AM366" s="1191" t="str">
        <f>IF($S$366="нет","без дифференциации",IF($V$366=0,"",$V$366))</f>
        <v/>
      </c>
      <c r="AN366" s="1191">
        <f>$I$366</f>
        <v>0</v>
      </c>
      <c r="AO366" s="1191" t="str">
        <f>$I$366&amp;"."&amp;$M$366</f>
        <v>.</v>
      </c>
      <c r="AP366" s="1191" t="str">
        <f>$I$366&amp;"."&amp;$M$366&amp;"."&amp;$Q$366</f>
        <v>..</v>
      </c>
      <c r="AQ366" s="1191" t="str">
        <f>$I$366&amp;"."&amp;$M$366&amp;"."&amp;$Q$366&amp;"."&amp;$U$366</f>
        <v>...</v>
      </c>
    </row>
    <row r="367" spans="1:43" s="1771" customFormat="1" ht="17.25" hidden="1" customHeight="1">
      <c r="A367" s="240"/>
      <c r="C367" s="239"/>
      <c r="D367" s="8767"/>
      <c r="E367" s="8769"/>
      <c r="F367" s="8772"/>
      <c r="G367" s="8769"/>
      <c r="H367" s="8775"/>
      <c r="I367" s="8777"/>
      <c r="J367" s="8779"/>
      <c r="K367" s="8762"/>
      <c r="L367" s="8762"/>
      <c r="M367" s="8762"/>
      <c r="N367" s="8764"/>
      <c r="O367" s="8762"/>
      <c r="P367" s="8762"/>
      <c r="Q367" s="8762"/>
      <c r="R367" s="8765"/>
      <c r="S367" s="8762"/>
      <c r="T367" s="1221"/>
      <c r="U367" s="1221"/>
      <c r="V367" s="1221"/>
      <c r="W367" s="1222"/>
      <c r="Y367" s="1184"/>
      <c r="Z367" s="1184"/>
      <c r="AA367" s="1184"/>
      <c r="AB367" s="1184"/>
      <c r="AC367" s="1184"/>
      <c r="AD367" s="1184"/>
      <c r="AE367" s="1184"/>
      <c r="AF367" s="1184"/>
      <c r="AG367" s="1184"/>
      <c r="AH367" s="1184"/>
      <c r="AI367" s="1184"/>
      <c r="AJ367" s="1184"/>
      <c r="AK367" s="1184"/>
      <c r="AL367" s="1184"/>
      <c r="AM367" s="1184"/>
      <c r="AN367" s="1184"/>
      <c r="AO367" s="1184"/>
      <c r="AP367" s="1184"/>
      <c r="AQ367" s="1184"/>
    </row>
    <row r="368" spans="1:43" s="1771" customFormat="1" ht="17.25" hidden="1" customHeight="1">
      <c r="A368" s="240"/>
      <c r="C368" s="126"/>
      <c r="D368" s="8767"/>
      <c r="E368" s="8769"/>
      <c r="F368" s="8772"/>
      <c r="G368" s="8769"/>
      <c r="H368" s="8775"/>
      <c r="I368" s="8777"/>
      <c r="J368" s="8780"/>
      <c r="K368" s="8762"/>
      <c r="L368" s="8762"/>
      <c r="M368" s="8762"/>
      <c r="N368" s="8765"/>
      <c r="O368" s="8762"/>
      <c r="P368" s="1387"/>
      <c r="Q368" s="1221"/>
      <c r="R368" s="1221"/>
      <c r="S368" s="251"/>
      <c r="T368" s="251"/>
      <c r="U368" s="251"/>
      <c r="V368" s="251"/>
      <c r="W368" s="1222"/>
      <c r="Y368" s="1191"/>
      <c r="Z368" s="1191"/>
      <c r="AA368" s="1191"/>
      <c r="AB368" s="1191"/>
      <c r="AC368" s="1191"/>
      <c r="AD368" s="1191"/>
      <c r="AE368" s="1191"/>
      <c r="AF368" s="1191"/>
      <c r="AG368" s="1191"/>
      <c r="AH368" s="1191"/>
      <c r="AI368" s="1191"/>
      <c r="AJ368" s="1191"/>
      <c r="AK368" s="1191"/>
      <c r="AL368" s="1191"/>
      <c r="AM368" s="1191"/>
      <c r="AN368" s="1191"/>
      <c r="AO368" s="1191"/>
      <c r="AP368" s="1191"/>
      <c r="AQ368" s="1191"/>
    </row>
    <row r="369" spans="1:43" s="1771" customFormat="1" ht="17.25" hidden="1" customHeight="1">
      <c r="A369" s="240"/>
      <c r="C369" s="239"/>
      <c r="D369" s="8767"/>
      <c r="E369" s="8769"/>
      <c r="F369" s="8772"/>
      <c r="G369" s="8769"/>
      <c r="H369" s="8775"/>
      <c r="I369" s="8777"/>
      <c r="J369" s="8780"/>
      <c r="K369" s="8762"/>
      <c r="L369" s="1221"/>
      <c r="M369" s="1221"/>
      <c r="N369" s="1221"/>
      <c r="O369" s="1221"/>
      <c r="P369" s="1221"/>
      <c r="Q369" s="1221"/>
      <c r="R369" s="1221"/>
      <c r="S369" s="251"/>
      <c r="T369" s="251"/>
      <c r="U369" s="251"/>
      <c r="V369" s="251"/>
      <c r="W369" s="1222"/>
      <c r="Y369" s="1184"/>
      <c r="Z369" s="1184"/>
      <c r="AA369" s="1184"/>
      <c r="AB369" s="1184"/>
      <c r="AC369" s="1184"/>
      <c r="AD369" s="1184"/>
      <c r="AE369" s="1184"/>
      <c r="AF369" s="1184"/>
      <c r="AG369" s="1184"/>
      <c r="AH369" s="1184"/>
      <c r="AI369" s="1184"/>
      <c r="AJ369" s="1184"/>
      <c r="AK369" s="1184"/>
      <c r="AL369" s="1184"/>
      <c r="AM369" s="1184"/>
      <c r="AN369" s="1184"/>
      <c r="AO369" s="1184"/>
      <c r="AP369" s="1184"/>
      <c r="AQ369" s="1184"/>
    </row>
    <row r="370" spans="1:43" s="1771" customFormat="1" ht="17.25" hidden="1" customHeight="1">
      <c r="A370" s="240"/>
      <c r="C370" s="239"/>
      <c r="D370" s="8768"/>
      <c r="E370" s="8770"/>
      <c r="F370" s="8773"/>
      <c r="G370" s="8770"/>
      <c r="H370" s="1223"/>
      <c r="I370" s="1224"/>
      <c r="J370" s="1224"/>
      <c r="K370" s="1224"/>
      <c r="L370" s="1224"/>
      <c r="M370" s="1224"/>
      <c r="N370" s="1224"/>
      <c r="O370" s="1224"/>
      <c r="P370" s="1224"/>
      <c r="Q370" s="1224"/>
      <c r="R370" s="1224"/>
      <c r="S370" s="1225"/>
      <c r="T370" s="1225"/>
      <c r="U370" s="1225"/>
      <c r="V370" s="1225"/>
      <c r="W370" s="1226"/>
      <c r="Y370" s="1184"/>
      <c r="Z370" s="1184"/>
      <c r="AA370" s="1184"/>
      <c r="AB370" s="1184"/>
      <c r="AC370" s="1184"/>
      <c r="AD370" s="1184"/>
      <c r="AE370" s="1184"/>
      <c r="AF370" s="1184"/>
      <c r="AG370" s="1184"/>
      <c r="AH370" s="1184"/>
      <c r="AI370" s="1184"/>
      <c r="AJ370" s="1184"/>
      <c r="AK370" s="1184"/>
      <c r="AL370" s="1184"/>
      <c r="AM370" s="1184"/>
      <c r="AN370" s="1184"/>
      <c r="AO370" s="1184"/>
      <c r="AP370" s="1184"/>
      <c r="AQ370" s="1184"/>
    </row>
    <row r="371" spans="1:43" s="1771" customFormat="1" ht="17.25" hidden="1" customHeight="1">
      <c r="A371" s="240"/>
      <c r="C371" s="126"/>
      <c r="D371" s="8767">
        <v>2</v>
      </c>
      <c r="E371" s="8769" t="s">
        <v>717</v>
      </c>
      <c r="F371" s="8771" t="s">
        <v>53</v>
      </c>
      <c r="G371" s="8769"/>
      <c r="H371" s="8774"/>
      <c r="I371" s="8776"/>
      <c r="J371" s="8778"/>
      <c r="K371" s="8761"/>
      <c r="L371" s="8761"/>
      <c r="M371" s="8761"/>
      <c r="N371" s="8763"/>
      <c r="O371" s="8761"/>
      <c r="P371" s="8761"/>
      <c r="Q371" s="8761"/>
      <c r="R371" s="8766"/>
      <c r="S371" s="8761"/>
      <c r="T371" s="1386"/>
      <c r="U371" s="1386"/>
      <c r="V371" s="1388"/>
      <c r="W371" s="1220"/>
      <c r="X371" s="1191"/>
      <c r="Y371" s="1191"/>
      <c r="Z371" s="1191"/>
      <c r="AA371" s="1191"/>
      <c r="AB371" s="1191"/>
      <c r="AC371" s="1191" t="s">
        <v>718</v>
      </c>
      <c r="AD371" s="1191" t="s">
        <v>719</v>
      </c>
      <c r="AE371" s="1191" t="s">
        <v>720</v>
      </c>
      <c r="AF371" s="1191" t="s">
        <v>721</v>
      </c>
      <c r="AG371" s="1191"/>
      <c r="AH371" s="1191" t="str">
        <f>IF($E$371=0,"",$E$371)</f>
        <v>Тариф на транспортировку горячей воды</v>
      </c>
      <c r="AI371" s="1191" t="str">
        <f>IF($G$371=0,"",$G$371)</f>
        <v/>
      </c>
      <c r="AJ371" s="1191" t="str">
        <f>IF($J$371=0,"",$J$371)</f>
        <v/>
      </c>
      <c r="AK371" s="1191" t="str">
        <f>IF($K$371="нет","без дифференциации",IF($N$371=0,"",$N$371))</f>
        <v/>
      </c>
      <c r="AL371" s="1191" t="str">
        <f>IF($O$371="нет","без дифференциации",IF($R$371=0,"",$R$371))</f>
        <v/>
      </c>
      <c r="AM371" s="1191" t="str">
        <f>IF($S$371="нет","без дифференциации",IF($V$371=0,"",$V$371))</f>
        <v/>
      </c>
      <c r="AN371" s="1692">
        <f>$I$371</f>
        <v>0</v>
      </c>
      <c r="AO371" s="1191" t="str">
        <f>$I$371&amp;"."&amp;$M$371</f>
        <v>.</v>
      </c>
      <c r="AP371" s="1184" t="str">
        <f>$I$371&amp;"."&amp;$M$371&amp;"."&amp;$Q$371</f>
        <v>..</v>
      </c>
      <c r="AQ371" s="1184" t="str">
        <f>$I$371&amp;"."&amp;$M$371&amp;"."&amp;$Q$371&amp;"."&amp;$U$371</f>
        <v>...</v>
      </c>
    </row>
    <row r="372" spans="1:43" s="1771" customFormat="1" ht="17.25" hidden="1" customHeight="1">
      <c r="A372" s="240"/>
      <c r="C372" s="239"/>
      <c r="D372" s="8767"/>
      <c r="E372" s="8769"/>
      <c r="F372" s="8772"/>
      <c r="G372" s="8769"/>
      <c r="H372" s="8775"/>
      <c r="I372" s="8777"/>
      <c r="J372" s="8779"/>
      <c r="K372" s="8762"/>
      <c r="L372" s="8762"/>
      <c r="M372" s="8762"/>
      <c r="N372" s="8764"/>
      <c r="O372" s="8762"/>
      <c r="P372" s="8762"/>
      <c r="Q372" s="8762"/>
      <c r="R372" s="8765"/>
      <c r="S372" s="8762"/>
      <c r="T372" s="1221"/>
      <c r="U372" s="1221"/>
      <c r="V372" s="1221"/>
      <c r="W372" s="1222"/>
      <c r="X372" s="1184"/>
      <c r="Y372" s="1184"/>
      <c r="Z372" s="1184"/>
      <c r="AA372" s="1184"/>
      <c r="AB372" s="1184"/>
      <c r="AC372" s="1184"/>
      <c r="AD372" s="1184"/>
      <c r="AE372" s="1184"/>
      <c r="AF372" s="1184"/>
      <c r="AG372" s="1184"/>
      <c r="AH372" s="1184"/>
      <c r="AI372" s="1184"/>
      <c r="AJ372" s="1184"/>
      <c r="AK372" s="1184"/>
      <c r="AL372" s="1184"/>
      <c r="AM372" s="1184"/>
      <c r="AN372" s="1184"/>
      <c r="AO372" s="1184"/>
      <c r="AP372" s="1184"/>
      <c r="AQ372" s="1184"/>
    </row>
    <row r="373" spans="1:43" s="1771" customFormat="1" ht="17.25" hidden="1" customHeight="1">
      <c r="A373" s="240"/>
      <c r="C373" s="239"/>
      <c r="D373" s="8768"/>
      <c r="E373" s="8770"/>
      <c r="F373" s="8772"/>
      <c r="G373" s="8770"/>
      <c r="H373" s="8775"/>
      <c r="I373" s="8777"/>
      <c r="J373" s="8780"/>
      <c r="K373" s="8762"/>
      <c r="L373" s="8762"/>
      <c r="M373" s="8762"/>
      <c r="N373" s="8765"/>
      <c r="O373" s="8762"/>
      <c r="P373" s="1387"/>
      <c r="Q373" s="1221"/>
      <c r="R373" s="1221"/>
      <c r="S373" s="251"/>
      <c r="T373" s="251"/>
      <c r="U373" s="251"/>
      <c r="V373" s="251"/>
      <c r="W373" s="1222"/>
      <c r="X373" s="1184"/>
      <c r="Y373" s="1184"/>
      <c r="Z373" s="1184"/>
      <c r="AA373" s="1184"/>
      <c r="AB373" s="1184"/>
      <c r="AC373" s="1184"/>
      <c r="AD373" s="1184"/>
      <c r="AE373" s="1184"/>
      <c r="AF373" s="1184"/>
      <c r="AG373" s="1184"/>
      <c r="AH373" s="1184"/>
      <c r="AI373" s="1184"/>
      <c r="AJ373" s="1184"/>
      <c r="AK373" s="1184"/>
      <c r="AL373" s="1184"/>
      <c r="AM373" s="1184"/>
      <c r="AN373" s="1184"/>
      <c r="AO373" s="1184"/>
      <c r="AP373" s="1184"/>
      <c r="AQ373" s="1184"/>
    </row>
    <row r="374" spans="1:43" s="1771" customFormat="1" ht="17.25" hidden="1" customHeight="1">
      <c r="A374" s="240"/>
      <c r="C374" s="239"/>
      <c r="D374" s="8768"/>
      <c r="E374" s="8770"/>
      <c r="F374" s="8772"/>
      <c r="G374" s="8770"/>
      <c r="H374" s="8775"/>
      <c r="I374" s="8777"/>
      <c r="J374" s="8780"/>
      <c r="K374" s="8762"/>
      <c r="L374" s="1221"/>
      <c r="M374" s="1221"/>
      <c r="N374" s="1221"/>
      <c r="O374" s="1221"/>
      <c r="P374" s="1221"/>
      <c r="Q374" s="1221"/>
      <c r="R374" s="1221"/>
      <c r="S374" s="251"/>
      <c r="T374" s="251"/>
      <c r="U374" s="251"/>
      <c r="V374" s="251"/>
      <c r="W374" s="1222"/>
      <c r="X374" s="1184"/>
      <c r="Y374" s="1184"/>
      <c r="Z374" s="1184"/>
      <c r="AA374" s="1184"/>
      <c r="AB374" s="1184"/>
      <c r="AC374" s="1184"/>
      <c r="AD374" s="1184"/>
      <c r="AE374" s="1184"/>
      <c r="AF374" s="1184"/>
      <c r="AG374" s="1184"/>
      <c r="AH374" s="1184"/>
      <c r="AI374" s="1184"/>
      <c r="AJ374" s="1184"/>
      <c r="AK374" s="1184"/>
      <c r="AL374" s="1184"/>
      <c r="AM374" s="1184"/>
      <c r="AN374" s="1184"/>
      <c r="AO374" s="1184"/>
      <c r="AP374" s="1184"/>
      <c r="AQ374" s="1184"/>
    </row>
    <row r="375" spans="1:43" s="1771" customFormat="1" ht="17.25" hidden="1" customHeight="1">
      <c r="A375" s="240"/>
      <c r="C375" s="239"/>
      <c r="D375" s="8768"/>
      <c r="E375" s="8770"/>
      <c r="F375" s="8773"/>
      <c r="G375" s="8770"/>
      <c r="H375" s="1223"/>
      <c r="I375" s="1224"/>
      <c r="J375" s="1224"/>
      <c r="K375" s="1224"/>
      <c r="L375" s="1224"/>
      <c r="M375" s="1224"/>
      <c r="N375" s="1224"/>
      <c r="O375" s="1224"/>
      <c r="P375" s="1224"/>
      <c r="Q375" s="1224"/>
      <c r="R375" s="1224"/>
      <c r="S375" s="1225"/>
      <c r="T375" s="1225"/>
      <c r="U375" s="1225"/>
      <c r="V375" s="1225"/>
      <c r="W375" s="1226"/>
      <c r="X375" s="1184"/>
      <c r="Y375" s="1184"/>
      <c r="Z375" s="1184"/>
      <c r="AA375" s="1184"/>
      <c r="AB375" s="1184"/>
      <c r="AC375" s="1184"/>
      <c r="AD375" s="1184"/>
      <c r="AE375" s="1184"/>
      <c r="AF375" s="1184"/>
      <c r="AG375" s="1184"/>
      <c r="AH375" s="1184"/>
      <c r="AI375" s="1184"/>
      <c r="AJ375" s="1184"/>
      <c r="AK375" s="1184"/>
      <c r="AL375" s="1184"/>
      <c r="AM375" s="1184"/>
      <c r="AN375" s="1184"/>
      <c r="AO375" s="1184"/>
      <c r="AP375" s="1184"/>
      <c r="AQ375" s="1184"/>
    </row>
    <row r="376" spans="1:43" s="1771" customFormat="1" ht="17.25" hidden="1" customHeight="1">
      <c r="A376" s="240"/>
      <c r="C376" s="126"/>
      <c r="D376" s="8767">
        <v>3</v>
      </c>
      <c r="E376" s="8769" t="s">
        <v>722</v>
      </c>
      <c r="F376" s="8771" t="s">
        <v>53</v>
      </c>
      <c r="G376" s="8769"/>
      <c r="H376" s="8774"/>
      <c r="I376" s="8776"/>
      <c r="J376" s="8778"/>
      <c r="K376" s="8761"/>
      <c r="L376" s="8761"/>
      <c r="M376" s="8761"/>
      <c r="N376" s="8763"/>
      <c r="O376" s="8761"/>
      <c r="P376" s="8761"/>
      <c r="Q376" s="8761"/>
      <c r="R376" s="8766"/>
      <c r="S376" s="8761"/>
      <c r="T376" s="1386"/>
      <c r="U376" s="1386"/>
      <c r="V376" s="1388"/>
      <c r="W376" s="1220"/>
      <c r="X376" s="1191"/>
      <c r="Y376" s="1191"/>
      <c r="Z376" s="1191"/>
      <c r="AA376" s="1191"/>
      <c r="AB376" s="1191"/>
      <c r="AC376" s="1191" t="s">
        <v>723</v>
      </c>
      <c r="AD376" s="1191" t="s">
        <v>724</v>
      </c>
      <c r="AE376" s="1191" t="s">
        <v>725</v>
      </c>
      <c r="AF376" s="1191" t="s">
        <v>726</v>
      </c>
      <c r="AG376" s="1191"/>
      <c r="AH376" s="1191" t="str">
        <f>IF($E$376=0,"",$E$376)</f>
        <v>Тариф на подключение (технологическое присоединение) к централизованной системе горячего водоснабжения</v>
      </c>
      <c r="AI376" s="1191" t="str">
        <f>IF($G$376=0,"",$G$376)</f>
        <v/>
      </c>
      <c r="AJ376" s="1191" t="str">
        <f>IF($J$376=0,"",$J$376)</f>
        <v/>
      </c>
      <c r="AK376" s="1191" t="str">
        <f>IF($K$376="нет","без дифференциации",IF($N$376=0,"",$N$376))</f>
        <v/>
      </c>
      <c r="AL376" s="1191" t="str">
        <f>IF($O$376="нет","без дифференциации",IF($R$376=0,"",$R$376))</f>
        <v/>
      </c>
      <c r="AM376" s="1191" t="str">
        <f>IF($S$376="нет","без дифференциации",IF($V$376=0,"",$V$376))</f>
        <v/>
      </c>
      <c r="AN376" s="1692">
        <f>$I$376</f>
        <v>0</v>
      </c>
      <c r="AO376" s="1191" t="str">
        <f>$I$376&amp;"."&amp;$M$376</f>
        <v>.</v>
      </c>
      <c r="AP376" s="1184" t="str">
        <f>$I$376&amp;"."&amp;$M$376&amp;"."&amp;$Q$376</f>
        <v>..</v>
      </c>
      <c r="AQ376" s="1184" t="str">
        <f>$I$376&amp;"."&amp;$M$376&amp;"."&amp;$Q$376&amp;"."&amp;$U$376</f>
        <v>...</v>
      </c>
    </row>
    <row r="377" spans="1:43" s="1771" customFormat="1" ht="17.25" hidden="1" customHeight="1">
      <c r="A377" s="240"/>
      <c r="C377" s="239"/>
      <c r="D377" s="8767"/>
      <c r="E377" s="8769"/>
      <c r="F377" s="8772"/>
      <c r="G377" s="8769"/>
      <c r="H377" s="8775"/>
      <c r="I377" s="8777"/>
      <c r="J377" s="8779"/>
      <c r="K377" s="8762"/>
      <c r="L377" s="8762"/>
      <c r="M377" s="8762"/>
      <c r="N377" s="8764"/>
      <c r="O377" s="8762"/>
      <c r="P377" s="8762"/>
      <c r="Q377" s="8762"/>
      <c r="R377" s="8765"/>
      <c r="S377" s="8762"/>
      <c r="T377" s="1221"/>
      <c r="U377" s="1221"/>
      <c r="V377" s="1221"/>
      <c r="W377" s="1222"/>
      <c r="X377" s="1184"/>
      <c r="Y377" s="1184"/>
      <c r="Z377" s="1184"/>
      <c r="AA377" s="1184"/>
      <c r="AB377" s="1184"/>
      <c r="AC377" s="1184"/>
      <c r="AD377" s="1184"/>
      <c r="AE377" s="1184"/>
      <c r="AF377" s="1184"/>
      <c r="AG377" s="1184"/>
      <c r="AH377" s="1184"/>
      <c r="AI377" s="1184"/>
      <c r="AJ377" s="1184"/>
      <c r="AK377" s="1184"/>
      <c r="AL377" s="1184"/>
      <c r="AM377" s="1184"/>
      <c r="AN377" s="1184"/>
      <c r="AO377" s="1184"/>
      <c r="AP377" s="1184"/>
      <c r="AQ377" s="1184"/>
    </row>
    <row r="378" spans="1:43" s="1771" customFormat="1" ht="17.25" hidden="1" customHeight="1">
      <c r="A378" s="240"/>
      <c r="C378" s="239"/>
      <c r="D378" s="8768"/>
      <c r="E378" s="8770"/>
      <c r="F378" s="8772"/>
      <c r="G378" s="8770"/>
      <c r="H378" s="8775"/>
      <c r="I378" s="8777"/>
      <c r="J378" s="8780"/>
      <c r="K378" s="8762"/>
      <c r="L378" s="8762"/>
      <c r="M378" s="8762"/>
      <c r="N378" s="8765"/>
      <c r="O378" s="8762"/>
      <c r="P378" s="1387"/>
      <c r="Q378" s="1221"/>
      <c r="R378" s="1221"/>
      <c r="S378" s="251"/>
      <c r="T378" s="251"/>
      <c r="U378" s="251"/>
      <c r="V378" s="251"/>
      <c r="W378" s="1222"/>
      <c r="X378" s="1184"/>
      <c r="Y378" s="1184"/>
      <c r="Z378" s="1184"/>
      <c r="AA378" s="1184"/>
      <c r="AB378" s="1184"/>
      <c r="AC378" s="1184"/>
      <c r="AD378" s="1184"/>
      <c r="AE378" s="1184"/>
      <c r="AF378" s="1184"/>
      <c r="AG378" s="1184"/>
      <c r="AH378" s="1184"/>
      <c r="AI378" s="1184"/>
      <c r="AJ378" s="1184"/>
      <c r="AK378" s="1184"/>
      <c r="AL378" s="1184"/>
      <c r="AM378" s="1184"/>
      <c r="AN378" s="1184"/>
      <c r="AO378" s="1184"/>
      <c r="AP378" s="1184"/>
      <c r="AQ378" s="1184"/>
    </row>
    <row r="379" spans="1:43" s="1771" customFormat="1" ht="17.25" hidden="1" customHeight="1">
      <c r="A379" s="240"/>
      <c r="C379" s="239"/>
      <c r="D379" s="8768"/>
      <c r="E379" s="8770"/>
      <c r="F379" s="8772"/>
      <c r="G379" s="8770"/>
      <c r="H379" s="8775"/>
      <c r="I379" s="8777"/>
      <c r="J379" s="8780"/>
      <c r="K379" s="8762"/>
      <c r="L379" s="1221"/>
      <c r="M379" s="1221"/>
      <c r="N379" s="1221"/>
      <c r="O379" s="1221"/>
      <c r="P379" s="1221"/>
      <c r="Q379" s="1221"/>
      <c r="R379" s="1221"/>
      <c r="S379" s="251"/>
      <c r="T379" s="251"/>
      <c r="U379" s="251"/>
      <c r="V379" s="251"/>
      <c r="W379" s="1222"/>
      <c r="X379" s="1184"/>
      <c r="Y379" s="1184"/>
      <c r="Z379" s="1184"/>
      <c r="AA379" s="1184"/>
      <c r="AB379" s="1184"/>
      <c r="AC379" s="1184"/>
      <c r="AD379" s="1184"/>
      <c r="AE379" s="1184"/>
      <c r="AF379" s="1184"/>
      <c r="AG379" s="1184"/>
      <c r="AH379" s="1184"/>
      <c r="AI379" s="1184"/>
      <c r="AJ379" s="1184"/>
      <c r="AK379" s="1184"/>
      <c r="AL379" s="1184"/>
      <c r="AM379" s="1184"/>
      <c r="AN379" s="1184"/>
      <c r="AO379" s="1184"/>
      <c r="AP379" s="1184"/>
      <c r="AQ379" s="1184"/>
    </row>
    <row r="380" spans="1:43" s="1771" customFormat="1" ht="17.25" hidden="1" customHeight="1">
      <c r="A380" s="240"/>
      <c r="C380" s="239"/>
      <c r="D380" s="8768"/>
      <c r="E380" s="8770"/>
      <c r="F380" s="8773"/>
      <c r="G380" s="8770"/>
      <c r="H380" s="1223"/>
      <c r="I380" s="1224"/>
      <c r="J380" s="1224"/>
      <c r="K380" s="1224"/>
      <c r="L380" s="1224"/>
      <c r="M380" s="1224"/>
      <c r="N380" s="1224"/>
      <c r="O380" s="1224"/>
      <c r="P380" s="1224"/>
      <c r="Q380" s="1224"/>
      <c r="R380" s="1224"/>
      <c r="S380" s="1225"/>
      <c r="T380" s="1225"/>
      <c r="U380" s="1225"/>
      <c r="V380" s="1225"/>
      <c r="W380" s="1226"/>
      <c r="X380" s="1184"/>
      <c r="Y380" s="1184"/>
      <c r="Z380" s="1184"/>
      <c r="AA380" s="1184"/>
      <c r="AB380" s="1184"/>
      <c r="AC380" s="1184"/>
      <c r="AD380" s="1184"/>
      <c r="AE380" s="1184"/>
      <c r="AF380" s="1184"/>
      <c r="AG380" s="1184"/>
      <c r="AH380" s="1184"/>
      <c r="AI380" s="1184"/>
      <c r="AJ380" s="1184"/>
      <c r="AK380" s="1184"/>
      <c r="AL380" s="1184"/>
      <c r="AM380" s="1184"/>
      <c r="AN380" s="1184"/>
      <c r="AO380" s="1184"/>
      <c r="AP380" s="1184"/>
      <c r="AQ380" s="1184"/>
    </row>
    <row r="381" spans="1:43" s="1771" customFormat="1" ht="11.25" hidden="1" customHeight="1">
      <c r="A381" s="191"/>
      <c r="B381" s="191"/>
      <c r="Y381" s="1184"/>
      <c r="Z381" s="1184"/>
      <c r="AA381" s="1184"/>
      <c r="AB381" s="1184"/>
      <c r="AC381" s="1184"/>
      <c r="AD381" s="1184"/>
      <c r="AE381" s="1184"/>
      <c r="AF381" s="1184"/>
      <c r="AG381" s="1184"/>
      <c r="AH381" s="1184"/>
      <c r="AI381" s="1184"/>
      <c r="AJ381" s="1184"/>
      <c r="AK381" s="1184"/>
      <c r="AL381" s="1184"/>
      <c r="AM381" s="1184"/>
      <c r="AN381" s="1184"/>
      <c r="AO381" s="1184"/>
      <c r="AP381" s="1184"/>
      <c r="AQ381" s="1184"/>
    </row>
    <row r="382" spans="1:43" s="1771" customFormat="1" ht="17.25" hidden="1" customHeight="1">
      <c r="A382" s="240"/>
      <c r="C382" s="126"/>
      <c r="D382" s="8767">
        <v>1</v>
      </c>
      <c r="E382" s="8769" t="s">
        <v>727</v>
      </c>
      <c r="F382" s="8771" t="s">
        <v>53</v>
      </c>
      <c r="G382" s="8769"/>
      <c r="H382" s="8774"/>
      <c r="I382" s="8776"/>
      <c r="J382" s="8778"/>
      <c r="K382" s="8761"/>
      <c r="L382" s="8761"/>
      <c r="M382" s="8761"/>
      <c r="N382" s="8763"/>
      <c r="O382" s="8761"/>
      <c r="P382" s="8761"/>
      <c r="Q382" s="8761"/>
      <c r="R382" s="8766"/>
      <c r="S382" s="8761"/>
      <c r="T382" s="1386"/>
      <c r="U382" s="1386"/>
      <c r="V382" s="1388"/>
      <c r="W382" s="1220"/>
      <c r="Y382" s="1191"/>
      <c r="Z382" s="1191"/>
      <c r="AA382" s="1191"/>
      <c r="AB382" s="1191"/>
      <c r="AC382" s="1191" t="s">
        <v>728</v>
      </c>
      <c r="AD382" s="1191" t="s">
        <v>729</v>
      </c>
      <c r="AE382" s="1191" t="s">
        <v>730</v>
      </c>
      <c r="AF382" s="1191" t="s">
        <v>731</v>
      </c>
      <c r="AG382" s="1191"/>
      <c r="AH382" s="1191" t="str">
        <f>IF($E$382=0,"",$E$382)</f>
        <v>Тариф на водоотведение</v>
      </c>
      <c r="AI382" s="1191" t="str">
        <f>IF($G$382=0,"",$G$382)</f>
        <v/>
      </c>
      <c r="AJ382" s="1191" t="str">
        <f>IF($J$382=0,"",$J$382)</f>
        <v/>
      </c>
      <c r="AK382" s="1191" t="str">
        <f>IF($K$382="нет","без дифференциации",IF($N$382=0,"",$N$382))</f>
        <v/>
      </c>
      <c r="AL382" s="1191" t="str">
        <f>IF($O$382="нет","без дифференциации",IF($R$382=0,"",$R$382))</f>
        <v/>
      </c>
      <c r="AM382" s="1191" t="str">
        <f>IF($S$382="нет","без дифференциации",IF($V$382=0,"",$V$382))</f>
        <v/>
      </c>
      <c r="AN382" s="1191">
        <f>$I$382</f>
        <v>0</v>
      </c>
      <c r="AO382" s="1191" t="str">
        <f>$I$382&amp;"."&amp;$M$382</f>
        <v>.</v>
      </c>
      <c r="AP382" s="1191" t="str">
        <f>$I$382&amp;"."&amp;$M$382&amp;"."&amp;$Q$382</f>
        <v>..</v>
      </c>
      <c r="AQ382" s="1191" t="str">
        <f>$I$382&amp;"."&amp;$M$382&amp;"."&amp;$Q$382&amp;"."&amp;$U$382</f>
        <v>...</v>
      </c>
    </row>
    <row r="383" spans="1:43" s="1771" customFormat="1" ht="17.25" hidden="1" customHeight="1">
      <c r="A383" s="240"/>
      <c r="C383" s="239"/>
      <c r="D383" s="8767"/>
      <c r="E383" s="8769"/>
      <c r="F383" s="8772"/>
      <c r="G383" s="8769"/>
      <c r="H383" s="8775"/>
      <c r="I383" s="8777"/>
      <c r="J383" s="8779"/>
      <c r="K383" s="8762"/>
      <c r="L383" s="8762"/>
      <c r="M383" s="8762"/>
      <c r="N383" s="8764"/>
      <c r="O383" s="8762"/>
      <c r="P383" s="8762"/>
      <c r="Q383" s="8762"/>
      <c r="R383" s="8765"/>
      <c r="S383" s="8762"/>
      <c r="T383" s="1221"/>
      <c r="U383" s="1221"/>
      <c r="V383" s="1221"/>
      <c r="W383" s="1222"/>
      <c r="Y383" s="1184"/>
      <c r="Z383" s="1184"/>
      <c r="AA383" s="1184"/>
      <c r="AB383" s="1184"/>
      <c r="AC383" s="1184"/>
      <c r="AD383" s="1184"/>
      <c r="AE383" s="1184"/>
      <c r="AF383" s="1184"/>
      <c r="AG383" s="1184"/>
      <c r="AH383" s="1184"/>
      <c r="AI383" s="1184"/>
      <c r="AJ383" s="1184"/>
      <c r="AK383" s="1184"/>
      <c r="AL383" s="1184"/>
      <c r="AM383" s="1184"/>
      <c r="AN383" s="1184"/>
      <c r="AO383" s="1184"/>
      <c r="AP383" s="1184"/>
      <c r="AQ383" s="1184"/>
    </row>
    <row r="384" spans="1:43" s="1771" customFormat="1" ht="17.25" hidden="1" customHeight="1">
      <c r="A384" s="240"/>
      <c r="C384" s="126"/>
      <c r="D384" s="8767"/>
      <c r="E384" s="8769"/>
      <c r="F384" s="8772"/>
      <c r="G384" s="8769"/>
      <c r="H384" s="8775"/>
      <c r="I384" s="8777"/>
      <c r="J384" s="8780"/>
      <c r="K384" s="8762"/>
      <c r="L384" s="8762"/>
      <c r="M384" s="8762"/>
      <c r="N384" s="8765"/>
      <c r="O384" s="8762"/>
      <c r="P384" s="1387"/>
      <c r="Q384" s="1221"/>
      <c r="R384" s="1221"/>
      <c r="S384" s="251"/>
      <c r="T384" s="251"/>
      <c r="U384" s="251"/>
      <c r="V384" s="251"/>
      <c r="W384" s="1222"/>
      <c r="Y384" s="1191"/>
      <c r="Z384" s="1191"/>
      <c r="AA384" s="1191"/>
      <c r="AB384" s="1191"/>
      <c r="AC384" s="1191"/>
      <c r="AD384" s="1191"/>
      <c r="AE384" s="1191"/>
      <c r="AF384" s="1191"/>
      <c r="AG384" s="1191"/>
      <c r="AH384" s="1191"/>
      <c r="AI384" s="1191"/>
      <c r="AJ384" s="1191"/>
      <c r="AK384" s="1191"/>
      <c r="AL384" s="1191"/>
      <c r="AM384" s="1191"/>
      <c r="AN384" s="1191"/>
      <c r="AO384" s="1191"/>
      <c r="AP384" s="1191"/>
      <c r="AQ384" s="1191"/>
    </row>
    <row r="385" spans="1:43" s="1771" customFormat="1" ht="17.25" hidden="1" customHeight="1">
      <c r="A385" s="240"/>
      <c r="C385" s="239"/>
      <c r="D385" s="8767"/>
      <c r="E385" s="8769"/>
      <c r="F385" s="8772"/>
      <c r="G385" s="8769"/>
      <c r="H385" s="8775"/>
      <c r="I385" s="8777"/>
      <c r="J385" s="8780"/>
      <c r="K385" s="8762"/>
      <c r="L385" s="1221"/>
      <c r="M385" s="1221"/>
      <c r="N385" s="1221"/>
      <c r="O385" s="1221"/>
      <c r="P385" s="1221"/>
      <c r="Q385" s="1221"/>
      <c r="R385" s="1221"/>
      <c r="S385" s="251"/>
      <c r="T385" s="251"/>
      <c r="U385" s="251"/>
      <c r="V385" s="251"/>
      <c r="W385" s="1222"/>
      <c r="Y385" s="1184"/>
      <c r="Z385" s="1184"/>
      <c r="AA385" s="1184"/>
      <c r="AB385" s="1184"/>
      <c r="AC385" s="1184"/>
      <c r="AD385" s="1184"/>
      <c r="AE385" s="1184"/>
      <c r="AF385" s="1184"/>
      <c r="AG385" s="1184"/>
      <c r="AH385" s="1184"/>
      <c r="AI385" s="1184"/>
      <c r="AJ385" s="1184"/>
      <c r="AK385" s="1184"/>
      <c r="AL385" s="1184"/>
      <c r="AM385" s="1184"/>
      <c r="AN385" s="1184"/>
      <c r="AO385" s="1184"/>
      <c r="AP385" s="1184"/>
      <c r="AQ385" s="1184"/>
    </row>
    <row r="386" spans="1:43" s="1771" customFormat="1" ht="17.25" hidden="1" customHeight="1">
      <c r="A386" s="240"/>
      <c r="C386" s="239"/>
      <c r="D386" s="8768"/>
      <c r="E386" s="8770"/>
      <c r="F386" s="8773"/>
      <c r="G386" s="8770"/>
      <c r="H386" s="1223"/>
      <c r="I386" s="1224"/>
      <c r="J386" s="1224"/>
      <c r="K386" s="1224"/>
      <c r="L386" s="1224"/>
      <c r="M386" s="1224"/>
      <c r="N386" s="1224"/>
      <c r="O386" s="1224"/>
      <c r="P386" s="1224"/>
      <c r="Q386" s="1224"/>
      <c r="R386" s="1224"/>
      <c r="S386" s="1225"/>
      <c r="T386" s="1225"/>
      <c r="U386" s="1225"/>
      <c r="V386" s="1225"/>
      <c r="W386" s="1226"/>
      <c r="Y386" s="1184"/>
      <c r="Z386" s="1184"/>
      <c r="AA386" s="1184"/>
      <c r="AB386" s="1184"/>
      <c r="AC386" s="1184"/>
      <c r="AD386" s="1184"/>
      <c r="AE386" s="1184"/>
      <c r="AF386" s="1184"/>
      <c r="AG386" s="1184"/>
      <c r="AH386" s="1184"/>
      <c r="AI386" s="1184"/>
      <c r="AJ386" s="1184"/>
      <c r="AK386" s="1184"/>
      <c r="AL386" s="1184"/>
      <c r="AM386" s="1184"/>
      <c r="AN386" s="1184"/>
      <c r="AO386" s="1184"/>
      <c r="AP386" s="1184"/>
      <c r="AQ386" s="1184"/>
    </row>
    <row r="387" spans="1:43" s="1771" customFormat="1" ht="17.25" hidden="1" customHeight="1">
      <c r="A387" s="240"/>
      <c r="C387" s="126"/>
      <c r="D387" s="8767">
        <v>2</v>
      </c>
      <c r="E387" s="8769" t="s">
        <v>732</v>
      </c>
      <c r="F387" s="8771" t="s">
        <v>53</v>
      </c>
      <c r="G387" s="8769"/>
      <c r="H387" s="8774"/>
      <c r="I387" s="8776"/>
      <c r="J387" s="8778"/>
      <c r="K387" s="8761"/>
      <c r="L387" s="8761"/>
      <c r="M387" s="8761"/>
      <c r="N387" s="8763"/>
      <c r="O387" s="8761"/>
      <c r="P387" s="8761"/>
      <c r="Q387" s="8761"/>
      <c r="R387" s="8766"/>
      <c r="S387" s="8761"/>
      <c r="T387" s="1386"/>
      <c r="U387" s="1386"/>
      <c r="V387" s="1388"/>
      <c r="W387" s="1220"/>
      <c r="X387" s="1191"/>
      <c r="Y387" s="1191"/>
      <c r="Z387" s="1191"/>
      <c r="AA387" s="1191"/>
      <c r="AB387" s="1191"/>
      <c r="AC387" s="1191" t="s">
        <v>733</v>
      </c>
      <c r="AD387" s="1191" t="s">
        <v>734</v>
      </c>
      <c r="AE387" s="1191" t="s">
        <v>735</v>
      </c>
      <c r="AF387" s="1191" t="s">
        <v>736</v>
      </c>
      <c r="AG387" s="1191"/>
      <c r="AH387" s="1191" t="str">
        <f>IF($E$387=0,"",$E$387)</f>
        <v>Тариф на транспортировку сточных вод</v>
      </c>
      <c r="AI387" s="1191" t="str">
        <f>IF($G$387=0,"",$G$387)</f>
        <v/>
      </c>
      <c r="AJ387" s="1191" t="str">
        <f>IF($J$387=0,"",$J$387)</f>
        <v/>
      </c>
      <c r="AK387" s="1191" t="str">
        <f>IF($K$387="нет","без дифференциации",IF($N$387=0,"",$N$387))</f>
        <v/>
      </c>
      <c r="AL387" s="1191" t="str">
        <f>IF($O$387="нет","без дифференциации",IF($R$387=0,"",$R$387))</f>
        <v/>
      </c>
      <c r="AM387" s="1191" t="str">
        <f>IF($S$387="нет","без дифференциации",IF($V$387=0,"",$V$387))</f>
        <v/>
      </c>
      <c r="AN387" s="1692">
        <f>$I$387</f>
        <v>0</v>
      </c>
      <c r="AO387" s="1191" t="str">
        <f>$I$387&amp;"."&amp;$M$387</f>
        <v>.</v>
      </c>
      <c r="AP387" s="1184" t="str">
        <f>$I$387&amp;"."&amp;$M$387&amp;"."&amp;$Q$387</f>
        <v>..</v>
      </c>
      <c r="AQ387" s="1184" t="str">
        <f>$I$387&amp;"."&amp;$M$387&amp;"."&amp;$Q$387&amp;"."&amp;$U$387</f>
        <v>...</v>
      </c>
    </row>
    <row r="388" spans="1:43" s="1771" customFormat="1" ht="17.25" hidden="1" customHeight="1">
      <c r="A388" s="240"/>
      <c r="C388" s="239"/>
      <c r="D388" s="8767"/>
      <c r="E388" s="8769"/>
      <c r="F388" s="8772"/>
      <c r="G388" s="8769"/>
      <c r="H388" s="8775"/>
      <c r="I388" s="8777"/>
      <c r="J388" s="8779"/>
      <c r="K388" s="8762"/>
      <c r="L388" s="8762"/>
      <c r="M388" s="8762"/>
      <c r="N388" s="8764"/>
      <c r="O388" s="8762"/>
      <c r="P388" s="8762"/>
      <c r="Q388" s="8762"/>
      <c r="R388" s="8765"/>
      <c r="S388" s="8762"/>
      <c r="T388" s="1221"/>
      <c r="U388" s="1221"/>
      <c r="V388" s="1221"/>
      <c r="W388" s="1222"/>
      <c r="X388" s="1184"/>
      <c r="Y388" s="1184"/>
      <c r="Z388" s="1184"/>
      <c r="AA388" s="1184"/>
      <c r="AB388" s="1184"/>
      <c r="AC388" s="1184"/>
      <c r="AD388" s="1184"/>
      <c r="AE388" s="1184"/>
      <c r="AF388" s="1184"/>
      <c r="AG388" s="1184"/>
      <c r="AH388" s="1184"/>
      <c r="AI388" s="1184"/>
      <c r="AJ388" s="1184"/>
      <c r="AK388" s="1184"/>
      <c r="AL388" s="1184"/>
      <c r="AM388" s="1184"/>
      <c r="AN388" s="1184"/>
      <c r="AO388" s="1184"/>
      <c r="AP388" s="1184"/>
      <c r="AQ388" s="1184"/>
    </row>
    <row r="389" spans="1:43" s="1771" customFormat="1" ht="17.25" hidden="1" customHeight="1">
      <c r="A389" s="240"/>
      <c r="C389" s="239"/>
      <c r="D389" s="8768"/>
      <c r="E389" s="8770"/>
      <c r="F389" s="8772"/>
      <c r="G389" s="8770"/>
      <c r="H389" s="8775"/>
      <c r="I389" s="8777"/>
      <c r="J389" s="8780"/>
      <c r="K389" s="8762"/>
      <c r="L389" s="8762"/>
      <c r="M389" s="8762"/>
      <c r="N389" s="8765"/>
      <c r="O389" s="8762"/>
      <c r="P389" s="1387"/>
      <c r="Q389" s="1221"/>
      <c r="R389" s="1221"/>
      <c r="S389" s="251"/>
      <c r="T389" s="251"/>
      <c r="U389" s="251"/>
      <c r="V389" s="251"/>
      <c r="W389" s="1222"/>
      <c r="X389" s="1184"/>
      <c r="Y389" s="1184"/>
      <c r="Z389" s="1184"/>
      <c r="AA389" s="1184"/>
      <c r="AB389" s="1184"/>
      <c r="AC389" s="1184"/>
      <c r="AD389" s="1184"/>
      <c r="AE389" s="1184"/>
      <c r="AF389" s="1184"/>
      <c r="AG389" s="1184"/>
      <c r="AH389" s="1184"/>
      <c r="AI389" s="1184"/>
      <c r="AJ389" s="1184"/>
      <c r="AK389" s="1184"/>
      <c r="AL389" s="1184"/>
      <c r="AM389" s="1184"/>
      <c r="AN389" s="1184"/>
      <c r="AO389" s="1184"/>
      <c r="AP389" s="1184"/>
      <c r="AQ389" s="1184"/>
    </row>
    <row r="390" spans="1:43" s="1771" customFormat="1" ht="17.25" hidden="1" customHeight="1">
      <c r="A390" s="240"/>
      <c r="C390" s="239"/>
      <c r="D390" s="8768"/>
      <c r="E390" s="8770"/>
      <c r="F390" s="8772"/>
      <c r="G390" s="8770"/>
      <c r="H390" s="8775"/>
      <c r="I390" s="8777"/>
      <c r="J390" s="8780"/>
      <c r="K390" s="8762"/>
      <c r="L390" s="1221"/>
      <c r="M390" s="1221"/>
      <c r="N390" s="1221"/>
      <c r="O390" s="1221"/>
      <c r="P390" s="1221"/>
      <c r="Q390" s="1221"/>
      <c r="R390" s="1221"/>
      <c r="S390" s="251"/>
      <c r="T390" s="251"/>
      <c r="U390" s="251"/>
      <c r="V390" s="251"/>
      <c r="W390" s="1222"/>
      <c r="X390" s="1184"/>
      <c r="Y390" s="1184"/>
      <c r="Z390" s="1184"/>
      <c r="AA390" s="1184"/>
      <c r="AB390" s="1184"/>
      <c r="AC390" s="1184"/>
      <c r="AD390" s="1184"/>
      <c r="AE390" s="1184"/>
      <c r="AF390" s="1184"/>
      <c r="AG390" s="1184"/>
      <c r="AH390" s="1184"/>
      <c r="AI390" s="1184"/>
      <c r="AJ390" s="1184"/>
      <c r="AK390" s="1184"/>
      <c r="AL390" s="1184"/>
      <c r="AM390" s="1184"/>
      <c r="AN390" s="1184"/>
      <c r="AO390" s="1184"/>
      <c r="AP390" s="1184"/>
      <c r="AQ390" s="1184"/>
    </row>
    <row r="391" spans="1:43" s="1771" customFormat="1" ht="17.25" hidden="1" customHeight="1">
      <c r="A391" s="240"/>
      <c r="C391" s="239"/>
      <c r="D391" s="8768"/>
      <c r="E391" s="8770"/>
      <c r="F391" s="8773"/>
      <c r="G391" s="8770"/>
      <c r="H391" s="1223"/>
      <c r="I391" s="1224"/>
      <c r="J391" s="1224"/>
      <c r="K391" s="1224"/>
      <c r="L391" s="1224"/>
      <c r="M391" s="1224"/>
      <c r="N391" s="1224"/>
      <c r="O391" s="1224"/>
      <c r="P391" s="1224"/>
      <c r="Q391" s="1224"/>
      <c r="R391" s="1224"/>
      <c r="S391" s="1225"/>
      <c r="T391" s="1225"/>
      <c r="U391" s="1225"/>
      <c r="V391" s="1225"/>
      <c r="W391" s="1226"/>
      <c r="X391" s="1184"/>
      <c r="Y391" s="1184"/>
      <c r="Z391" s="1184"/>
      <c r="AA391" s="1184"/>
      <c r="AB391" s="1184"/>
      <c r="AC391" s="1184"/>
      <c r="AD391" s="1184"/>
      <c r="AE391" s="1184"/>
      <c r="AF391" s="1184"/>
      <c r="AG391" s="1184"/>
      <c r="AH391" s="1184"/>
      <c r="AI391" s="1184"/>
      <c r="AJ391" s="1184"/>
      <c r="AK391" s="1184"/>
      <c r="AL391" s="1184"/>
      <c r="AM391" s="1184"/>
      <c r="AN391" s="1184"/>
      <c r="AO391" s="1184"/>
      <c r="AP391" s="1184"/>
      <c r="AQ391" s="1184"/>
    </row>
    <row r="392" spans="1:43" s="1771" customFormat="1" ht="17.25" hidden="1" customHeight="1">
      <c r="A392" s="240"/>
      <c r="C392" s="126"/>
      <c r="D392" s="8767">
        <v>3</v>
      </c>
      <c r="E392" s="8769" t="s">
        <v>737</v>
      </c>
      <c r="F392" s="8771" t="s">
        <v>53</v>
      </c>
      <c r="G392" s="8769"/>
      <c r="H392" s="8774"/>
      <c r="I392" s="8776"/>
      <c r="J392" s="8778"/>
      <c r="K392" s="8761"/>
      <c r="L392" s="8761"/>
      <c r="M392" s="8761"/>
      <c r="N392" s="8763"/>
      <c r="O392" s="8761"/>
      <c r="P392" s="8761"/>
      <c r="Q392" s="8761"/>
      <c r="R392" s="8766"/>
      <c r="S392" s="8761"/>
      <c r="T392" s="1386"/>
      <c r="U392" s="1386"/>
      <c r="V392" s="1388"/>
      <c r="W392" s="1220"/>
      <c r="X392" s="1191"/>
      <c r="Y392" s="1191"/>
      <c r="Z392" s="1191"/>
      <c r="AA392" s="1191"/>
      <c r="AB392" s="1191"/>
      <c r="AC392" s="1191" t="s">
        <v>738</v>
      </c>
      <c r="AD392" s="1191" t="s">
        <v>739</v>
      </c>
      <c r="AE392" s="1191" t="s">
        <v>740</v>
      </c>
      <c r="AF392" s="1191" t="s">
        <v>741</v>
      </c>
      <c r="AG392" s="1191"/>
      <c r="AH392" s="1191" t="str">
        <f>IF($E$392=0,"",$E$392)</f>
        <v>Тариф на подключение (технологическое присоединение) к централизованной системе водоотведения</v>
      </c>
      <c r="AI392" s="1191" t="str">
        <f>IF($G$392=0,"",$G$392)</f>
        <v/>
      </c>
      <c r="AJ392" s="1191" t="str">
        <f>IF($J$392=0,"",$J$392)</f>
        <v/>
      </c>
      <c r="AK392" s="1191" t="str">
        <f>IF($K$392="нет","без дифференциации",IF($N$392=0,"",$N$392))</f>
        <v/>
      </c>
      <c r="AL392" s="1191" t="str">
        <f>IF($O$392="нет","без дифференциации",IF($R$392=0,"",$R$392))</f>
        <v/>
      </c>
      <c r="AM392" s="1191" t="str">
        <f>IF($S$392="нет","без дифференциации",IF($V$392=0,"",$V$392))</f>
        <v/>
      </c>
      <c r="AN392" s="1692">
        <f>$I$392</f>
        <v>0</v>
      </c>
      <c r="AO392" s="1191" t="str">
        <f>$I$392&amp;"."&amp;$M$392</f>
        <v>.</v>
      </c>
      <c r="AP392" s="1184" t="str">
        <f>$I$392&amp;"."&amp;$M$392&amp;"."&amp;$Q$392</f>
        <v>..</v>
      </c>
      <c r="AQ392" s="1184" t="str">
        <f>$I$392&amp;"."&amp;$M$392&amp;"."&amp;$Q$392&amp;"."&amp;$U$392</f>
        <v>...</v>
      </c>
    </row>
    <row r="393" spans="1:43" s="1771" customFormat="1" ht="17.25" hidden="1" customHeight="1">
      <c r="A393" s="240"/>
      <c r="C393" s="239"/>
      <c r="D393" s="8767"/>
      <c r="E393" s="8769"/>
      <c r="F393" s="8772"/>
      <c r="G393" s="8769"/>
      <c r="H393" s="8775"/>
      <c r="I393" s="8777"/>
      <c r="J393" s="8779"/>
      <c r="K393" s="8762"/>
      <c r="L393" s="8762"/>
      <c r="M393" s="8762"/>
      <c r="N393" s="8764"/>
      <c r="O393" s="8762"/>
      <c r="P393" s="8762"/>
      <c r="Q393" s="8762"/>
      <c r="R393" s="8765"/>
      <c r="S393" s="8762"/>
      <c r="T393" s="1221"/>
      <c r="U393" s="1221"/>
      <c r="V393" s="1221"/>
      <c r="W393" s="1222"/>
      <c r="X393" s="1184"/>
      <c r="Y393" s="1184"/>
      <c r="Z393" s="1184"/>
      <c r="AA393" s="1184"/>
      <c r="AB393" s="1184"/>
      <c r="AC393" s="1184"/>
      <c r="AD393" s="1184"/>
      <c r="AE393" s="1184"/>
      <c r="AF393" s="1184"/>
      <c r="AG393" s="1184"/>
      <c r="AH393" s="1184"/>
      <c r="AI393" s="1184"/>
      <c r="AJ393" s="1184"/>
      <c r="AK393" s="1184"/>
      <c r="AL393" s="1184"/>
      <c r="AM393" s="1184"/>
      <c r="AN393" s="1184"/>
      <c r="AO393" s="1184"/>
      <c r="AP393" s="1184"/>
      <c r="AQ393" s="1184"/>
    </row>
    <row r="394" spans="1:43" s="1771" customFormat="1" ht="17.25" hidden="1" customHeight="1">
      <c r="A394" s="240"/>
      <c r="C394" s="239"/>
      <c r="D394" s="8768"/>
      <c r="E394" s="8770"/>
      <c r="F394" s="8772"/>
      <c r="G394" s="8770"/>
      <c r="H394" s="8775"/>
      <c r="I394" s="8777"/>
      <c r="J394" s="8780"/>
      <c r="K394" s="8762"/>
      <c r="L394" s="8762"/>
      <c r="M394" s="8762"/>
      <c r="N394" s="8765"/>
      <c r="O394" s="8762"/>
      <c r="P394" s="1387"/>
      <c r="Q394" s="1221"/>
      <c r="R394" s="1221"/>
      <c r="S394" s="251"/>
      <c r="T394" s="251"/>
      <c r="U394" s="251"/>
      <c r="V394" s="251"/>
      <c r="W394" s="1222"/>
      <c r="X394" s="1184"/>
      <c r="Y394" s="1184"/>
      <c r="Z394" s="1184"/>
      <c r="AA394" s="1184"/>
      <c r="AB394" s="1184"/>
      <c r="AC394" s="1184"/>
      <c r="AD394" s="1184"/>
      <c r="AE394" s="1184"/>
      <c r="AF394" s="1184"/>
      <c r="AG394" s="1184"/>
      <c r="AH394" s="1184"/>
      <c r="AI394" s="1184"/>
      <c r="AJ394" s="1184"/>
      <c r="AK394" s="1184"/>
      <c r="AL394" s="1184"/>
      <c r="AM394" s="1184"/>
      <c r="AN394" s="1184"/>
      <c r="AO394" s="1184"/>
      <c r="AP394" s="1184"/>
      <c r="AQ394" s="1184"/>
    </row>
    <row r="395" spans="1:43" s="1771" customFormat="1" ht="17.25" hidden="1" customHeight="1">
      <c r="A395" s="240"/>
      <c r="C395" s="239"/>
      <c r="D395" s="8768"/>
      <c r="E395" s="8770"/>
      <c r="F395" s="8772"/>
      <c r="G395" s="8770"/>
      <c r="H395" s="8775"/>
      <c r="I395" s="8777"/>
      <c r="J395" s="8780"/>
      <c r="K395" s="8762"/>
      <c r="L395" s="1221"/>
      <c r="M395" s="1221"/>
      <c r="N395" s="1221"/>
      <c r="O395" s="1221"/>
      <c r="P395" s="1221"/>
      <c r="Q395" s="1221"/>
      <c r="R395" s="1221"/>
      <c r="S395" s="251"/>
      <c r="T395" s="251"/>
      <c r="U395" s="251"/>
      <c r="V395" s="251"/>
      <c r="W395" s="1222"/>
      <c r="X395" s="1184"/>
      <c r="Y395" s="1184"/>
      <c r="Z395" s="1184"/>
      <c r="AA395" s="1184"/>
      <c r="AB395" s="1184"/>
      <c r="AC395" s="1184"/>
      <c r="AD395" s="1184"/>
      <c r="AE395" s="1184"/>
      <c r="AF395" s="1184"/>
      <c r="AG395" s="1184"/>
      <c r="AH395" s="1184"/>
      <c r="AI395" s="1184"/>
      <c r="AJ395" s="1184"/>
      <c r="AK395" s="1184"/>
      <c r="AL395" s="1184"/>
      <c r="AM395" s="1184"/>
      <c r="AN395" s="1184"/>
      <c r="AO395" s="1184"/>
      <c r="AP395" s="1184"/>
      <c r="AQ395" s="1184"/>
    </row>
    <row r="396" spans="1:43" s="1771" customFormat="1" ht="17.25" hidden="1" customHeight="1">
      <c r="A396" s="240"/>
      <c r="C396" s="239"/>
      <c r="D396" s="8768"/>
      <c r="E396" s="8770"/>
      <c r="F396" s="8773"/>
      <c r="G396" s="8770"/>
      <c r="H396" s="1223"/>
      <c r="I396" s="1224"/>
      <c r="J396" s="1224"/>
      <c r="K396" s="1224"/>
      <c r="L396" s="1224"/>
      <c r="M396" s="1224"/>
      <c r="N396" s="1224"/>
      <c r="O396" s="1224"/>
      <c r="P396" s="1224"/>
      <c r="Q396" s="1224"/>
      <c r="R396" s="1224"/>
      <c r="S396" s="1225"/>
      <c r="T396" s="1225"/>
      <c r="U396" s="1225"/>
      <c r="V396" s="1225"/>
      <c r="W396" s="1226"/>
      <c r="X396" s="1184"/>
      <c r="Y396" s="1184"/>
      <c r="Z396" s="1184"/>
      <c r="AA396" s="1184"/>
      <c r="AB396" s="1184"/>
      <c r="AC396" s="1184"/>
      <c r="AD396" s="1184"/>
      <c r="AE396" s="1184"/>
      <c r="AF396" s="1184"/>
      <c r="AG396" s="1184"/>
      <c r="AH396" s="1184"/>
      <c r="AI396" s="1184"/>
      <c r="AJ396" s="1184"/>
      <c r="AK396" s="1184"/>
      <c r="AL396" s="1184"/>
      <c r="AM396" s="1184"/>
      <c r="AN396" s="1184"/>
      <c r="AO396" s="1184"/>
      <c r="AP396" s="1184"/>
      <c r="AQ396" s="1184"/>
    </row>
    <row r="400" spans="1:43" ht="11.25" customHeight="1">
      <c r="E400" s="1272"/>
    </row>
    <row r="401" spans="5:5" ht="11.25" customHeight="1">
      <c r="E401" s="1272"/>
    </row>
    <row r="402" spans="5:5" ht="11.25" customHeight="1">
      <c r="E402" s="1272"/>
    </row>
    <row r="403" spans="5:5" ht="11.25" customHeight="1">
      <c r="E403" s="1272"/>
    </row>
    <row r="404" spans="5:5" ht="11.25" customHeight="1">
      <c r="E404" s="1272"/>
    </row>
    <row r="405" spans="5:5" ht="11.25" customHeight="1">
      <c r="E405" s="1272"/>
    </row>
    <row r="406" spans="5:5" ht="11.25" customHeight="1">
      <c r="E406" s="1272"/>
    </row>
  </sheetData>
  <sheetProtection formatColumns="0" formatRows="0" insertRows="0" deleteColumns="0" deleteRows="0" sort="0" autoFilter="0"/>
  <mergeCells count="1229">
    <mergeCell ref="W351:W352"/>
    <mergeCell ref="H351:H354"/>
    <mergeCell ref="I351:I354"/>
    <mergeCell ref="K351:K354"/>
    <mergeCell ref="L351:L353"/>
    <mergeCell ref="M351:M353"/>
    <mergeCell ref="N351:N353"/>
    <mergeCell ref="O351:O353"/>
    <mergeCell ref="P351:P352"/>
    <mergeCell ref="Q351:Q352"/>
    <mergeCell ref="R351:R352"/>
    <mergeCell ref="S351:S352"/>
    <mergeCell ref="J351:J354"/>
    <mergeCell ref="W355:W356"/>
    <mergeCell ref="H355:H358"/>
    <mergeCell ref="I355:I358"/>
    <mergeCell ref="K355:K358"/>
    <mergeCell ref="L355:L357"/>
    <mergeCell ref="M355:M357"/>
    <mergeCell ref="N355:N357"/>
    <mergeCell ref="O355:O357"/>
    <mergeCell ref="P355:P356"/>
    <mergeCell ref="Q355:Q356"/>
    <mergeCell ref="R355:R356"/>
    <mergeCell ref="S355:S356"/>
    <mergeCell ref="J355:J358"/>
    <mergeCell ref="W343:W344"/>
    <mergeCell ref="H343:H346"/>
    <mergeCell ref="I343:I346"/>
    <mergeCell ref="K343:K346"/>
    <mergeCell ref="L343:L345"/>
    <mergeCell ref="M343:M345"/>
    <mergeCell ref="N343:N345"/>
    <mergeCell ref="O343:O345"/>
    <mergeCell ref="P343:P344"/>
    <mergeCell ref="Q343:Q344"/>
    <mergeCell ref="R343:R344"/>
    <mergeCell ref="S343:S344"/>
    <mergeCell ref="J343:J346"/>
    <mergeCell ref="W347:W348"/>
    <mergeCell ref="H347:H350"/>
    <mergeCell ref="I347:I350"/>
    <mergeCell ref="K347:K350"/>
    <mergeCell ref="L347:L349"/>
    <mergeCell ref="M347:M349"/>
    <mergeCell ref="N347:N349"/>
    <mergeCell ref="O347:O349"/>
    <mergeCell ref="P347:P348"/>
    <mergeCell ref="Q347:Q348"/>
    <mergeCell ref="R347:R348"/>
    <mergeCell ref="S347:S348"/>
    <mergeCell ref="J347:J350"/>
    <mergeCell ref="W335:W336"/>
    <mergeCell ref="H335:H338"/>
    <mergeCell ref="I335:I338"/>
    <mergeCell ref="K335:K338"/>
    <mergeCell ref="L335:L337"/>
    <mergeCell ref="M335:M337"/>
    <mergeCell ref="N335:N337"/>
    <mergeCell ref="O335:O337"/>
    <mergeCell ref="P335:P336"/>
    <mergeCell ref="Q335:Q336"/>
    <mergeCell ref="R335:R336"/>
    <mergeCell ref="S335:S336"/>
    <mergeCell ref="J335:J338"/>
    <mergeCell ref="W339:W340"/>
    <mergeCell ref="H339:H342"/>
    <mergeCell ref="I339:I342"/>
    <mergeCell ref="K339:K342"/>
    <mergeCell ref="L339:L341"/>
    <mergeCell ref="M339:M341"/>
    <mergeCell ref="N339:N341"/>
    <mergeCell ref="O339:O341"/>
    <mergeCell ref="P339:P340"/>
    <mergeCell ref="Q339:Q340"/>
    <mergeCell ref="R339:R340"/>
    <mergeCell ref="S339:S340"/>
    <mergeCell ref="J339:J342"/>
    <mergeCell ref="W327:W328"/>
    <mergeCell ref="H327:H330"/>
    <mergeCell ref="I327:I330"/>
    <mergeCell ref="K327:K330"/>
    <mergeCell ref="L327:L329"/>
    <mergeCell ref="M327:M329"/>
    <mergeCell ref="N327:N329"/>
    <mergeCell ref="O327:O329"/>
    <mergeCell ref="P327:P328"/>
    <mergeCell ref="Q327:Q328"/>
    <mergeCell ref="R327:R328"/>
    <mergeCell ref="S327:S328"/>
    <mergeCell ref="J327:J330"/>
    <mergeCell ref="W331:W332"/>
    <mergeCell ref="H331:H334"/>
    <mergeCell ref="I331:I334"/>
    <mergeCell ref="K331:K334"/>
    <mergeCell ref="L331:L333"/>
    <mergeCell ref="M331:M333"/>
    <mergeCell ref="N331:N333"/>
    <mergeCell ref="O331:O333"/>
    <mergeCell ref="P331:P332"/>
    <mergeCell ref="Q331:Q332"/>
    <mergeCell ref="R331:R332"/>
    <mergeCell ref="S331:S332"/>
    <mergeCell ref="J331:J334"/>
    <mergeCell ref="W319:W320"/>
    <mergeCell ref="H319:H322"/>
    <mergeCell ref="I319:I322"/>
    <mergeCell ref="K319:K322"/>
    <mergeCell ref="L319:L321"/>
    <mergeCell ref="M319:M321"/>
    <mergeCell ref="N319:N321"/>
    <mergeCell ref="O319:O321"/>
    <mergeCell ref="P319:P320"/>
    <mergeCell ref="Q319:Q320"/>
    <mergeCell ref="R319:R320"/>
    <mergeCell ref="S319:S320"/>
    <mergeCell ref="J319:J322"/>
    <mergeCell ref="W323:W324"/>
    <mergeCell ref="H323:H326"/>
    <mergeCell ref="I323:I326"/>
    <mergeCell ref="K323:K326"/>
    <mergeCell ref="L323:L325"/>
    <mergeCell ref="M323:M325"/>
    <mergeCell ref="N323:N325"/>
    <mergeCell ref="O323:O325"/>
    <mergeCell ref="P323:P324"/>
    <mergeCell ref="Q323:Q324"/>
    <mergeCell ref="R323:R324"/>
    <mergeCell ref="S323:S324"/>
    <mergeCell ref="J323:J326"/>
    <mergeCell ref="W311:W312"/>
    <mergeCell ref="H311:H314"/>
    <mergeCell ref="I311:I314"/>
    <mergeCell ref="K311:K314"/>
    <mergeCell ref="L311:L313"/>
    <mergeCell ref="M311:M313"/>
    <mergeCell ref="N311:N313"/>
    <mergeCell ref="O311:O313"/>
    <mergeCell ref="P311:P312"/>
    <mergeCell ref="Q311:Q312"/>
    <mergeCell ref="R311:R312"/>
    <mergeCell ref="S311:S312"/>
    <mergeCell ref="J311:J314"/>
    <mergeCell ref="W315:W316"/>
    <mergeCell ref="H315:H318"/>
    <mergeCell ref="I315:I318"/>
    <mergeCell ref="K315:K318"/>
    <mergeCell ref="L315:L317"/>
    <mergeCell ref="M315:M317"/>
    <mergeCell ref="N315:N317"/>
    <mergeCell ref="O315:O317"/>
    <mergeCell ref="P315:P316"/>
    <mergeCell ref="Q315:Q316"/>
    <mergeCell ref="R315:R316"/>
    <mergeCell ref="S315:S316"/>
    <mergeCell ref="J315:J318"/>
    <mergeCell ref="W303:W304"/>
    <mergeCell ref="H303:H306"/>
    <mergeCell ref="I303:I306"/>
    <mergeCell ref="K303:K306"/>
    <mergeCell ref="L303:L305"/>
    <mergeCell ref="M303:M305"/>
    <mergeCell ref="N303:N305"/>
    <mergeCell ref="O303:O305"/>
    <mergeCell ref="P303:P304"/>
    <mergeCell ref="Q303:Q304"/>
    <mergeCell ref="R303:R304"/>
    <mergeCell ref="S303:S304"/>
    <mergeCell ref="J303:J306"/>
    <mergeCell ref="W307:W308"/>
    <mergeCell ref="H307:H310"/>
    <mergeCell ref="I307:I310"/>
    <mergeCell ref="K307:K310"/>
    <mergeCell ref="L307:L309"/>
    <mergeCell ref="M307:M309"/>
    <mergeCell ref="N307:N309"/>
    <mergeCell ref="O307:O309"/>
    <mergeCell ref="P307:P308"/>
    <mergeCell ref="Q307:Q308"/>
    <mergeCell ref="R307:R308"/>
    <mergeCell ref="S307:S308"/>
    <mergeCell ref="J307:J310"/>
    <mergeCell ref="W295:W296"/>
    <mergeCell ref="H295:H298"/>
    <mergeCell ref="I295:I298"/>
    <mergeCell ref="K295:K298"/>
    <mergeCell ref="L295:L297"/>
    <mergeCell ref="M295:M297"/>
    <mergeCell ref="N295:N297"/>
    <mergeCell ref="O295:O297"/>
    <mergeCell ref="P295:P296"/>
    <mergeCell ref="Q295:Q296"/>
    <mergeCell ref="R295:R296"/>
    <mergeCell ref="S295:S296"/>
    <mergeCell ref="J295:J298"/>
    <mergeCell ref="W299:W300"/>
    <mergeCell ref="H299:H302"/>
    <mergeCell ref="I299:I302"/>
    <mergeCell ref="K299:K302"/>
    <mergeCell ref="L299:L301"/>
    <mergeCell ref="M299:M301"/>
    <mergeCell ref="N299:N301"/>
    <mergeCell ref="O299:O301"/>
    <mergeCell ref="P299:P300"/>
    <mergeCell ref="Q299:Q300"/>
    <mergeCell ref="R299:R300"/>
    <mergeCell ref="S299:S300"/>
    <mergeCell ref="J299:J302"/>
    <mergeCell ref="W287:W288"/>
    <mergeCell ref="H287:H290"/>
    <mergeCell ref="I287:I290"/>
    <mergeCell ref="K287:K290"/>
    <mergeCell ref="L287:L289"/>
    <mergeCell ref="M287:M289"/>
    <mergeCell ref="N287:N289"/>
    <mergeCell ref="O287:O289"/>
    <mergeCell ref="P287:P288"/>
    <mergeCell ref="Q287:Q288"/>
    <mergeCell ref="R287:R288"/>
    <mergeCell ref="S287:S288"/>
    <mergeCell ref="J287:J290"/>
    <mergeCell ref="W291:W292"/>
    <mergeCell ref="H291:H294"/>
    <mergeCell ref="I291:I294"/>
    <mergeCell ref="K291:K294"/>
    <mergeCell ref="L291:L293"/>
    <mergeCell ref="M291:M293"/>
    <mergeCell ref="N291:N293"/>
    <mergeCell ref="O291:O293"/>
    <mergeCell ref="P291:P292"/>
    <mergeCell ref="Q291:Q292"/>
    <mergeCell ref="R291:R292"/>
    <mergeCell ref="S291:S292"/>
    <mergeCell ref="J291:J294"/>
    <mergeCell ref="W279:W280"/>
    <mergeCell ref="H279:H282"/>
    <mergeCell ref="I279:I282"/>
    <mergeCell ref="K279:K282"/>
    <mergeCell ref="L279:L281"/>
    <mergeCell ref="M279:M281"/>
    <mergeCell ref="N279:N281"/>
    <mergeCell ref="O279:O281"/>
    <mergeCell ref="P279:P280"/>
    <mergeCell ref="Q279:Q280"/>
    <mergeCell ref="R279:R280"/>
    <mergeCell ref="S279:S280"/>
    <mergeCell ref="J279:J282"/>
    <mergeCell ref="W283:W284"/>
    <mergeCell ref="H283:H286"/>
    <mergeCell ref="I283:I286"/>
    <mergeCell ref="K283:K286"/>
    <mergeCell ref="L283:L285"/>
    <mergeCell ref="M283:M285"/>
    <mergeCell ref="N283:N285"/>
    <mergeCell ref="O283:O285"/>
    <mergeCell ref="P283:P284"/>
    <mergeCell ref="Q283:Q284"/>
    <mergeCell ref="R283:R284"/>
    <mergeCell ref="S283:S284"/>
    <mergeCell ref="J283:J286"/>
    <mergeCell ref="W271:W272"/>
    <mergeCell ref="H271:H274"/>
    <mergeCell ref="I271:I274"/>
    <mergeCell ref="K271:K274"/>
    <mergeCell ref="L271:L273"/>
    <mergeCell ref="M271:M273"/>
    <mergeCell ref="N271:N273"/>
    <mergeCell ref="O271:O273"/>
    <mergeCell ref="P271:P272"/>
    <mergeCell ref="Q271:Q272"/>
    <mergeCell ref="R271:R272"/>
    <mergeCell ref="S271:S272"/>
    <mergeCell ref="J271:J274"/>
    <mergeCell ref="W275:W276"/>
    <mergeCell ref="H275:H278"/>
    <mergeCell ref="I275:I278"/>
    <mergeCell ref="K275:K278"/>
    <mergeCell ref="L275:L277"/>
    <mergeCell ref="M275:M277"/>
    <mergeCell ref="N275:N277"/>
    <mergeCell ref="O275:O277"/>
    <mergeCell ref="P275:P276"/>
    <mergeCell ref="Q275:Q276"/>
    <mergeCell ref="R275:R276"/>
    <mergeCell ref="S275:S276"/>
    <mergeCell ref="J275:J278"/>
    <mergeCell ref="W263:W264"/>
    <mergeCell ref="H263:H266"/>
    <mergeCell ref="I263:I266"/>
    <mergeCell ref="K263:K266"/>
    <mergeCell ref="L263:L265"/>
    <mergeCell ref="M263:M265"/>
    <mergeCell ref="N263:N265"/>
    <mergeCell ref="O263:O265"/>
    <mergeCell ref="P263:P264"/>
    <mergeCell ref="Q263:Q264"/>
    <mergeCell ref="R263:R264"/>
    <mergeCell ref="S263:S264"/>
    <mergeCell ref="J263:J266"/>
    <mergeCell ref="W267:W268"/>
    <mergeCell ref="H267:H270"/>
    <mergeCell ref="I267:I270"/>
    <mergeCell ref="K267:K270"/>
    <mergeCell ref="L267:L269"/>
    <mergeCell ref="M267:M269"/>
    <mergeCell ref="N267:N269"/>
    <mergeCell ref="O267:O269"/>
    <mergeCell ref="P267:P268"/>
    <mergeCell ref="Q267:Q268"/>
    <mergeCell ref="R267:R268"/>
    <mergeCell ref="S267:S268"/>
    <mergeCell ref="J267:J270"/>
    <mergeCell ref="W255:W256"/>
    <mergeCell ref="H255:H258"/>
    <mergeCell ref="I255:I258"/>
    <mergeCell ref="K255:K258"/>
    <mergeCell ref="L255:L257"/>
    <mergeCell ref="M255:M257"/>
    <mergeCell ref="N255:N257"/>
    <mergeCell ref="O255:O257"/>
    <mergeCell ref="P255:P256"/>
    <mergeCell ref="Q255:Q256"/>
    <mergeCell ref="R255:R256"/>
    <mergeCell ref="S255:S256"/>
    <mergeCell ref="J255:J258"/>
    <mergeCell ref="W259:W260"/>
    <mergeCell ref="H259:H262"/>
    <mergeCell ref="I259:I262"/>
    <mergeCell ref="K259:K262"/>
    <mergeCell ref="L259:L261"/>
    <mergeCell ref="M259:M261"/>
    <mergeCell ref="N259:N261"/>
    <mergeCell ref="O259:O261"/>
    <mergeCell ref="P259:P260"/>
    <mergeCell ref="Q259:Q260"/>
    <mergeCell ref="R259:R260"/>
    <mergeCell ref="S259:S260"/>
    <mergeCell ref="J259:J262"/>
    <mergeCell ref="W247:W248"/>
    <mergeCell ref="H247:H250"/>
    <mergeCell ref="I247:I250"/>
    <mergeCell ref="K247:K250"/>
    <mergeCell ref="L247:L249"/>
    <mergeCell ref="M247:M249"/>
    <mergeCell ref="N247:N249"/>
    <mergeCell ref="O247:O249"/>
    <mergeCell ref="P247:P248"/>
    <mergeCell ref="Q247:Q248"/>
    <mergeCell ref="R247:R248"/>
    <mergeCell ref="S247:S248"/>
    <mergeCell ref="J247:J250"/>
    <mergeCell ref="W251:W252"/>
    <mergeCell ref="H251:H254"/>
    <mergeCell ref="I251:I254"/>
    <mergeCell ref="K251:K254"/>
    <mergeCell ref="L251:L253"/>
    <mergeCell ref="M251:M253"/>
    <mergeCell ref="N251:N253"/>
    <mergeCell ref="O251:O253"/>
    <mergeCell ref="P251:P252"/>
    <mergeCell ref="Q251:Q252"/>
    <mergeCell ref="R251:R252"/>
    <mergeCell ref="S251:S252"/>
    <mergeCell ref="J251:J254"/>
    <mergeCell ref="W239:W240"/>
    <mergeCell ref="H239:H242"/>
    <mergeCell ref="I239:I242"/>
    <mergeCell ref="K239:K242"/>
    <mergeCell ref="L239:L241"/>
    <mergeCell ref="M239:M241"/>
    <mergeCell ref="N239:N241"/>
    <mergeCell ref="O239:O241"/>
    <mergeCell ref="P239:P240"/>
    <mergeCell ref="Q239:Q240"/>
    <mergeCell ref="R239:R240"/>
    <mergeCell ref="S239:S240"/>
    <mergeCell ref="J239:J242"/>
    <mergeCell ref="W243:W244"/>
    <mergeCell ref="H243:H246"/>
    <mergeCell ref="I243:I246"/>
    <mergeCell ref="K243:K246"/>
    <mergeCell ref="L243:L245"/>
    <mergeCell ref="M243:M245"/>
    <mergeCell ref="N243:N245"/>
    <mergeCell ref="O243:O245"/>
    <mergeCell ref="P243:P244"/>
    <mergeCell ref="Q243:Q244"/>
    <mergeCell ref="R243:R244"/>
    <mergeCell ref="S243:S244"/>
    <mergeCell ref="J243:J246"/>
    <mergeCell ref="W231:W232"/>
    <mergeCell ref="H231:H234"/>
    <mergeCell ref="I231:I234"/>
    <mergeCell ref="K231:K234"/>
    <mergeCell ref="L231:L233"/>
    <mergeCell ref="M231:M233"/>
    <mergeCell ref="N231:N233"/>
    <mergeCell ref="O231:O233"/>
    <mergeCell ref="P231:P232"/>
    <mergeCell ref="Q231:Q232"/>
    <mergeCell ref="R231:R232"/>
    <mergeCell ref="S231:S232"/>
    <mergeCell ref="J231:J234"/>
    <mergeCell ref="W235:W236"/>
    <mergeCell ref="H235:H238"/>
    <mergeCell ref="I235:I238"/>
    <mergeCell ref="K235:K238"/>
    <mergeCell ref="L235:L237"/>
    <mergeCell ref="M235:M237"/>
    <mergeCell ref="N235:N237"/>
    <mergeCell ref="O235:O237"/>
    <mergeCell ref="P235:P236"/>
    <mergeCell ref="Q235:Q236"/>
    <mergeCell ref="R235:R236"/>
    <mergeCell ref="S235:S236"/>
    <mergeCell ref="J235:J238"/>
    <mergeCell ref="W223:W224"/>
    <mergeCell ref="H223:H226"/>
    <mergeCell ref="I223:I226"/>
    <mergeCell ref="K223:K226"/>
    <mergeCell ref="L223:L225"/>
    <mergeCell ref="M223:M225"/>
    <mergeCell ref="N223:N225"/>
    <mergeCell ref="O223:O225"/>
    <mergeCell ref="P223:P224"/>
    <mergeCell ref="Q223:Q224"/>
    <mergeCell ref="R223:R224"/>
    <mergeCell ref="S223:S224"/>
    <mergeCell ref="J223:J226"/>
    <mergeCell ref="W227:W228"/>
    <mergeCell ref="H227:H230"/>
    <mergeCell ref="I227:I230"/>
    <mergeCell ref="K227:K230"/>
    <mergeCell ref="L227:L229"/>
    <mergeCell ref="M227:M229"/>
    <mergeCell ref="N227:N229"/>
    <mergeCell ref="O227:O229"/>
    <mergeCell ref="P227:P228"/>
    <mergeCell ref="Q227:Q228"/>
    <mergeCell ref="R227:R228"/>
    <mergeCell ref="S227:S228"/>
    <mergeCell ref="J227:J230"/>
    <mergeCell ref="W215:W216"/>
    <mergeCell ref="H215:H218"/>
    <mergeCell ref="I215:I218"/>
    <mergeCell ref="K215:K218"/>
    <mergeCell ref="L215:L217"/>
    <mergeCell ref="M215:M217"/>
    <mergeCell ref="N215:N217"/>
    <mergeCell ref="O215:O217"/>
    <mergeCell ref="P215:P216"/>
    <mergeCell ref="Q215:Q216"/>
    <mergeCell ref="R215:R216"/>
    <mergeCell ref="S215:S216"/>
    <mergeCell ref="J215:J218"/>
    <mergeCell ref="W219:W220"/>
    <mergeCell ref="H219:H222"/>
    <mergeCell ref="I219:I222"/>
    <mergeCell ref="K219:K222"/>
    <mergeCell ref="L219:L221"/>
    <mergeCell ref="M219:M221"/>
    <mergeCell ref="N219:N221"/>
    <mergeCell ref="O219:O221"/>
    <mergeCell ref="P219:P220"/>
    <mergeCell ref="Q219:Q220"/>
    <mergeCell ref="R219:R220"/>
    <mergeCell ref="S219:S220"/>
    <mergeCell ref="J219:J222"/>
    <mergeCell ref="W207:W208"/>
    <mergeCell ref="H207:H210"/>
    <mergeCell ref="I207:I210"/>
    <mergeCell ref="K207:K210"/>
    <mergeCell ref="L207:L209"/>
    <mergeCell ref="M207:M209"/>
    <mergeCell ref="N207:N209"/>
    <mergeCell ref="O207:O209"/>
    <mergeCell ref="P207:P208"/>
    <mergeCell ref="Q207:Q208"/>
    <mergeCell ref="R207:R208"/>
    <mergeCell ref="S207:S208"/>
    <mergeCell ref="J207:J210"/>
    <mergeCell ref="W211:W212"/>
    <mergeCell ref="H211:H214"/>
    <mergeCell ref="I211:I214"/>
    <mergeCell ref="K211:K214"/>
    <mergeCell ref="L211:L213"/>
    <mergeCell ref="M211:M213"/>
    <mergeCell ref="N211:N213"/>
    <mergeCell ref="O211:O213"/>
    <mergeCell ref="P211:P212"/>
    <mergeCell ref="Q211:Q212"/>
    <mergeCell ref="R211:R212"/>
    <mergeCell ref="S211:S212"/>
    <mergeCell ref="J211:J214"/>
    <mergeCell ref="W199:W200"/>
    <mergeCell ref="H199:H202"/>
    <mergeCell ref="I199:I202"/>
    <mergeCell ref="K199:K202"/>
    <mergeCell ref="L199:L201"/>
    <mergeCell ref="M199:M201"/>
    <mergeCell ref="N199:N201"/>
    <mergeCell ref="O199:O201"/>
    <mergeCell ref="P199:P200"/>
    <mergeCell ref="Q199:Q200"/>
    <mergeCell ref="R199:R200"/>
    <mergeCell ref="S199:S200"/>
    <mergeCell ref="J199:J202"/>
    <mergeCell ref="W203:W204"/>
    <mergeCell ref="H203:H206"/>
    <mergeCell ref="I203:I206"/>
    <mergeCell ref="K203:K206"/>
    <mergeCell ref="L203:L205"/>
    <mergeCell ref="M203:M205"/>
    <mergeCell ref="N203:N205"/>
    <mergeCell ref="O203:O205"/>
    <mergeCell ref="P203:P204"/>
    <mergeCell ref="Q203:Q204"/>
    <mergeCell ref="R203:R204"/>
    <mergeCell ref="S203:S204"/>
    <mergeCell ref="J203:J206"/>
    <mergeCell ref="W191:W192"/>
    <mergeCell ref="H191:H194"/>
    <mergeCell ref="I191:I194"/>
    <mergeCell ref="K191:K194"/>
    <mergeCell ref="L191:L193"/>
    <mergeCell ref="M191:M193"/>
    <mergeCell ref="N191:N193"/>
    <mergeCell ref="O191:O193"/>
    <mergeCell ref="P191:P192"/>
    <mergeCell ref="Q191:Q192"/>
    <mergeCell ref="R191:R192"/>
    <mergeCell ref="S191:S192"/>
    <mergeCell ref="J191:J194"/>
    <mergeCell ref="W195:W196"/>
    <mergeCell ref="H195:H198"/>
    <mergeCell ref="I195:I198"/>
    <mergeCell ref="K195:K198"/>
    <mergeCell ref="L195:L197"/>
    <mergeCell ref="M195:M197"/>
    <mergeCell ref="N195:N197"/>
    <mergeCell ref="O195:O197"/>
    <mergeCell ref="P195:P196"/>
    <mergeCell ref="Q195:Q196"/>
    <mergeCell ref="R195:R196"/>
    <mergeCell ref="S195:S196"/>
    <mergeCell ref="J195:J198"/>
    <mergeCell ref="W183:W184"/>
    <mergeCell ref="H183:H186"/>
    <mergeCell ref="I183:I186"/>
    <mergeCell ref="K183:K186"/>
    <mergeCell ref="L183:L185"/>
    <mergeCell ref="M183:M185"/>
    <mergeCell ref="N183:N185"/>
    <mergeCell ref="O183:O185"/>
    <mergeCell ref="P183:P184"/>
    <mergeCell ref="Q183:Q184"/>
    <mergeCell ref="R183:R184"/>
    <mergeCell ref="S183:S184"/>
    <mergeCell ref="J183:J186"/>
    <mergeCell ref="W187:W188"/>
    <mergeCell ref="H187:H190"/>
    <mergeCell ref="I187:I190"/>
    <mergeCell ref="K187:K190"/>
    <mergeCell ref="L187:L189"/>
    <mergeCell ref="M187:M189"/>
    <mergeCell ref="N187:N189"/>
    <mergeCell ref="O187:O189"/>
    <mergeCell ref="P187:P188"/>
    <mergeCell ref="Q187:Q188"/>
    <mergeCell ref="R187:R188"/>
    <mergeCell ref="S187:S188"/>
    <mergeCell ref="J187:J190"/>
    <mergeCell ref="W175:W176"/>
    <mergeCell ref="H175:H178"/>
    <mergeCell ref="I175:I178"/>
    <mergeCell ref="K175:K178"/>
    <mergeCell ref="L175:L177"/>
    <mergeCell ref="M175:M177"/>
    <mergeCell ref="N175:N177"/>
    <mergeCell ref="O175:O177"/>
    <mergeCell ref="P175:P176"/>
    <mergeCell ref="Q175:Q176"/>
    <mergeCell ref="R175:R176"/>
    <mergeCell ref="S175:S176"/>
    <mergeCell ref="J175:J178"/>
    <mergeCell ref="W179:W180"/>
    <mergeCell ref="H179:H182"/>
    <mergeCell ref="I179:I182"/>
    <mergeCell ref="K179:K182"/>
    <mergeCell ref="L179:L181"/>
    <mergeCell ref="M179:M181"/>
    <mergeCell ref="N179:N181"/>
    <mergeCell ref="O179:O181"/>
    <mergeCell ref="P179:P180"/>
    <mergeCell ref="Q179:Q180"/>
    <mergeCell ref="R179:R180"/>
    <mergeCell ref="S179:S180"/>
    <mergeCell ref="J179:J182"/>
    <mergeCell ref="W167:W168"/>
    <mergeCell ref="H167:H170"/>
    <mergeCell ref="I167:I170"/>
    <mergeCell ref="K167:K170"/>
    <mergeCell ref="L167:L169"/>
    <mergeCell ref="M167:M169"/>
    <mergeCell ref="N167:N169"/>
    <mergeCell ref="O167:O169"/>
    <mergeCell ref="P167:P168"/>
    <mergeCell ref="Q167:Q168"/>
    <mergeCell ref="R167:R168"/>
    <mergeCell ref="S167:S168"/>
    <mergeCell ref="J167:J170"/>
    <mergeCell ref="W171:W172"/>
    <mergeCell ref="H171:H174"/>
    <mergeCell ref="I171:I174"/>
    <mergeCell ref="K171:K174"/>
    <mergeCell ref="L171:L173"/>
    <mergeCell ref="M171:M173"/>
    <mergeCell ref="N171:N173"/>
    <mergeCell ref="O171:O173"/>
    <mergeCell ref="P171:P172"/>
    <mergeCell ref="Q171:Q172"/>
    <mergeCell ref="R171:R172"/>
    <mergeCell ref="S171:S172"/>
    <mergeCell ref="J171:J174"/>
    <mergeCell ref="W159:W160"/>
    <mergeCell ref="H159:H162"/>
    <mergeCell ref="I159:I162"/>
    <mergeCell ref="K159:K162"/>
    <mergeCell ref="L159:L161"/>
    <mergeCell ref="M159:M161"/>
    <mergeCell ref="N159:N161"/>
    <mergeCell ref="O159:O161"/>
    <mergeCell ref="P159:P160"/>
    <mergeCell ref="Q159:Q160"/>
    <mergeCell ref="R159:R160"/>
    <mergeCell ref="S159:S160"/>
    <mergeCell ref="J159:J162"/>
    <mergeCell ref="W163:W164"/>
    <mergeCell ref="H163:H166"/>
    <mergeCell ref="I163:I166"/>
    <mergeCell ref="K163:K166"/>
    <mergeCell ref="L163:L165"/>
    <mergeCell ref="M163:M165"/>
    <mergeCell ref="N163:N165"/>
    <mergeCell ref="O163:O165"/>
    <mergeCell ref="P163:P164"/>
    <mergeCell ref="Q163:Q164"/>
    <mergeCell ref="R163:R164"/>
    <mergeCell ref="S163:S164"/>
    <mergeCell ref="J163:J166"/>
    <mergeCell ref="W151:W152"/>
    <mergeCell ref="H151:H154"/>
    <mergeCell ref="I151:I154"/>
    <mergeCell ref="K151:K154"/>
    <mergeCell ref="L151:L153"/>
    <mergeCell ref="M151:M153"/>
    <mergeCell ref="N151:N153"/>
    <mergeCell ref="O151:O153"/>
    <mergeCell ref="P151:P152"/>
    <mergeCell ref="Q151:Q152"/>
    <mergeCell ref="R151:R152"/>
    <mergeCell ref="S151:S152"/>
    <mergeCell ref="J151:J154"/>
    <mergeCell ref="W155:W156"/>
    <mergeCell ref="H155:H158"/>
    <mergeCell ref="I155:I158"/>
    <mergeCell ref="K155:K158"/>
    <mergeCell ref="L155:L157"/>
    <mergeCell ref="M155:M157"/>
    <mergeCell ref="N155:N157"/>
    <mergeCell ref="O155:O157"/>
    <mergeCell ref="P155:P156"/>
    <mergeCell ref="Q155:Q156"/>
    <mergeCell ref="R155:R156"/>
    <mergeCell ref="S155:S156"/>
    <mergeCell ref="J155:J158"/>
    <mergeCell ref="W143:W144"/>
    <mergeCell ref="H143:H146"/>
    <mergeCell ref="I143:I146"/>
    <mergeCell ref="K143:K146"/>
    <mergeCell ref="L143:L145"/>
    <mergeCell ref="M143:M145"/>
    <mergeCell ref="N143:N145"/>
    <mergeCell ref="O143:O145"/>
    <mergeCell ref="P143:P144"/>
    <mergeCell ref="Q143:Q144"/>
    <mergeCell ref="R143:R144"/>
    <mergeCell ref="S143:S144"/>
    <mergeCell ref="J143:J146"/>
    <mergeCell ref="W147:W148"/>
    <mergeCell ref="H147:H150"/>
    <mergeCell ref="I147:I150"/>
    <mergeCell ref="K147:K150"/>
    <mergeCell ref="L147:L149"/>
    <mergeCell ref="M147:M149"/>
    <mergeCell ref="N147:N149"/>
    <mergeCell ref="O147:O149"/>
    <mergeCell ref="P147:P148"/>
    <mergeCell ref="Q147:Q148"/>
    <mergeCell ref="R147:R148"/>
    <mergeCell ref="S147:S148"/>
    <mergeCell ref="J147:J150"/>
    <mergeCell ref="W135:W136"/>
    <mergeCell ref="H135:H138"/>
    <mergeCell ref="I135:I138"/>
    <mergeCell ref="K135:K138"/>
    <mergeCell ref="L135:L137"/>
    <mergeCell ref="M135:M137"/>
    <mergeCell ref="N135:N137"/>
    <mergeCell ref="O135:O137"/>
    <mergeCell ref="P135:P136"/>
    <mergeCell ref="Q135:Q136"/>
    <mergeCell ref="R135:R136"/>
    <mergeCell ref="S135:S136"/>
    <mergeCell ref="J135:J138"/>
    <mergeCell ref="W139:W140"/>
    <mergeCell ref="H139:H142"/>
    <mergeCell ref="I139:I142"/>
    <mergeCell ref="K139:K142"/>
    <mergeCell ref="L139:L141"/>
    <mergeCell ref="M139:M141"/>
    <mergeCell ref="N139:N141"/>
    <mergeCell ref="O139:O141"/>
    <mergeCell ref="P139:P140"/>
    <mergeCell ref="Q139:Q140"/>
    <mergeCell ref="R139:R140"/>
    <mergeCell ref="S139:S140"/>
    <mergeCell ref="J139:J142"/>
    <mergeCell ref="W127:W128"/>
    <mergeCell ref="H127:H130"/>
    <mergeCell ref="I127:I130"/>
    <mergeCell ref="K127:K130"/>
    <mergeCell ref="L127:L129"/>
    <mergeCell ref="M127:M129"/>
    <mergeCell ref="N127:N129"/>
    <mergeCell ref="O127:O129"/>
    <mergeCell ref="P127:P128"/>
    <mergeCell ref="Q127:Q128"/>
    <mergeCell ref="R127:R128"/>
    <mergeCell ref="S127:S128"/>
    <mergeCell ref="J127:J130"/>
    <mergeCell ref="W131:W132"/>
    <mergeCell ref="H131:H134"/>
    <mergeCell ref="I131:I134"/>
    <mergeCell ref="K131:K134"/>
    <mergeCell ref="L131:L133"/>
    <mergeCell ref="M131:M133"/>
    <mergeCell ref="N131:N133"/>
    <mergeCell ref="O131:O133"/>
    <mergeCell ref="P131:P132"/>
    <mergeCell ref="Q131:Q132"/>
    <mergeCell ref="R131:R132"/>
    <mergeCell ref="S131:S132"/>
    <mergeCell ref="J131:J134"/>
    <mergeCell ref="W119:W120"/>
    <mergeCell ref="H119:H122"/>
    <mergeCell ref="I119:I122"/>
    <mergeCell ref="K119:K122"/>
    <mergeCell ref="L119:L121"/>
    <mergeCell ref="M119:M121"/>
    <mergeCell ref="N119:N121"/>
    <mergeCell ref="O119:O121"/>
    <mergeCell ref="P119:P120"/>
    <mergeCell ref="Q119:Q120"/>
    <mergeCell ref="R119:R120"/>
    <mergeCell ref="S119:S120"/>
    <mergeCell ref="J119:J122"/>
    <mergeCell ref="W123:W124"/>
    <mergeCell ref="H123:H126"/>
    <mergeCell ref="I123:I126"/>
    <mergeCell ref="K123:K126"/>
    <mergeCell ref="L123:L125"/>
    <mergeCell ref="M123:M125"/>
    <mergeCell ref="N123:N125"/>
    <mergeCell ref="O123:O125"/>
    <mergeCell ref="P123:P124"/>
    <mergeCell ref="Q123:Q124"/>
    <mergeCell ref="R123:R124"/>
    <mergeCell ref="S123:S124"/>
    <mergeCell ref="J123:J126"/>
    <mergeCell ref="W111:W112"/>
    <mergeCell ref="H111:H114"/>
    <mergeCell ref="I111:I114"/>
    <mergeCell ref="K111:K114"/>
    <mergeCell ref="L111:L113"/>
    <mergeCell ref="M111:M113"/>
    <mergeCell ref="N111:N113"/>
    <mergeCell ref="O111:O113"/>
    <mergeCell ref="P111:P112"/>
    <mergeCell ref="Q111:Q112"/>
    <mergeCell ref="R111:R112"/>
    <mergeCell ref="S111:S112"/>
    <mergeCell ref="J111:J114"/>
    <mergeCell ref="W115:W116"/>
    <mergeCell ref="H115:H118"/>
    <mergeCell ref="I115:I118"/>
    <mergeCell ref="K115:K118"/>
    <mergeCell ref="L115:L117"/>
    <mergeCell ref="M115:M117"/>
    <mergeCell ref="N115:N117"/>
    <mergeCell ref="O115:O117"/>
    <mergeCell ref="P115:P116"/>
    <mergeCell ref="Q115:Q116"/>
    <mergeCell ref="R115:R116"/>
    <mergeCell ref="S115:S116"/>
    <mergeCell ref="J115:J118"/>
    <mergeCell ref="W103:W104"/>
    <mergeCell ref="H103:H106"/>
    <mergeCell ref="I103:I106"/>
    <mergeCell ref="K103:K106"/>
    <mergeCell ref="L103:L105"/>
    <mergeCell ref="M103:M105"/>
    <mergeCell ref="N103:N105"/>
    <mergeCell ref="O103:O105"/>
    <mergeCell ref="P103:P104"/>
    <mergeCell ref="Q103:Q104"/>
    <mergeCell ref="R103:R104"/>
    <mergeCell ref="S103:S104"/>
    <mergeCell ref="J103:J106"/>
    <mergeCell ref="W107:W108"/>
    <mergeCell ref="H107:H110"/>
    <mergeCell ref="I107:I110"/>
    <mergeCell ref="K107:K110"/>
    <mergeCell ref="L107:L109"/>
    <mergeCell ref="M107:M109"/>
    <mergeCell ref="N107:N109"/>
    <mergeCell ref="O107:O109"/>
    <mergeCell ref="P107:P108"/>
    <mergeCell ref="Q107:Q108"/>
    <mergeCell ref="R107:R108"/>
    <mergeCell ref="S107:S108"/>
    <mergeCell ref="J107:J110"/>
    <mergeCell ref="W95:W96"/>
    <mergeCell ref="H95:H98"/>
    <mergeCell ref="I95:I98"/>
    <mergeCell ref="K95:K98"/>
    <mergeCell ref="L95:L97"/>
    <mergeCell ref="M95:M97"/>
    <mergeCell ref="N95:N97"/>
    <mergeCell ref="O95:O97"/>
    <mergeCell ref="P95:P96"/>
    <mergeCell ref="Q95:Q96"/>
    <mergeCell ref="R95:R96"/>
    <mergeCell ref="S95:S96"/>
    <mergeCell ref="J95:J98"/>
    <mergeCell ref="W99:W100"/>
    <mergeCell ref="H99:H102"/>
    <mergeCell ref="I99:I102"/>
    <mergeCell ref="K99:K102"/>
    <mergeCell ref="L99:L101"/>
    <mergeCell ref="M99:M101"/>
    <mergeCell ref="N99:N101"/>
    <mergeCell ref="O99:O101"/>
    <mergeCell ref="P99:P100"/>
    <mergeCell ref="Q99:Q100"/>
    <mergeCell ref="R99:R100"/>
    <mergeCell ref="S99:S100"/>
    <mergeCell ref="J99:J102"/>
    <mergeCell ref="W87:W88"/>
    <mergeCell ref="H87:H90"/>
    <mergeCell ref="I87:I90"/>
    <mergeCell ref="J87:J90"/>
    <mergeCell ref="K87:K90"/>
    <mergeCell ref="L87:L89"/>
    <mergeCell ref="M87:M89"/>
    <mergeCell ref="N87:N89"/>
    <mergeCell ref="O87:O89"/>
    <mergeCell ref="P87:P88"/>
    <mergeCell ref="Q87:Q88"/>
    <mergeCell ref="R87:R88"/>
    <mergeCell ref="S87:S88"/>
    <mergeCell ref="W91:W92"/>
    <mergeCell ref="H91:H94"/>
    <mergeCell ref="I91:I94"/>
    <mergeCell ref="K91:K94"/>
    <mergeCell ref="L91:L93"/>
    <mergeCell ref="M91:M93"/>
    <mergeCell ref="N91:N93"/>
    <mergeCell ref="O91:O93"/>
    <mergeCell ref="P91:P92"/>
    <mergeCell ref="Q91:Q92"/>
    <mergeCell ref="R91:R92"/>
    <mergeCell ref="S91:S92"/>
    <mergeCell ref="J91:J94"/>
    <mergeCell ref="W79:W80"/>
    <mergeCell ref="H79:H82"/>
    <mergeCell ref="I79:I82"/>
    <mergeCell ref="J79:J82"/>
    <mergeCell ref="K79:K82"/>
    <mergeCell ref="L79:L81"/>
    <mergeCell ref="M79:M81"/>
    <mergeCell ref="N79:N81"/>
    <mergeCell ref="O79:O81"/>
    <mergeCell ref="P79:P80"/>
    <mergeCell ref="Q79:Q80"/>
    <mergeCell ref="R79:R80"/>
    <mergeCell ref="W83:W84"/>
    <mergeCell ref="H83:H86"/>
    <mergeCell ref="I83:I86"/>
    <mergeCell ref="J83:J86"/>
    <mergeCell ref="K83:K86"/>
    <mergeCell ref="L83:L85"/>
    <mergeCell ref="M83:M85"/>
    <mergeCell ref="N83:N85"/>
    <mergeCell ref="O83:O85"/>
    <mergeCell ref="P83:P84"/>
    <mergeCell ref="Q83:Q84"/>
    <mergeCell ref="R83:R84"/>
    <mergeCell ref="S83:S84"/>
    <mergeCell ref="H382:H385"/>
    <mergeCell ref="I382:I385"/>
    <mergeCell ref="J382:J385"/>
    <mergeCell ref="K382:K385"/>
    <mergeCell ref="L382:L384"/>
    <mergeCell ref="M382:M384"/>
    <mergeCell ref="N382:N384"/>
    <mergeCell ref="S387:S388"/>
    <mergeCell ref="D392:D396"/>
    <mergeCell ref="E392:E396"/>
    <mergeCell ref="F392:F396"/>
    <mergeCell ref="G392:G396"/>
    <mergeCell ref="H392:H395"/>
    <mergeCell ref="I392:I395"/>
    <mergeCell ref="J392:J395"/>
    <mergeCell ref="K392:K395"/>
    <mergeCell ref="L392:L394"/>
    <mergeCell ref="M392:M394"/>
    <mergeCell ref="N392:N394"/>
    <mergeCell ref="O392:O394"/>
    <mergeCell ref="P392:P393"/>
    <mergeCell ref="Q392:Q393"/>
    <mergeCell ref="R392:R393"/>
    <mergeCell ref="S392:S393"/>
    <mergeCell ref="D387:D391"/>
    <mergeCell ref="E387:E391"/>
    <mergeCell ref="F387:F391"/>
    <mergeCell ref="G387:G391"/>
    <mergeCell ref="H387:H390"/>
    <mergeCell ref="I387:I390"/>
    <mergeCell ref="J387:J390"/>
    <mergeCell ref="K376:K379"/>
    <mergeCell ref="L376:L378"/>
    <mergeCell ref="M376:M378"/>
    <mergeCell ref="N376:N378"/>
    <mergeCell ref="O376:O378"/>
    <mergeCell ref="O382:O384"/>
    <mergeCell ref="M387:M389"/>
    <mergeCell ref="N387:N389"/>
    <mergeCell ref="O387:O389"/>
    <mergeCell ref="P382:P383"/>
    <mergeCell ref="Q382:Q383"/>
    <mergeCell ref="R382:R383"/>
    <mergeCell ref="P387:P388"/>
    <mergeCell ref="Q387:Q388"/>
    <mergeCell ref="R387:R388"/>
    <mergeCell ref="K387:K390"/>
    <mergeCell ref="L387:L389"/>
    <mergeCell ref="P376:P377"/>
    <mergeCell ref="Q376:Q377"/>
    <mergeCell ref="R376:R377"/>
    <mergeCell ref="S376:S377"/>
    <mergeCell ref="D371:D375"/>
    <mergeCell ref="E371:E375"/>
    <mergeCell ref="F371:F375"/>
    <mergeCell ref="G371:G375"/>
    <mergeCell ref="H371:H374"/>
    <mergeCell ref="I371:I374"/>
    <mergeCell ref="J371:J374"/>
    <mergeCell ref="K371:K374"/>
    <mergeCell ref="L371:L373"/>
    <mergeCell ref="S382:S383"/>
    <mergeCell ref="D382:D386"/>
    <mergeCell ref="E382:E386"/>
    <mergeCell ref="F382:F386"/>
    <mergeCell ref="G382:G386"/>
    <mergeCell ref="M371:M373"/>
    <mergeCell ref="N371:N373"/>
    <mergeCell ref="O371:O373"/>
    <mergeCell ref="P371:P372"/>
    <mergeCell ref="Q371:Q372"/>
    <mergeCell ref="R371:R372"/>
    <mergeCell ref="S371:S372"/>
    <mergeCell ref="D376:D380"/>
    <mergeCell ref="E376:E380"/>
    <mergeCell ref="F376:F380"/>
    <mergeCell ref="G376:G380"/>
    <mergeCell ref="H376:H379"/>
    <mergeCell ref="I376:I379"/>
    <mergeCell ref="J376:J379"/>
    <mergeCell ref="S13:S14"/>
    <mergeCell ref="M43:M45"/>
    <mergeCell ref="N43:N45"/>
    <mergeCell ref="O43:O45"/>
    <mergeCell ref="N33:N35"/>
    <mergeCell ref="D366:D370"/>
    <mergeCell ref="E366:E370"/>
    <mergeCell ref="F366:F370"/>
    <mergeCell ref="G366:G370"/>
    <mergeCell ref="H366:H369"/>
    <mergeCell ref="I366:I369"/>
    <mergeCell ref="J366:J369"/>
    <mergeCell ref="K366:K369"/>
    <mergeCell ref="L366:L368"/>
    <mergeCell ref="P48:P49"/>
    <mergeCell ref="Q48:Q49"/>
    <mergeCell ref="R48:R49"/>
    <mergeCell ref="S48:S49"/>
    <mergeCell ref="P43:P44"/>
    <mergeCell ref="Q43:Q44"/>
    <mergeCell ref="R43:R44"/>
    <mergeCell ref="S43:S44"/>
    <mergeCell ref="S23:S24"/>
    <mergeCell ref="S79:S80"/>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366:M368"/>
    <mergeCell ref="N366:N368"/>
    <mergeCell ref="O366:O368"/>
    <mergeCell ref="P366:P367"/>
    <mergeCell ref="Q366:Q367"/>
    <mergeCell ref="R366:R367"/>
    <mergeCell ref="S366:S367"/>
    <mergeCell ref="O48:O50"/>
    <mergeCell ref="E62:W62"/>
    <mergeCell ref="E54:W54"/>
    <mergeCell ref="E55:W55"/>
    <mergeCell ref="E56:W56"/>
    <mergeCell ref="E57:W57"/>
    <mergeCell ref="E58:W58"/>
    <mergeCell ref="L64:L66"/>
    <mergeCell ref="M64:M66"/>
    <mergeCell ref="E60:W60"/>
    <mergeCell ref="E61:W61"/>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E38:E42"/>
    <mergeCell ref="F38:F42"/>
    <mergeCell ref="H38:H41"/>
    <mergeCell ref="G38:G42"/>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R13:R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L11:M1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P10:Q10"/>
    <mergeCell ref="P11:Q11"/>
    <mergeCell ref="K23:K26"/>
    <mergeCell ref="L23:L25"/>
    <mergeCell ref="P13:P14"/>
    <mergeCell ref="P23:P24"/>
    <mergeCell ref="Q23:Q24"/>
    <mergeCell ref="P18:P19"/>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K74:K77"/>
    <mergeCell ref="M360:M362"/>
    <mergeCell ref="N360:N362"/>
    <mergeCell ref="O360:O362"/>
    <mergeCell ref="P360:P361"/>
    <mergeCell ref="Q360:Q361"/>
    <mergeCell ref="R360:R361"/>
    <mergeCell ref="S360:S361"/>
    <mergeCell ref="D360:D364"/>
    <mergeCell ref="E360:E364"/>
    <mergeCell ref="F360:F364"/>
    <mergeCell ref="G360:G364"/>
    <mergeCell ref="H360:H363"/>
    <mergeCell ref="I360:I363"/>
    <mergeCell ref="J360:J363"/>
    <mergeCell ref="K360:K363"/>
    <mergeCell ref="L360:L362"/>
    <mergeCell ref="D74:D78"/>
    <mergeCell ref="E74:E78"/>
    <mergeCell ref="M74:M76"/>
    <mergeCell ref="D79:D359"/>
    <mergeCell ref="E79:E359"/>
    <mergeCell ref="F79:F359"/>
    <mergeCell ref="G79:G359"/>
    <mergeCell ref="F74:F78"/>
    <mergeCell ref="G74:G78"/>
    <mergeCell ref="H74:H77"/>
    <mergeCell ref="I74:I77"/>
    <mergeCell ref="J74:J77"/>
    <mergeCell ref="L74:L76"/>
  </mergeCells>
  <dataValidations count="1466">
    <dataValidation allowBlank="1" showInputMessage="1" showErrorMessage="1" prompt="Выберите виды деятельности, выполнив двойной щелчок левой кнопки мыши по ячейке." sqref="G13:G52 G64:G82 G359:G364 G366:G380 G382:G39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360:N362 N69:N71 N74:N76 N48:N50 N366:N368 N371:N373 N376:N378 N387:N389 N382:N384 N392:N394">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4:J75 R74:R75 V74:W74 J360:J361 R360:R361 V360:W360 J48:J49 R48:R49 V48:W48 J366:J367 R366:R367 V366:W366 J371:J372 R371:R372 V371:W371 J376:J377 R376:R377 V376:W376 J387:J388 R387:R388 V387:W387 J382:J383 R382:R383 V382:W382 J392:J393 R392:R393 V392:W392">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4:K75 O74:O75 K360:K361 O360:O361 S48:S49 S74:S75 S360:S361 K48:K49 O48:O49 F64:F82 F359:F364 O366:O367 S366:S367 O371:O372 S371:S372 S376:S377 K366:K367 K371:K372 K376:K377 O376:O377 F366:F380 K387:K388 O387:O388 K382:K383 O382:O383 S387:S388 F382:F396 S382:S383 K392:K393 O392:O393 S392:S393"/>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Для выбора выполните двойной щелчок левой клавиши мыши по соответствующей ячейке." sqref="K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allowBlank="1" showInputMessage="1" showErrorMessage="1" prompt="Для выбора выполните двойной щелчок левой клавиши мыши по соответствующей ячейке." sqref="O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V83">
      <formula1>900</formula1>
    </dataValidation>
    <dataValidation type="textLength" operator="lessThanOrEqual" allowBlank="1" showInputMessage="1" showErrorMessage="1" errorTitle="Ошибка" error="Допускается ввод не более 900 символов!" sqref="W83">
      <formula1>900</formula1>
    </dataValidation>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Для выбора выполните двойной щелчок левой клавиши мыши по соответствующей ячейке." sqref="K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Для выбора выполните двойной щелчок левой клавиши мыши по соответствующей ячейке." sqref="O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Для выбора выполните двойной щелчок левой клавиши мыши по соответствующей ячейке." sqref="S87"/>
    <dataValidation type="textLength" operator="lessThanOrEqual" allowBlank="1" showInputMessage="1" showErrorMessage="1" errorTitle="Ошибка" error="Допускается ввод не более 900 символов!" sqref="V87">
      <formula1>900</formula1>
    </dataValidation>
    <dataValidation type="textLength" operator="lessThanOrEqual" allowBlank="1" showInputMessage="1" showErrorMessage="1" errorTitle="Ошибка" error="Допускается ввод не более 900 символов!" sqref="W87">
      <formula1>900</formula1>
    </dataValidation>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Для выбора выполните двойной щелчок левой клавиши мыши по соответствующей ячейке." sqref="K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allowBlank="1" showInputMessage="1" showErrorMessage="1" prompt="Для выбора выполните двойной щелчок левой клавиши мыши по соответствующей ячейке." sqref="O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type="textLength" operator="lessThanOrEqual" allowBlank="1" showInputMessage="1" showErrorMessage="1" errorTitle="Ошибка" error="Допускается ввод не более 900 символов!" sqref="V91">
      <formula1>900</formula1>
    </dataValidation>
    <dataValidation type="textLength" operator="lessThanOrEqual" allowBlank="1" showInputMessage="1" showErrorMessage="1" errorTitle="Ошибка" error="Допускается ввод не более 900 символов!" sqref="W91">
      <formula1>900</formula1>
    </dataValidation>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Для выбора выполните двойной щелчок левой клавиши мыши по соответствующей ячейке." sqref="K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allowBlank="1" showInputMessage="1" showErrorMessage="1" prompt="Для выбора выполните двойной щелчок левой клавиши мыши по соответствующей ячейке." sqref="O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type="textLength" operator="lessThanOrEqual" allowBlank="1" showInputMessage="1" showErrorMessage="1" errorTitle="Ошибка" error="Допускается ввод не более 900 символов!" sqref="V95">
      <formula1>900</formula1>
    </dataValidation>
    <dataValidation type="textLength" operator="lessThanOrEqual" allowBlank="1" showInputMessage="1" showErrorMessage="1" errorTitle="Ошибка" error="Допускается ввод не более 900 символов!" sqref="W95">
      <formula1>900</formula1>
    </dataValidation>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Для выбора выполните двойной щелчок левой клавиши мыши по соответствующей ячейке." sqref="S96"/>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Для выбора выполните двойной щелчок левой клавиши мыши по соответствующей ячейке." sqref="K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O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V99">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Для выбора выполните двойной щелчок левой клавиши мыши по соответствующей ячейке." sqref="K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O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V103">
      <formula1>900</formula1>
    </dataValidation>
    <dataValidation type="textLength" operator="lessThanOrEqual" allowBlank="1" showInputMessage="1" showErrorMessage="1" errorTitle="Ошибка" error="Допускается ввод не более 900 символов!" sqref="W103">
      <formula1>900</formula1>
    </dataValidation>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Для выбора выполните двойной щелчок левой клавиши мыши по соответствующей ячейке." sqref="K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Для выбора выполните двойной щелчок левой клавиши мыши по соответствующей ячейке." sqref="K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O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V111">
      <formula1>900</formula1>
    </dataValidation>
    <dataValidation type="textLength" operator="lessThanOrEqual" allowBlank="1" showInputMessage="1" showErrorMessage="1" errorTitle="Ошибка" error="Допускается ввод не более 900 символов!" sqref="W111">
      <formula1>900</formula1>
    </dataValidation>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Для выбора выполните двойной щелчок левой клавиши мыши по соответствующей ячейке." sqref="K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O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V115">
      <formula1>900</formula1>
    </dataValidation>
    <dataValidation type="textLength" operator="lessThanOrEqual" allowBlank="1" showInputMessage="1" showErrorMessage="1" errorTitle="Ошибка" error="Допускается ввод не более 900 символов!" sqref="W115">
      <formula1>900</formula1>
    </dataValidation>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Для выбора выполните двойной щелчок левой клавиши мыши по соответствующей ячейке." sqref="K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O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type="textLength" operator="lessThanOrEqual" allowBlank="1" showInputMessage="1" showErrorMessage="1" errorTitle="Ошибка" error="Допускается ввод не более 900 символов!" sqref="V119">
      <formula1>900</formula1>
    </dataValidation>
    <dataValidation type="textLength" operator="lessThanOrEqual" allowBlank="1" showInputMessage="1" showErrorMessage="1" errorTitle="Ошибка" error="Допускается ввод не более 900 символов!" sqref="W119">
      <formula1>900</formula1>
    </dataValidation>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Для выбора выполните двойной щелчок левой клавиши мыши по соответствующей ячейке." sqref="K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O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V123">
      <formula1>900</formula1>
    </dataValidation>
    <dataValidation type="textLength" operator="lessThanOrEqual" allowBlank="1" showInputMessage="1" showErrorMessage="1" errorTitle="Ошибка" error="Допускается ввод не более 900 символов!" sqref="W123">
      <formula1>900</formula1>
    </dataValidation>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Для выбора выполните двойной щелчок левой клавиши мыши по соответствующей ячейке." sqref="K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Для выбора выполните двойной щелчок левой клавиши мыши по соответствующей ячейке." sqref="K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O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V131">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Для выбора выполните двойной щелчок левой клавиши мыши по соответствующей ячейке." sqref="K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allowBlank="1" showInputMessage="1" showErrorMessage="1" prompt="Для выбора выполните двойной щелчок левой клавиши мыши по соответствующей ячейке." sqref="O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V135">
      <formula1>900</formula1>
    </dataValidation>
    <dataValidation type="textLength" operator="lessThanOrEqual" allowBlank="1" showInputMessage="1" showErrorMessage="1" errorTitle="Ошибка" error="Допускается ввод не более 900 символов!" sqref="W135">
      <formula1>900</formula1>
    </dataValidation>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Для выбора выполните двойной щелчок левой клавиши мыши по соответствующей ячейке." sqref="K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Для выбора выполните двойной щелчок левой клавиши мыши по соответствующей ячейке." sqref="O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V139">
      <formula1>900</formula1>
    </dataValidation>
    <dataValidation type="textLength" operator="lessThanOrEqual" allowBlank="1" showInputMessage="1" showErrorMessage="1" errorTitle="Ошибка" error="Допускается ввод не более 900 символов!" sqref="W139">
      <formula1>900</formula1>
    </dataValidation>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Для выбора выполните двойной щелчок левой клавиши мыши по соответствующей ячейке." sqref="K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O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Для выбора выполните двойной щелчок левой клавиши мыши по соответствующей ячейке." sqref="S143"/>
    <dataValidation type="textLength" operator="lessThanOrEqual" allowBlank="1" showInputMessage="1" showErrorMessage="1" errorTitle="Ошибка" error="Допускается ввод не более 900 символов!" sqref="V143">
      <formula1>900</formula1>
    </dataValidation>
    <dataValidation type="textLength" operator="lessThanOrEqual" allowBlank="1" showInputMessage="1" showErrorMessage="1" errorTitle="Ошибка" error="Допускается ввод не более 900 символов!" sqref="W143">
      <formula1>900</formula1>
    </dataValidation>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Для выбора выполните двойной щелчок левой клавиши мыши по соответствующей ячейке." sqref="K1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Для выбора выполните двойной щелчок левой клавиши мыши по соответствующей ячейке." sqref="O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V147">
      <formula1>900</formula1>
    </dataValidation>
    <dataValidation type="textLength" operator="lessThanOrEqual" allowBlank="1" showInputMessage="1" showErrorMessage="1" errorTitle="Ошибка" error="Допускается ввод не более 900 символов!" sqref="W147">
      <formula1>900</formula1>
    </dataValidation>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Для выбора выполните двойной щелчок левой клавиши мыши по соответствующей ячейке." sqref="K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allowBlank="1" showInputMessage="1" showErrorMessage="1" prompt="Для выбора выполните двойной щелчок левой клавиши мыши по соответствующей ячейке." sqref="O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type="textLength" operator="lessThanOrEqual" allowBlank="1" showInputMessage="1" showErrorMessage="1" errorTitle="Ошибка" error="Допускается ввод не более 900 символов!" sqref="V151">
      <formula1>900</formula1>
    </dataValidation>
    <dataValidation type="textLength" operator="lessThanOrEqual" allowBlank="1" showInputMessage="1" showErrorMessage="1" errorTitle="Ошибка" error="Допускается ввод не более 900 символов!" sqref="W151">
      <formula1>900</formula1>
    </dataValidation>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Для выбора выполните двойной щелчок левой клавиши мыши по соответствующей ячейке." sqref="S152"/>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Для выбора выполните двойной щелчок левой клавиши мыши по соответствующей ячейке." sqref="K1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allowBlank="1" showInputMessage="1" showErrorMessage="1" prompt="Для выбора выполните двойной щелчок левой клавиши мыши по соответствующей ячейке." sqref="O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Для выбора выполните двойной щелчок левой клавиши мыши по соответствующей ячейке." sqref="S155"/>
    <dataValidation type="textLength" operator="lessThanOrEqual" allowBlank="1" showInputMessage="1" showErrorMessage="1" errorTitle="Ошибка" error="Допускается ввод не более 900 символов!" sqref="V155">
      <formula1>900</formula1>
    </dataValidation>
    <dataValidation type="textLength" operator="lessThanOrEqual" allowBlank="1" showInputMessage="1" showErrorMessage="1" errorTitle="Ошибка" error="Допускается ввод не более 900 символов!" sqref="W155">
      <formula1>900</formula1>
    </dataValidation>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type="textLength" operator="lessThanOrEqual" allowBlank="1" showInputMessage="1" showErrorMessage="1" errorTitle="Ошибка" error="Допускается ввод не более 900 символов!" sqref="J1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type="textLength" operator="lessThanOrEqual" allowBlank="1" showInputMessage="1" showErrorMessage="1" errorTitle="Ошибка" error="Допускается ввод не более 900 символов!" sqref="R156">
      <formula1>900</formula1>
    </dataValidation>
    <dataValidation allowBlank="1" showInputMessage="1" showErrorMessage="1" prompt="Для выбора выполните двойной щелчок левой клавиши мыши по соответствующей ячейке." sqref="S156"/>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Выберите виды деятельности, выполнив двойной щелчок левой кнопки мыши по ячейке." sqref="G159"/>
    <dataValidation type="textLength" operator="lessThanOrEqual" allowBlank="1" showInputMessage="1" showErrorMessage="1" errorTitle="Ошибка" error="Допускается ввод не более 900 символов!" sqref="J159">
      <formula1>900</formula1>
    </dataValidation>
    <dataValidation allowBlank="1" showInputMessage="1" showErrorMessage="1" prompt="Для выбора выполните двойной щелчок левой клавиши мыши по соответствующей ячейке." sqref="K1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allowBlank="1" showInputMessage="1" showErrorMessage="1" prompt="Для выбора выполните двойной щелчок левой клавиши мыши по соответствующей ячейке." sqref="O159"/>
    <dataValidation type="textLength" operator="lessThanOrEqual" allowBlank="1" showInputMessage="1" showErrorMessage="1" errorTitle="Ошибка" error="Допускается ввод не более 900 символов!" sqref="R159">
      <formula1>900</formula1>
    </dataValidation>
    <dataValidation allowBlank="1" showInputMessage="1" showErrorMessage="1" prompt="Для выбора выполните двойной щелчок левой клавиши мыши по соответствующей ячейке." sqref="S159"/>
    <dataValidation type="textLength" operator="lessThanOrEqual" allowBlank="1" showInputMessage="1" showErrorMessage="1" errorTitle="Ошибка" error="Допускается ввод не более 900 символов!" sqref="V159">
      <formula1>900</formula1>
    </dataValidation>
    <dataValidation type="textLength" operator="lessThanOrEqual" allowBlank="1" showInputMessage="1" showErrorMessage="1" errorTitle="Ошибка" error="Допускается ввод не более 900 символов!" sqref="W159">
      <formula1>900</formula1>
    </dataValidation>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Выберите виды деятельности, выполнив двойной щелчок левой кнопки мыши по ячейке." sqref="G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Выберите виды деятельности, выполнив двойной щелчок левой кнопки мыши по ячейке." sqref="G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Для выбора выполните двойной щелчок левой клавиши мыши по соответствующей ячейке." sqref="K1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allowBlank="1" showInputMessage="1" showErrorMessage="1" prompt="Для выбора выполните двойной щелчок левой клавиши мыши по соответствующей ячейке." sqref="O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Для выбора выполните двойной щелчок левой клавиши мыши по соответствующей ячейке." sqref="S163"/>
    <dataValidation type="textLength" operator="lessThanOrEqual" allowBlank="1" showInputMessage="1" showErrorMessage="1" errorTitle="Ошибка" error="Допускается ввод не более 900 символов!" sqref="V163">
      <formula1>900</formula1>
    </dataValidation>
    <dataValidation type="textLength" operator="lessThanOrEqual" allowBlank="1" showInputMessage="1" showErrorMessage="1" errorTitle="Ошибка" error="Допускается ввод не более 900 символов!" sqref="W163">
      <formula1>900</formula1>
    </dataValidation>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Для выбора выполните двойной щелчок левой клавиши мыши по соответствующей ячейке." sqref="S164"/>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Для выбора выполните двойной щелчок левой клавиши мыши по соответствующей ячейке." sqref="K1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allowBlank="1" showInputMessage="1" showErrorMessage="1" prompt="Для выбора выполните двойной щелчок левой клавиши мыши по соответствующей ячейке." sqref="O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Для выбора выполните двойной щелчок левой клавиши мыши по соответствующей ячейке." sqref="S167"/>
    <dataValidation type="textLength" operator="lessThanOrEqual" allowBlank="1" showInputMessage="1" showErrorMessage="1" errorTitle="Ошибка" error="Допускается ввод не более 900 символов!" sqref="V167">
      <formula1>900</formula1>
    </dataValidation>
    <dataValidation type="textLength" operator="lessThanOrEqual" allowBlank="1" showInputMessage="1" showErrorMessage="1" errorTitle="Ошибка" error="Допускается ввод не более 900 символов!" sqref="W167">
      <formula1>900</formula1>
    </dataValidation>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type="textLength" operator="lessThanOrEqual" allowBlank="1" showInputMessage="1" showErrorMessage="1" errorTitle="Ошибка" error="Допускается ввод не более 900 символов!" sqref="J16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type="textLength" operator="lessThanOrEqual" allowBlank="1" showInputMessage="1" showErrorMessage="1" errorTitle="Ошибка" error="Допускается ввод не более 900 символов!" sqref="R168">
      <formula1>900</formula1>
    </dataValidation>
    <dataValidation allowBlank="1" showInputMessage="1" showErrorMessage="1" prompt="Для выбора выполните двойной щелчок левой клавиши мыши по соответствующей ячейке." sqref="S168"/>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type="textLength" operator="lessThanOrEqual" allowBlank="1" showInputMessage="1" showErrorMessage="1" errorTitle="Ошибка" error="Допускается ввод не более 900 символов!" sqref="J171">
      <formula1>900</formula1>
    </dataValidation>
    <dataValidation allowBlank="1" showInputMessage="1" showErrorMessage="1" prompt="Для выбора выполните двойной щелчок левой клавиши мыши по соответствующей ячейке." sqref="K1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allowBlank="1" showInputMessage="1" showErrorMessage="1" prompt="Для выбора выполните двойной щелчок левой клавиши мыши по соответствующей ячейке." sqref="O171"/>
    <dataValidation type="textLength" operator="lessThanOrEqual" allowBlank="1" showInputMessage="1" showErrorMessage="1" errorTitle="Ошибка" error="Допускается ввод не более 900 символов!" sqref="R171">
      <formula1>900</formula1>
    </dataValidation>
    <dataValidation allowBlank="1" showInputMessage="1" showErrorMessage="1" prompt="Для выбора выполните двойной щелчок левой клавиши мыши по соответствующей ячейке." sqref="S171"/>
    <dataValidation type="textLength" operator="lessThanOrEqual" allowBlank="1" showInputMessage="1" showErrorMessage="1" errorTitle="Ошибка" error="Допускается ввод не более 900 символов!" sqref="V171">
      <formula1>900</formula1>
    </dataValidation>
    <dataValidation type="textLength" operator="lessThanOrEqual" allowBlank="1" showInputMessage="1" showErrorMessage="1" errorTitle="Ошибка" error="Допускается ввод не более 900 символов!" sqref="W171">
      <formula1>900</formula1>
    </dataValidation>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Выберите виды деятельности, выполнив двойной щелчок левой кнопки мыши по ячейке." sqref="G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Для выбора выполните двойной щелчок левой клавиши мыши по соответствующей ячейке." sqref="S172"/>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Выберите виды деятельности, выполнив двойной щелчок левой кнопки мыши по ячейке." sqref="G1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74"/>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Выберите виды деятельности, выполнив двойной щелчок левой кнопки мыши по ячейке." sqref="G175"/>
    <dataValidation type="textLength" operator="lessThanOrEqual" allowBlank="1" showInputMessage="1" showErrorMessage="1" errorTitle="Ошибка" error="Допускается ввод не более 900 символов!" sqref="J175">
      <formula1>900</formula1>
    </dataValidation>
    <dataValidation allowBlank="1" showInputMessage="1" showErrorMessage="1" prompt="Для выбора выполните двойной щелчок левой клавиши мыши по соответствующей ячейке." sqref="K1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allowBlank="1" showInputMessage="1" showErrorMessage="1" prompt="Для выбора выполните двойной щелчок левой клавиши мыши по соответствующей ячейке." sqref="O175"/>
    <dataValidation type="textLength" operator="lessThanOrEqual" allowBlank="1" showInputMessage="1" showErrorMessage="1" errorTitle="Ошибка" error="Допускается ввод не более 900 символов!" sqref="R175">
      <formula1>900</formula1>
    </dataValidation>
    <dataValidation allowBlank="1" showInputMessage="1" showErrorMessage="1" prompt="Для выбора выполните двойной щелчок левой клавиши мыши по соответствующей ячейке." sqref="S175"/>
    <dataValidation type="textLength" operator="lessThanOrEqual" allowBlank="1" showInputMessage="1" showErrorMessage="1" errorTitle="Ошибка" error="Допускается ввод не более 900 символов!" sqref="V175">
      <formula1>900</formula1>
    </dataValidation>
    <dataValidation type="textLength" operator="lessThanOrEqual" allowBlank="1" showInputMessage="1" showErrorMessage="1" errorTitle="Ошибка" error="Допускается ввод не более 900 символов!" sqref="W175">
      <formula1>900</formula1>
    </dataValidation>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Выберите виды деятельности, выполнив двойной щелчок левой кнопки мыши по ячейке." sqref="G176"/>
    <dataValidation type="textLength" operator="lessThanOrEqual" allowBlank="1" showInputMessage="1" showErrorMessage="1" errorTitle="Ошибка" error="Допускается ввод не более 900 символов!" sqref="J17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type="textLength" operator="lessThanOrEqual" allowBlank="1" showInputMessage="1" showErrorMessage="1" errorTitle="Ошибка" error="Допускается ввод не более 900 символов!" sqref="R176">
      <formula1>900</formula1>
    </dataValidation>
    <dataValidation allowBlank="1" showInputMessage="1" showErrorMessage="1" prompt="Для выбора выполните двойной щелчок левой клавиши мыши по соответствующей ячейке." sqref="S176"/>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Выберите виды деятельности, выполнив двойной щелчок левой кнопки мыши по ячейке." sqref="G1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allowBlank="1" showInputMessage="1" showErrorMessage="1" prompt="Для выбора выполните двойной щелчок левой клавиши мыши по соответствующей ячейке." sqref="F178"/>
    <dataValidation allowBlank="1" showInputMessage="1" showErrorMessage="1" prompt="Выберите виды деятельности, выполнив двойной щелчок левой кнопки мыши по ячейке." sqref="G178"/>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Выберите виды деятельности, выполнив двойной щелчок левой кнопки мыши по ячейке." sqref="G179"/>
    <dataValidation type="textLength" operator="lessThanOrEqual" allowBlank="1" showInputMessage="1" showErrorMessage="1" errorTitle="Ошибка" error="Допускается ввод не более 900 символов!" sqref="J179">
      <formula1>900</formula1>
    </dataValidation>
    <dataValidation allowBlank="1" showInputMessage="1" showErrorMessage="1" prompt="Для выбора выполните двойной щелчок левой клавиши мыши по соответствующей ячейке." sqref="K1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allowBlank="1" showInputMessage="1" showErrorMessage="1" prompt="Для выбора выполните двойной щелчок левой клавиши мыши по соответствующей ячейке." sqref="O179"/>
    <dataValidation type="textLength" operator="lessThanOrEqual" allowBlank="1" showInputMessage="1" showErrorMessage="1" errorTitle="Ошибка" error="Допускается ввод не более 900 символов!" sqref="R179">
      <formula1>900</formula1>
    </dataValidation>
    <dataValidation allowBlank="1" showInputMessage="1" showErrorMessage="1" prompt="Для выбора выполните двойной щелчок левой клавиши мыши по соответствующей ячейке." sqref="S179"/>
    <dataValidation type="textLength" operator="lessThanOrEqual" allowBlank="1" showInputMessage="1" showErrorMessage="1" errorTitle="Ошибка" error="Допускается ввод не более 900 символов!" sqref="V179">
      <formula1>900</formula1>
    </dataValidation>
    <dataValidation type="textLength" operator="lessThanOrEqual" allowBlank="1" showInputMessage="1" showErrorMessage="1" errorTitle="Ошибка" error="Допускается ввод не более 900 символов!" sqref="W179">
      <formula1>900</formula1>
    </dataValidation>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Выберите виды деятельности, выполнив двойной щелчок левой кнопки мыши по ячейке." sqref="G180"/>
    <dataValidation type="textLength" operator="lessThanOrEqual" allowBlank="1" showInputMessage="1" showErrorMessage="1" errorTitle="Ошибка" error="Допускается ввод не более 900 символов!" sqref="J1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type="textLength" operator="lessThanOrEqual" allowBlank="1" showInputMessage="1" showErrorMessage="1" errorTitle="Ошибка" error="Допускается ввод не более 900 символов!" sqref="R180">
      <formula1>900</formula1>
    </dataValidation>
    <dataValidation allowBlank="1" showInputMessage="1" showErrorMessage="1" prompt="Для выбора выполните двойной щелчок левой клавиши мыши по соответствующей ячейке." sqref="S180"/>
    <dataValidation allowBlank="1" showInputMessage="1" showErrorMessage="1" prompt="Для выбора выполните двойной щелчок левой клавиши мыши по соответствующей ячейке." sqref="F181"/>
    <dataValidation allowBlank="1" showInputMessage="1" showErrorMessage="1" prompt="Выберите виды деятельности, выполнив двойной щелчок левой кнопки мыши по ячейке." sqref="G1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allowBlank="1" showInputMessage="1" showErrorMessage="1" prompt="Для выбора выполните двойной щелчок левой клавиши мыши по соответствующей ячейке." sqref="F182"/>
    <dataValidation allowBlank="1" showInputMessage="1" showErrorMessage="1" prompt="Выберите виды деятельности, выполнив двойной щелчок левой кнопки мыши по ячейке." sqref="G182"/>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Выберите виды деятельности, выполнив двойной щелчок левой кнопки мыши по ячейке." sqref="G183"/>
    <dataValidation type="textLength" operator="lessThanOrEqual" allowBlank="1" showInputMessage="1" showErrorMessage="1" errorTitle="Ошибка" error="Допускается ввод не более 900 символов!" sqref="J183">
      <formula1>900</formula1>
    </dataValidation>
    <dataValidation allowBlank="1" showInputMessage="1" showErrorMessage="1" prompt="Для выбора выполните двойной щелчок левой клавиши мыши по соответствующей ячейке." sqref="K1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allowBlank="1" showInputMessage="1" showErrorMessage="1" prompt="Для выбора выполните двойной щелчок левой клавиши мыши по соответствующей ячейке." sqref="O183"/>
    <dataValidation type="textLength" operator="lessThanOrEqual" allowBlank="1" showInputMessage="1" showErrorMessage="1" errorTitle="Ошибка" error="Допускается ввод не более 900 символов!" sqref="R183">
      <formula1>900</formula1>
    </dataValidation>
    <dataValidation allowBlank="1" showInputMessage="1" showErrorMessage="1" prompt="Для выбора выполните двойной щелчок левой клавиши мыши по соответствующей ячейке." sqref="S183"/>
    <dataValidation type="textLength" operator="lessThanOrEqual" allowBlank="1" showInputMessage="1" showErrorMessage="1" errorTitle="Ошибка" error="Допускается ввод не более 900 символов!" sqref="V183">
      <formula1>900</formula1>
    </dataValidation>
    <dataValidation type="textLength" operator="lessThanOrEqual" allowBlank="1" showInputMessage="1" showErrorMessage="1" errorTitle="Ошибка" error="Допускается ввод не более 900 символов!" sqref="W183">
      <formula1>900</formula1>
    </dataValidation>
    <dataValidation allowBlank="1" showInputMessage="1" showErrorMessage="1" prompt="Для выбора выполните двойной щелчок левой клавиши мыши по соответствующей ячейке." sqref="F184"/>
    <dataValidation allowBlank="1" showInputMessage="1" showErrorMessage="1" prompt="Выберите виды деятельности, выполнив двойной щелчок левой кнопки мыши по ячейке." sqref="G184"/>
    <dataValidation type="textLength" operator="lessThanOrEqual" allowBlank="1" showInputMessage="1" showErrorMessage="1" errorTitle="Ошибка" error="Допускается ввод не более 900 символов!" sqref="J1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type="textLength" operator="lessThanOrEqual" allowBlank="1" showInputMessage="1" showErrorMessage="1" errorTitle="Ошибка" error="Допускается ввод не более 900 символов!" sqref="R184">
      <formula1>900</formula1>
    </dataValidation>
    <dataValidation allowBlank="1" showInputMessage="1" showErrorMessage="1" prompt="Для выбора выполните двойной щелчок левой клавиши мыши по соответствующей ячейке." sqref="S184"/>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Выберите виды деятельности, выполнив двойной щелчок левой кнопки мыши по ячейке." sqref="G1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Выберите виды деятельности, выполнив двойной щелчок левой кнопки мыши по ячейке." sqref="G186"/>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Выберите виды деятельности, выполнив двойной щелчок левой кнопки мыши по ячейке." sqref="G187"/>
    <dataValidation type="textLength" operator="lessThanOrEqual" allowBlank="1" showInputMessage="1" showErrorMessage="1" errorTitle="Ошибка" error="Допускается ввод не более 900 символов!" sqref="J187">
      <formula1>900</formula1>
    </dataValidation>
    <dataValidation allowBlank="1" showInputMessage="1" showErrorMessage="1" prompt="Для выбора выполните двойной щелчок левой клавиши мыши по соответствующей ячейке." sqref="K1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allowBlank="1" showInputMessage="1" showErrorMessage="1" prompt="Для выбора выполните двойной щелчок левой клавиши мыши по соответствующей ячейке." sqref="O187"/>
    <dataValidation type="textLength" operator="lessThanOrEqual" allowBlank="1" showInputMessage="1" showErrorMessage="1" errorTitle="Ошибка" error="Допускается ввод не более 900 символов!" sqref="R187">
      <formula1>900</formula1>
    </dataValidation>
    <dataValidation allowBlank="1" showInputMessage="1" showErrorMessage="1" prompt="Для выбора выполните двойной щелчок левой клавиши мыши по соответствующей ячейке." sqref="S187"/>
    <dataValidation type="textLength" operator="lessThanOrEqual" allowBlank="1" showInputMessage="1" showErrorMessage="1" errorTitle="Ошибка" error="Допускается ввод не более 900 символов!" sqref="V187">
      <formula1>900</formula1>
    </dataValidation>
    <dataValidation type="textLength" operator="lessThanOrEqual" allowBlank="1" showInputMessage="1" showErrorMessage="1" errorTitle="Ошибка" error="Допускается ввод не более 900 символов!" sqref="W187">
      <formula1>900</formula1>
    </dataValidation>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Выберите виды деятельности, выполнив двойной щелчок левой кнопки мыши по ячейке." sqref="G188"/>
    <dataValidation type="textLength" operator="lessThanOrEqual" allowBlank="1" showInputMessage="1" showErrorMessage="1" errorTitle="Ошибка" error="Допускается ввод не более 900 символов!" sqref="J1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type="textLength" operator="lessThanOrEqual" allowBlank="1" showInputMessage="1" showErrorMessage="1" errorTitle="Ошибка" error="Допускается ввод не более 900 символов!" sqref="R188">
      <formula1>900</formula1>
    </dataValidation>
    <dataValidation allowBlank="1" showInputMessage="1" showErrorMessage="1" prompt="Для выбора выполните двойной щелчок левой клавиши мыши по соответствующей ячейке." sqref="S188"/>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Выберите виды деятельности, выполнив двойной щелчок левой кнопки мыши по ячейке." sqref="G1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Выберите виды деятельности, выполнив двойной щелчок левой кнопки мыши по ячейке." sqref="G190"/>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Выберите виды деятельности, выполнив двойной щелчок левой кнопки мыши по ячейке." sqref="G191"/>
    <dataValidation type="textLength" operator="lessThanOrEqual" allowBlank="1" showInputMessage="1" showErrorMessage="1" errorTitle="Ошибка" error="Допускается ввод не более 900 символов!" sqref="J191">
      <formula1>900</formula1>
    </dataValidation>
    <dataValidation allowBlank="1" showInputMessage="1" showErrorMessage="1" prompt="Для выбора выполните двойной щелчок левой клавиши мыши по соответствующей ячейке." sqref="K1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1"/>
    <dataValidation allowBlank="1" showInputMessage="1" showErrorMessage="1" prompt="Для выбора выполните двойной щелчок левой клавиши мыши по соответствующей ячейке." sqref="O191"/>
    <dataValidation type="textLength" operator="lessThanOrEqual" allowBlank="1" showInputMessage="1" showErrorMessage="1" errorTitle="Ошибка" error="Допускается ввод не более 900 символов!" sqref="R191">
      <formula1>900</formula1>
    </dataValidation>
    <dataValidation allowBlank="1" showInputMessage="1" showErrorMessage="1" prompt="Для выбора выполните двойной щелчок левой клавиши мыши по соответствующей ячейке." sqref="S191"/>
    <dataValidation type="textLength" operator="lessThanOrEqual" allowBlank="1" showInputMessage="1" showErrorMessage="1" errorTitle="Ошибка" error="Допускается ввод не более 900 символов!" sqref="V191">
      <formula1>900</formula1>
    </dataValidation>
    <dataValidation type="textLength" operator="lessThanOrEqual" allowBlank="1" showInputMessage="1" showErrorMessage="1" errorTitle="Ошибка" error="Допускается ввод не более 900 символов!" sqref="W191">
      <formula1>900</formula1>
    </dataValidation>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Выберите виды деятельности, выполнив двойной щелчок левой кнопки мыши по ячейке." sqref="G192"/>
    <dataValidation type="textLength" operator="lessThanOrEqual" allowBlank="1" showInputMessage="1" showErrorMessage="1" errorTitle="Ошибка" error="Допускается ввод не более 900 символов!" sqref="J1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 type="textLength" operator="lessThanOrEqual" allowBlank="1" showInputMessage="1" showErrorMessage="1" errorTitle="Ошибка" error="Допускается ввод не более 900 символов!" sqref="R192">
      <formula1>900</formula1>
    </dataValidation>
    <dataValidation allowBlank="1" showInputMessage="1" showErrorMessage="1" prompt="Для выбора выполните двойной щелчок левой клавиши мыши по соответствующей ячейке." sqref="S192"/>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Выберите виды деятельности, выполнив двойной щелчок левой кнопки мыши по ячейке." sqref="G1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3"/>
    <dataValidation allowBlank="1" showInputMessage="1" showErrorMessage="1" prompt="Для выбора выполните двойной щелчок левой клавиши мыши по соответствующей ячейке." sqref="F194"/>
    <dataValidation allowBlank="1" showInputMessage="1" showErrorMessage="1" prompt="Выберите виды деятельности, выполнив двойной щелчок левой кнопки мыши по ячейке." sqref="G194"/>
    <dataValidation allowBlank="1" showInputMessage="1" showErrorMessage="1" prompt="Для выбора выполните двойной щелчок левой клавиши мыши по соответствующей ячейке." sqref="F195"/>
    <dataValidation allowBlank="1" showInputMessage="1" showErrorMessage="1" prompt="Выберите виды деятельности, выполнив двойной щелчок левой кнопки мыши по ячейке." sqref="G195"/>
    <dataValidation type="textLength" operator="lessThanOrEqual" allowBlank="1" showInputMessage="1" showErrorMessage="1" errorTitle="Ошибка" error="Допускается ввод не более 900 символов!" sqref="J195">
      <formula1>900</formula1>
    </dataValidation>
    <dataValidation allowBlank="1" showInputMessage="1" showErrorMessage="1" prompt="Для выбора выполните двойной щелчок левой клавиши мыши по соответствующей ячейке." sqref="K1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5"/>
    <dataValidation allowBlank="1" showInputMessage="1" showErrorMessage="1" prompt="Для выбора выполните двойной щелчок левой клавиши мыши по соответствующей ячейке." sqref="O195"/>
    <dataValidation type="textLength" operator="lessThanOrEqual" allowBlank="1" showInputMessage="1" showErrorMessage="1" errorTitle="Ошибка" error="Допускается ввод не более 900 символов!" sqref="R195">
      <formula1>900</formula1>
    </dataValidation>
    <dataValidation allowBlank="1" showInputMessage="1" showErrorMessage="1" prompt="Для выбора выполните двойной щелчок левой клавиши мыши по соответствующей ячейке." sqref="S195"/>
    <dataValidation type="textLength" operator="lessThanOrEqual" allowBlank="1" showInputMessage="1" showErrorMessage="1" errorTitle="Ошибка" error="Допускается ввод не более 900 символов!" sqref="V195">
      <formula1>900</formula1>
    </dataValidation>
    <dataValidation type="textLength" operator="lessThanOrEqual" allowBlank="1" showInputMessage="1" showErrorMessage="1" errorTitle="Ошибка" error="Допускается ввод не более 900 символов!" sqref="W195">
      <formula1>900</formula1>
    </dataValidation>
    <dataValidation allowBlank="1" showInputMessage="1" showErrorMessage="1" prompt="Для выбора выполните двойной щелчок левой клавиши мыши по соответствующей ячейке." sqref="F196"/>
    <dataValidation allowBlank="1" showInputMessage="1" showErrorMessage="1" prompt="Выберите виды деятельности, выполнив двойной щелчок левой кнопки мыши по ячейке." sqref="G196"/>
    <dataValidation type="textLength" operator="lessThanOrEqual" allowBlank="1" showInputMessage="1" showErrorMessage="1" errorTitle="Ошибка" error="Допускается ввод не более 900 символов!" sqref="J1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6"/>
    <dataValidation type="textLength" operator="lessThanOrEqual" allowBlank="1" showInputMessage="1" showErrorMessage="1" errorTitle="Ошибка" error="Допускается ввод не более 900 символов!" sqref="R196">
      <formula1>900</formula1>
    </dataValidation>
    <dataValidation allowBlank="1" showInputMessage="1" showErrorMessage="1" prompt="Для выбора выполните двойной щелчок левой клавиши мыши по соответствующей ячейке." sqref="S196"/>
    <dataValidation allowBlank="1" showInputMessage="1" showErrorMessage="1" prompt="Для выбора выполните двойной щелчок левой клавиши мыши по соответствующей ячейке." sqref="F197"/>
    <dataValidation allowBlank="1" showInputMessage="1" showErrorMessage="1" prompt="Выберите виды деятельности, выполнив двойной щелчок левой кнопки мыши по ячейке." sqref="G1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7"/>
    <dataValidation allowBlank="1" showInputMessage="1" showErrorMessage="1" prompt="Для выбора выполните двойной щелчок левой клавиши мыши по соответствующей ячейке." sqref="F198"/>
    <dataValidation allowBlank="1" showInputMessage="1" showErrorMessage="1" prompt="Выберите виды деятельности, выполнив двойной щелчок левой кнопки мыши по ячейке." sqref="G198"/>
    <dataValidation allowBlank="1" showInputMessage="1" showErrorMessage="1" prompt="Для выбора выполните двойной щелчок левой клавиши мыши по соответствующей ячейке." sqref="F199"/>
    <dataValidation allowBlank="1" showInputMessage="1" showErrorMessage="1" prompt="Выберите виды деятельности, выполнив двойной щелчок левой кнопки мыши по ячейке." sqref="G199"/>
    <dataValidation type="textLength" operator="lessThanOrEqual" allowBlank="1" showInputMessage="1" showErrorMessage="1" errorTitle="Ошибка" error="Допускается ввод не более 900 символов!" sqref="J199">
      <formula1>900</formula1>
    </dataValidation>
    <dataValidation allowBlank="1" showInputMessage="1" showErrorMessage="1" prompt="Для выбора выполните двойной щелчок левой клавиши мыши по соответствующей ячейке." sqref="K1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9"/>
    <dataValidation allowBlank="1" showInputMessage="1" showErrorMessage="1" prompt="Для выбора выполните двойной щелчок левой клавиши мыши по соответствующей ячейке." sqref="O199"/>
    <dataValidation type="textLength" operator="lessThanOrEqual" allowBlank="1" showInputMessage="1" showErrorMessage="1" errorTitle="Ошибка" error="Допускается ввод не более 900 символов!" sqref="R199">
      <formula1>900</formula1>
    </dataValidation>
    <dataValidation allowBlank="1" showInputMessage="1" showErrorMessage="1" prompt="Для выбора выполните двойной щелчок левой клавиши мыши по соответствующей ячейке." sqref="S199"/>
    <dataValidation type="textLength" operator="lessThanOrEqual" allowBlank="1" showInputMessage="1" showErrorMessage="1" errorTitle="Ошибка" error="Допускается ввод не более 900 символов!" sqref="V199">
      <formula1>900</formula1>
    </dataValidation>
    <dataValidation type="textLength" operator="lessThanOrEqual" allowBlank="1" showInputMessage="1" showErrorMessage="1" errorTitle="Ошибка" error="Допускается ввод не более 900 символов!" sqref="W199">
      <formula1>900</formula1>
    </dataValidation>
    <dataValidation allowBlank="1" showInputMessage="1" showErrorMessage="1" prompt="Для выбора выполните двойной щелчок левой клавиши мыши по соответствующей ячейке." sqref="F200"/>
    <dataValidation allowBlank="1" showInputMessage="1" showErrorMessage="1" prompt="Выберите виды деятельности, выполнив двойной щелчок левой кнопки мыши по ячейке." sqref="G200"/>
    <dataValidation type="textLength" operator="lessThanOrEqual" allowBlank="1" showInputMessage="1" showErrorMessage="1" errorTitle="Ошибка" error="Допускается ввод не более 900 символов!" sqref="J2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0"/>
    <dataValidation type="textLength" operator="lessThanOrEqual" allowBlank="1" showInputMessage="1" showErrorMessage="1" errorTitle="Ошибка" error="Допускается ввод не более 900 символов!" sqref="R200">
      <formula1>900</formula1>
    </dataValidation>
    <dataValidation allowBlank="1" showInputMessage="1" showErrorMessage="1" prompt="Для выбора выполните двойной щелчок левой клавиши мыши по соответствующей ячейке." sqref="S200"/>
    <dataValidation allowBlank="1" showInputMessage="1" showErrorMessage="1" prompt="Для выбора выполните двойной щелчок левой клавиши мыши по соответствующей ячейке." sqref="F201"/>
    <dataValidation allowBlank="1" showInputMessage="1" showErrorMessage="1" prompt="Выберите виды деятельности, выполнив двойной щелчок левой кнопки мыши по ячейке." sqref="G2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1"/>
    <dataValidation allowBlank="1" showInputMessage="1" showErrorMessage="1" prompt="Для выбора выполните двойной щелчок левой клавиши мыши по соответствующей ячейке." sqref="F202"/>
    <dataValidation allowBlank="1" showInputMessage="1" showErrorMessage="1" prompt="Выберите виды деятельности, выполнив двойной щелчок левой кнопки мыши по ячейке." sqref="G202"/>
    <dataValidation allowBlank="1" showInputMessage="1" showErrorMessage="1" prompt="Для выбора выполните двойной щелчок левой клавиши мыши по соответствующей ячейке." sqref="F203"/>
    <dataValidation allowBlank="1" showInputMessage="1" showErrorMessage="1" prompt="Выберите виды деятельности, выполнив двойной щелчок левой кнопки мыши по ячейке." sqref="G203"/>
    <dataValidation type="textLength" operator="lessThanOrEqual" allowBlank="1" showInputMessage="1" showErrorMessage="1" errorTitle="Ошибка" error="Допускается ввод не более 900 символов!" sqref="J203">
      <formula1>900</formula1>
    </dataValidation>
    <dataValidation allowBlank="1" showInputMessage="1" showErrorMessage="1" prompt="Для выбора выполните двойной щелчок левой клавиши мыши по соответствующей ячейке." sqref="K2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3"/>
    <dataValidation allowBlank="1" showInputMessage="1" showErrorMessage="1" prompt="Для выбора выполните двойной щелчок левой клавиши мыши по соответствующей ячейке." sqref="O203"/>
    <dataValidation type="textLength" operator="lessThanOrEqual" allowBlank="1" showInputMessage="1" showErrorMessage="1" errorTitle="Ошибка" error="Допускается ввод не более 900 символов!" sqref="R203">
      <formula1>900</formula1>
    </dataValidation>
    <dataValidation allowBlank="1" showInputMessage="1" showErrorMessage="1" prompt="Для выбора выполните двойной щелчок левой клавиши мыши по соответствующей ячейке." sqref="S203"/>
    <dataValidation type="textLength" operator="lessThanOrEqual" allowBlank="1" showInputMessage="1" showErrorMessage="1" errorTitle="Ошибка" error="Допускается ввод не более 900 символов!" sqref="V203">
      <formula1>900</formula1>
    </dataValidation>
    <dataValidation type="textLength" operator="lessThanOrEqual" allowBlank="1" showInputMessage="1" showErrorMessage="1" errorTitle="Ошибка" error="Допускается ввод не более 900 символов!" sqref="W203">
      <formula1>900</formula1>
    </dataValidation>
    <dataValidation allowBlank="1" showInputMessage="1" showErrorMessage="1" prompt="Для выбора выполните двойной щелчок левой клавиши мыши по соответствующей ячейке." sqref="F204"/>
    <dataValidation allowBlank="1" showInputMessage="1" showErrorMessage="1" prompt="Выберите виды деятельности, выполнив двойной щелчок левой кнопки мыши по ячейке." sqref="G204"/>
    <dataValidation type="textLength" operator="lessThanOrEqual" allowBlank="1" showInputMessage="1" showErrorMessage="1" errorTitle="Ошибка" error="Допускается ввод не более 900 символов!" sqref="J2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4"/>
    <dataValidation type="textLength" operator="lessThanOrEqual" allowBlank="1" showInputMessage="1" showErrorMessage="1" errorTitle="Ошибка" error="Допускается ввод не более 900 символов!" sqref="R204">
      <formula1>900</formula1>
    </dataValidation>
    <dataValidation allowBlank="1" showInputMessage="1" showErrorMessage="1" prompt="Для выбора выполните двойной щелчок левой клавиши мыши по соответствующей ячейке." sqref="S204"/>
    <dataValidation allowBlank="1" showInputMessage="1" showErrorMessage="1" prompt="Для выбора выполните двойной щелчок левой клавиши мыши по соответствующей ячейке." sqref="F205"/>
    <dataValidation allowBlank="1" showInputMessage="1" showErrorMessage="1" prompt="Выберите виды деятельности, выполнив двойной щелчок левой кнопки мыши по ячейке." sqref="G2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5"/>
    <dataValidation allowBlank="1" showInputMessage="1" showErrorMessage="1" prompt="Для выбора выполните двойной щелчок левой клавиши мыши по соответствующей ячейке." sqref="F206"/>
    <dataValidation allowBlank="1" showInputMessage="1" showErrorMessage="1" prompt="Выберите виды деятельности, выполнив двойной щелчок левой кнопки мыши по ячейке." sqref="G206"/>
    <dataValidation allowBlank="1" showInputMessage="1" showErrorMessage="1" prompt="Для выбора выполните двойной щелчок левой клавиши мыши по соответствующей ячейке." sqref="F207"/>
    <dataValidation allowBlank="1" showInputMessage="1" showErrorMessage="1" prompt="Выберите виды деятельности, выполнив двойной щелчок левой кнопки мыши по ячейке." sqref="G207"/>
    <dataValidation type="textLength" operator="lessThanOrEqual" allowBlank="1" showInputMessage="1" showErrorMessage="1" errorTitle="Ошибка" error="Допускается ввод не более 900 символов!" sqref="J207">
      <formula1>900</formula1>
    </dataValidation>
    <dataValidation allowBlank="1" showInputMessage="1" showErrorMessage="1" prompt="Для выбора выполните двойной щелчок левой клавиши мыши по соответствующей ячейке." sqref="K2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7"/>
    <dataValidation allowBlank="1" showInputMessage="1" showErrorMessage="1" prompt="Для выбора выполните двойной щелчок левой клавиши мыши по соответствующей ячейке." sqref="O207"/>
    <dataValidation type="textLength" operator="lessThanOrEqual" allowBlank="1" showInputMessage="1" showErrorMessage="1" errorTitle="Ошибка" error="Допускается ввод не более 900 символов!" sqref="R207">
      <formula1>900</formula1>
    </dataValidation>
    <dataValidation allowBlank="1" showInputMessage="1" showErrorMessage="1" prompt="Для выбора выполните двойной щелчок левой клавиши мыши по соответствующей ячейке." sqref="S207"/>
    <dataValidation type="textLength" operator="lessThanOrEqual" allowBlank="1" showInputMessage="1" showErrorMessage="1" errorTitle="Ошибка" error="Допускается ввод не более 900 символов!" sqref="V207">
      <formula1>900</formula1>
    </dataValidation>
    <dataValidation type="textLength" operator="lessThanOrEqual" allowBlank="1" showInputMessage="1" showErrorMessage="1" errorTitle="Ошибка" error="Допускается ввод не более 900 символов!" sqref="W207">
      <formula1>900</formula1>
    </dataValidation>
    <dataValidation allowBlank="1" showInputMessage="1" showErrorMessage="1" prompt="Для выбора выполните двойной щелчок левой клавиши мыши по соответствующей ячейке." sqref="F208"/>
    <dataValidation allowBlank="1" showInputMessage="1" showErrorMessage="1" prompt="Выберите виды деятельности, выполнив двойной щелчок левой кнопки мыши по ячейке." sqref="G208"/>
    <dataValidation type="textLength" operator="lessThanOrEqual" allowBlank="1" showInputMessage="1" showErrorMessage="1" errorTitle="Ошибка" error="Допускается ввод не более 900 символов!" sqref="J2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8"/>
    <dataValidation type="textLength" operator="lessThanOrEqual" allowBlank="1" showInputMessage="1" showErrorMessage="1" errorTitle="Ошибка" error="Допускается ввод не более 900 символов!" sqref="R208">
      <formula1>900</formula1>
    </dataValidation>
    <dataValidation allowBlank="1" showInputMessage="1" showErrorMessage="1" prompt="Для выбора выполните двойной щелчок левой клавиши мыши по соответствующей ячейке." sqref="S208"/>
    <dataValidation allowBlank="1" showInputMessage="1" showErrorMessage="1" prompt="Для выбора выполните двойной щелчок левой клавиши мыши по соответствующей ячейке." sqref="F209"/>
    <dataValidation allowBlank="1" showInputMessage="1" showErrorMessage="1" prompt="Выберите виды деятельности, выполнив двойной щелчок левой кнопки мыши по ячейке." sqref="G2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9"/>
    <dataValidation allowBlank="1" showInputMessage="1" showErrorMessage="1" prompt="Для выбора выполните двойной щелчок левой клавиши мыши по соответствующей ячейке." sqref="F210"/>
    <dataValidation allowBlank="1" showInputMessage="1" showErrorMessage="1" prompt="Выберите виды деятельности, выполнив двойной щелчок левой кнопки мыши по ячейке." sqref="G210"/>
    <dataValidation allowBlank="1" showInputMessage="1" showErrorMessage="1" prompt="Для выбора выполните двойной щелчок левой клавиши мыши по соответствующей ячейке." sqref="F211"/>
    <dataValidation allowBlank="1" showInputMessage="1" showErrorMessage="1" prompt="Выберите виды деятельности, выполнив двойной щелчок левой кнопки мыши по ячейке." sqref="G211"/>
    <dataValidation type="textLength" operator="lessThanOrEqual" allowBlank="1" showInputMessage="1" showErrorMessage="1" errorTitle="Ошибка" error="Допускается ввод не более 900 символов!" sqref="J211">
      <formula1>900</formula1>
    </dataValidation>
    <dataValidation allowBlank="1" showInputMessage="1" showErrorMessage="1" prompt="Для выбора выполните двойной щелчок левой клавиши мыши по соответствующей ячейке." sqref="K2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1"/>
    <dataValidation allowBlank="1" showInputMessage="1" showErrorMessage="1" prompt="Для выбора выполните двойной щелчок левой клавиши мыши по соответствующей ячейке." sqref="O211"/>
    <dataValidation type="textLength" operator="lessThanOrEqual" allowBlank="1" showInputMessage="1" showErrorMessage="1" errorTitle="Ошибка" error="Допускается ввод не более 900 символов!" sqref="R211">
      <formula1>900</formula1>
    </dataValidation>
    <dataValidation allowBlank="1" showInputMessage="1" showErrorMessage="1" prompt="Для выбора выполните двойной щелчок левой клавиши мыши по соответствующей ячейке." sqref="S211"/>
    <dataValidation type="textLength" operator="lessThanOrEqual" allowBlank="1" showInputMessage="1" showErrorMessage="1" errorTitle="Ошибка" error="Допускается ввод не более 900 символов!" sqref="V211">
      <formula1>900</formula1>
    </dataValidation>
    <dataValidation type="textLength" operator="lessThanOrEqual" allowBlank="1" showInputMessage="1" showErrorMessage="1" errorTitle="Ошибка" error="Допускается ввод не более 900 символов!" sqref="W211">
      <formula1>900</formula1>
    </dataValidation>
    <dataValidation allowBlank="1" showInputMessage="1" showErrorMessage="1" prompt="Для выбора выполните двойной щелчок левой клавиши мыши по соответствующей ячейке." sqref="F212"/>
    <dataValidation allowBlank="1" showInputMessage="1" showErrorMessage="1" prompt="Выберите виды деятельности, выполнив двойной щелчок левой кнопки мыши по ячейке." sqref="G212"/>
    <dataValidation type="textLength" operator="lessThanOrEqual" allowBlank="1" showInputMessage="1" showErrorMessage="1" errorTitle="Ошибка" error="Допускается ввод не более 900 символов!" sqref="J2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2"/>
    <dataValidation type="textLength" operator="lessThanOrEqual" allowBlank="1" showInputMessage="1" showErrorMessage="1" errorTitle="Ошибка" error="Допускается ввод не более 900 символов!" sqref="R212">
      <formula1>900</formula1>
    </dataValidation>
    <dataValidation allowBlank="1" showInputMessage="1" showErrorMessage="1" prompt="Для выбора выполните двойной щелчок левой клавиши мыши по соответствующей ячейке." sqref="S212"/>
    <dataValidation allowBlank="1" showInputMessage="1" showErrorMessage="1" prompt="Для выбора выполните двойной щелчок левой клавиши мыши по соответствующей ячейке." sqref="F213"/>
    <dataValidation allowBlank="1" showInputMessage="1" showErrorMessage="1" prompt="Выберите виды деятельности, выполнив двойной щелчок левой кнопки мыши по ячейке." sqref="G2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3"/>
    <dataValidation allowBlank="1" showInputMessage="1" showErrorMessage="1" prompt="Для выбора выполните двойной щелчок левой клавиши мыши по соответствующей ячейке." sqref="F214"/>
    <dataValidation allowBlank="1" showInputMessage="1" showErrorMessage="1" prompt="Выберите виды деятельности, выполнив двойной щелчок левой кнопки мыши по ячейке." sqref="G214"/>
    <dataValidation allowBlank="1" showInputMessage="1" showErrorMessage="1" prompt="Для выбора выполните двойной щелчок левой клавиши мыши по соответствующей ячейке." sqref="F215"/>
    <dataValidation allowBlank="1" showInputMessage="1" showErrorMessage="1" prompt="Выберите виды деятельности, выполнив двойной щелчок левой кнопки мыши по ячейке." sqref="G215"/>
    <dataValidation type="textLength" operator="lessThanOrEqual" allowBlank="1" showInputMessage="1" showErrorMessage="1" errorTitle="Ошибка" error="Допускается ввод не более 900 символов!" sqref="J215">
      <formula1>900</formula1>
    </dataValidation>
    <dataValidation allowBlank="1" showInputMessage="1" showErrorMessage="1" prompt="Для выбора выполните двойной щелчок левой клавиши мыши по соответствующей ячейке." sqref="K2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5"/>
    <dataValidation allowBlank="1" showInputMessage="1" showErrorMessage="1" prompt="Для выбора выполните двойной щелчок левой клавиши мыши по соответствующей ячейке." sqref="O215"/>
    <dataValidation type="textLength" operator="lessThanOrEqual" allowBlank="1" showInputMessage="1" showErrorMessage="1" errorTitle="Ошибка" error="Допускается ввод не более 900 символов!" sqref="R215">
      <formula1>900</formula1>
    </dataValidation>
    <dataValidation allowBlank="1" showInputMessage="1" showErrorMessage="1" prompt="Для выбора выполните двойной щелчок левой клавиши мыши по соответствующей ячейке." sqref="S215"/>
    <dataValidation type="textLength" operator="lessThanOrEqual" allowBlank="1" showInputMessage="1" showErrorMessage="1" errorTitle="Ошибка" error="Допускается ввод не более 900 символов!" sqref="V215">
      <formula1>900</formula1>
    </dataValidation>
    <dataValidation type="textLength" operator="lessThanOrEqual" allowBlank="1" showInputMessage="1" showErrorMessage="1" errorTitle="Ошибка" error="Допускается ввод не более 900 символов!" sqref="W215">
      <formula1>900</formula1>
    </dataValidation>
    <dataValidation allowBlank="1" showInputMessage="1" showErrorMessage="1" prompt="Для выбора выполните двойной щелчок левой клавиши мыши по соответствующей ячейке." sqref="F216"/>
    <dataValidation allowBlank="1" showInputMessage="1" showErrorMessage="1" prompt="Выберите виды деятельности, выполнив двойной щелчок левой кнопки мыши по ячейке." sqref="G216"/>
    <dataValidation type="textLength" operator="lessThanOrEqual" allowBlank="1" showInputMessage="1" showErrorMessage="1" errorTitle="Ошибка" error="Допускается ввод не более 900 символов!" sqref="J2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6"/>
    <dataValidation type="textLength" operator="lessThanOrEqual" allowBlank="1" showInputMessage="1" showErrorMessage="1" errorTitle="Ошибка" error="Допускается ввод не более 900 символов!" sqref="R216">
      <formula1>900</formula1>
    </dataValidation>
    <dataValidation allowBlank="1" showInputMessage="1" showErrorMessage="1" prompt="Для выбора выполните двойной щелчок левой клавиши мыши по соответствующей ячейке." sqref="S216"/>
    <dataValidation allowBlank="1" showInputMessage="1" showErrorMessage="1" prompt="Для выбора выполните двойной щелчок левой клавиши мыши по соответствующей ячейке." sqref="F217"/>
    <dataValidation allowBlank="1" showInputMessage="1" showErrorMessage="1" prompt="Выберите виды деятельности, выполнив двойной щелчок левой кнопки мыши по ячейке." sqref="G2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7"/>
    <dataValidation allowBlank="1" showInputMessage="1" showErrorMessage="1" prompt="Для выбора выполните двойной щелчок левой клавиши мыши по соответствующей ячейке." sqref="F218"/>
    <dataValidation allowBlank="1" showInputMessage="1" showErrorMessage="1" prompt="Выберите виды деятельности, выполнив двойной щелчок левой кнопки мыши по ячейке." sqref="G218"/>
    <dataValidation allowBlank="1" showInputMessage="1" showErrorMessage="1" prompt="Для выбора выполните двойной щелчок левой клавиши мыши по соответствующей ячейке." sqref="F219"/>
    <dataValidation allowBlank="1" showInputMessage="1" showErrorMessage="1" prompt="Выберите виды деятельности, выполнив двойной щелчок левой кнопки мыши по ячейке." sqref="G219"/>
    <dataValidation type="textLength" operator="lessThanOrEqual" allowBlank="1" showInputMessage="1" showErrorMessage="1" errorTitle="Ошибка" error="Допускается ввод не более 900 символов!" sqref="J219">
      <formula1>900</formula1>
    </dataValidation>
    <dataValidation allowBlank="1" showInputMessage="1" showErrorMessage="1" prompt="Для выбора выполните двойной щелчок левой клавиши мыши по соответствующей ячейке." sqref="K2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9"/>
    <dataValidation allowBlank="1" showInputMessage="1" showErrorMessage="1" prompt="Для выбора выполните двойной щелчок левой клавиши мыши по соответствующей ячейке." sqref="O219"/>
    <dataValidation type="textLength" operator="lessThanOrEqual" allowBlank="1" showInputMessage="1" showErrorMessage="1" errorTitle="Ошибка" error="Допускается ввод не более 900 символов!" sqref="R219">
      <formula1>900</formula1>
    </dataValidation>
    <dataValidation allowBlank="1" showInputMessage="1" showErrorMessage="1" prompt="Для выбора выполните двойной щелчок левой клавиши мыши по соответствующей ячейке." sqref="S219"/>
    <dataValidation type="textLength" operator="lessThanOrEqual" allowBlank="1" showInputMessage="1" showErrorMessage="1" errorTitle="Ошибка" error="Допускается ввод не более 900 символов!" sqref="V219">
      <formula1>900</formula1>
    </dataValidation>
    <dataValidation type="textLength" operator="lessThanOrEqual" allowBlank="1" showInputMessage="1" showErrorMessage="1" errorTitle="Ошибка" error="Допускается ввод не более 900 символов!" sqref="W219">
      <formula1>900</formula1>
    </dataValidation>
    <dataValidation allowBlank="1" showInputMessage="1" showErrorMessage="1" prompt="Для выбора выполните двойной щелчок левой клавиши мыши по соответствующей ячейке." sqref="F220"/>
    <dataValidation allowBlank="1" showInputMessage="1" showErrorMessage="1" prompt="Выберите виды деятельности, выполнив двойной щелчок левой кнопки мыши по ячейке." sqref="G220"/>
    <dataValidation type="textLength" operator="lessThanOrEqual" allowBlank="1" showInputMessage="1" showErrorMessage="1" errorTitle="Ошибка" error="Допускается ввод не более 900 символов!" sqref="J2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0"/>
    <dataValidation type="textLength" operator="lessThanOrEqual" allowBlank="1" showInputMessage="1" showErrorMessage="1" errorTitle="Ошибка" error="Допускается ввод не более 900 символов!" sqref="R220">
      <formula1>900</formula1>
    </dataValidation>
    <dataValidation allowBlank="1" showInputMessage="1" showErrorMessage="1" prompt="Для выбора выполните двойной щелчок левой клавиши мыши по соответствующей ячейке." sqref="S220"/>
    <dataValidation allowBlank="1" showInputMessage="1" showErrorMessage="1" prompt="Для выбора выполните двойной щелчок левой клавиши мыши по соответствующей ячейке." sqref="F221"/>
    <dataValidation allowBlank="1" showInputMessage="1" showErrorMessage="1" prompt="Выберите виды деятельности, выполнив двойной щелчок левой кнопки мыши по ячейке." sqref="G2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1"/>
    <dataValidation allowBlank="1" showInputMessage="1" showErrorMessage="1" prompt="Для выбора выполните двойной щелчок левой клавиши мыши по соответствующей ячейке." sqref="F222"/>
    <dataValidation allowBlank="1" showInputMessage="1" showErrorMessage="1" prompt="Выберите виды деятельности, выполнив двойной щелчок левой кнопки мыши по ячейке." sqref="G222"/>
    <dataValidation allowBlank="1" showInputMessage="1" showErrorMessage="1" prompt="Для выбора выполните двойной щелчок левой клавиши мыши по соответствующей ячейке." sqref="F223"/>
    <dataValidation allowBlank="1" showInputMessage="1" showErrorMessage="1" prompt="Выберите виды деятельности, выполнив двойной щелчок левой кнопки мыши по ячейке." sqref="G223"/>
    <dataValidation type="textLength" operator="lessThanOrEqual" allowBlank="1" showInputMessage="1" showErrorMessage="1" errorTitle="Ошибка" error="Допускается ввод не более 900 символов!" sqref="J223">
      <formula1>900</formula1>
    </dataValidation>
    <dataValidation allowBlank="1" showInputMessage="1" showErrorMessage="1" prompt="Для выбора выполните двойной щелчок левой клавиши мыши по соответствующей ячейке." sqref="K2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3"/>
    <dataValidation allowBlank="1" showInputMessage="1" showErrorMessage="1" prompt="Для выбора выполните двойной щелчок левой клавиши мыши по соответствующей ячейке." sqref="O223"/>
    <dataValidation type="textLength" operator="lessThanOrEqual" allowBlank="1" showInputMessage="1" showErrorMessage="1" errorTitle="Ошибка" error="Допускается ввод не более 900 символов!" sqref="R223">
      <formula1>900</formula1>
    </dataValidation>
    <dataValidation allowBlank="1" showInputMessage="1" showErrorMessage="1" prompt="Для выбора выполните двойной щелчок левой клавиши мыши по соответствующей ячейке." sqref="S223"/>
    <dataValidation type="textLength" operator="lessThanOrEqual" allowBlank="1" showInputMessage="1" showErrorMessage="1" errorTitle="Ошибка" error="Допускается ввод не более 900 символов!" sqref="V223">
      <formula1>900</formula1>
    </dataValidation>
    <dataValidation type="textLength" operator="lessThanOrEqual" allowBlank="1" showInputMessage="1" showErrorMessage="1" errorTitle="Ошибка" error="Допускается ввод не более 900 символов!" sqref="W223">
      <formula1>900</formula1>
    </dataValidation>
    <dataValidation allowBlank="1" showInputMessage="1" showErrorMessage="1" prompt="Для выбора выполните двойной щелчок левой клавиши мыши по соответствующей ячейке." sqref="F224"/>
    <dataValidation allowBlank="1" showInputMessage="1" showErrorMessage="1" prompt="Выберите виды деятельности, выполнив двойной щелчок левой кнопки мыши по ячейке." sqref="G224"/>
    <dataValidation type="textLength" operator="lessThanOrEqual" allowBlank="1" showInputMessage="1" showErrorMessage="1" errorTitle="Ошибка" error="Допускается ввод не более 900 символов!" sqref="J2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4"/>
    <dataValidation type="textLength" operator="lessThanOrEqual" allowBlank="1" showInputMessage="1" showErrorMessage="1" errorTitle="Ошибка" error="Допускается ввод не более 900 символов!" sqref="R224">
      <formula1>900</formula1>
    </dataValidation>
    <dataValidation allowBlank="1" showInputMessage="1" showErrorMessage="1" prompt="Для выбора выполните двойной щелчок левой клавиши мыши по соответствующей ячейке." sqref="S224"/>
    <dataValidation allowBlank="1" showInputMessage="1" showErrorMessage="1" prompt="Для выбора выполните двойной щелчок левой клавиши мыши по соответствующей ячейке." sqref="F225"/>
    <dataValidation allowBlank="1" showInputMessage="1" showErrorMessage="1" prompt="Выберите виды деятельности, выполнив двойной щелчок левой кнопки мыши по ячейке." sqref="G2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5"/>
    <dataValidation allowBlank="1" showInputMessage="1" showErrorMessage="1" prompt="Для выбора выполните двойной щелчок левой клавиши мыши по соответствующей ячейке." sqref="F226"/>
    <dataValidation allowBlank="1" showInputMessage="1" showErrorMessage="1" prompt="Выберите виды деятельности, выполнив двойной щелчок левой кнопки мыши по ячейке." sqref="G226"/>
    <dataValidation allowBlank="1" showInputMessage="1" showErrorMessage="1" prompt="Для выбора выполните двойной щелчок левой клавиши мыши по соответствующей ячейке." sqref="F227"/>
    <dataValidation allowBlank="1" showInputMessage="1" showErrorMessage="1" prompt="Выберите виды деятельности, выполнив двойной щелчок левой кнопки мыши по ячейке." sqref="G227"/>
    <dataValidation type="textLength" operator="lessThanOrEqual" allowBlank="1" showInputMessage="1" showErrorMessage="1" errorTitle="Ошибка" error="Допускается ввод не более 900 символов!" sqref="J227">
      <formula1>900</formula1>
    </dataValidation>
    <dataValidation allowBlank="1" showInputMessage="1" showErrorMessage="1" prompt="Для выбора выполните двойной щелчок левой клавиши мыши по соответствующей ячейке." sqref="K2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7"/>
    <dataValidation allowBlank="1" showInputMessage="1" showErrorMessage="1" prompt="Для выбора выполните двойной щелчок левой клавиши мыши по соответствующей ячейке." sqref="O227"/>
    <dataValidation type="textLength" operator="lessThanOrEqual" allowBlank="1" showInputMessage="1" showErrorMessage="1" errorTitle="Ошибка" error="Допускается ввод не более 900 символов!" sqref="R227">
      <formula1>900</formula1>
    </dataValidation>
    <dataValidation allowBlank="1" showInputMessage="1" showErrorMessage="1" prompt="Для выбора выполните двойной щелчок левой клавиши мыши по соответствующей ячейке." sqref="S227"/>
    <dataValidation type="textLength" operator="lessThanOrEqual" allowBlank="1" showInputMessage="1" showErrorMessage="1" errorTitle="Ошибка" error="Допускается ввод не более 900 символов!" sqref="V227">
      <formula1>900</formula1>
    </dataValidation>
    <dataValidation type="textLength" operator="lessThanOrEqual" allowBlank="1" showInputMessage="1" showErrorMessage="1" errorTitle="Ошибка" error="Допускается ввод не более 900 символов!" sqref="W227">
      <formula1>900</formula1>
    </dataValidation>
    <dataValidation allowBlank="1" showInputMessage="1" showErrorMessage="1" prompt="Для выбора выполните двойной щелчок левой клавиши мыши по соответствующей ячейке." sqref="F228"/>
    <dataValidation allowBlank="1" showInputMessage="1" showErrorMessage="1" prompt="Выберите виды деятельности, выполнив двойной щелчок левой кнопки мыши по ячейке." sqref="G228"/>
    <dataValidation type="textLength" operator="lessThanOrEqual" allowBlank="1" showInputMessage="1" showErrorMessage="1" errorTitle="Ошибка" error="Допускается ввод не более 900 символов!" sqref="J2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8"/>
    <dataValidation type="textLength" operator="lessThanOrEqual" allowBlank="1" showInputMessage="1" showErrorMessage="1" errorTitle="Ошибка" error="Допускается ввод не более 900 символов!" sqref="R228">
      <formula1>900</formula1>
    </dataValidation>
    <dataValidation allowBlank="1" showInputMessage="1" showErrorMessage="1" prompt="Для выбора выполните двойной щелчок левой клавиши мыши по соответствующей ячейке." sqref="S228"/>
    <dataValidation allowBlank="1" showInputMessage="1" showErrorMessage="1" prompt="Для выбора выполните двойной щелчок левой клавиши мыши по соответствующей ячейке." sqref="F229"/>
    <dataValidation allowBlank="1" showInputMessage="1" showErrorMessage="1" prompt="Выберите виды деятельности, выполнив двойной щелчок левой кнопки мыши по ячейке." sqref="G2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9"/>
    <dataValidation allowBlank="1" showInputMessage="1" showErrorMessage="1" prompt="Для выбора выполните двойной щелчок левой клавиши мыши по соответствующей ячейке." sqref="F230"/>
    <dataValidation allowBlank="1" showInputMessage="1" showErrorMessage="1" prompt="Выберите виды деятельности, выполнив двойной щелчок левой кнопки мыши по ячейке." sqref="G230"/>
    <dataValidation allowBlank="1" showInputMessage="1" showErrorMessage="1" prompt="Для выбора выполните двойной щелчок левой клавиши мыши по соответствующей ячейке." sqref="F231"/>
    <dataValidation allowBlank="1" showInputMessage="1" showErrorMessage="1" prompt="Выберите виды деятельности, выполнив двойной щелчок левой кнопки мыши по ячейке." sqref="G231"/>
    <dataValidation type="textLength" operator="lessThanOrEqual" allowBlank="1" showInputMessage="1" showErrorMessage="1" errorTitle="Ошибка" error="Допускается ввод не более 900 символов!" sqref="J231">
      <formula1>900</formula1>
    </dataValidation>
    <dataValidation allowBlank="1" showInputMessage="1" showErrorMessage="1" prompt="Для выбора выполните двойной щелчок левой клавиши мыши по соответствующей ячейке." sqref="K2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1"/>
    <dataValidation allowBlank="1" showInputMessage="1" showErrorMessage="1" prompt="Для выбора выполните двойной щелчок левой клавиши мыши по соответствующей ячейке." sqref="O231"/>
    <dataValidation type="textLength" operator="lessThanOrEqual" allowBlank="1" showInputMessage="1" showErrorMessage="1" errorTitle="Ошибка" error="Допускается ввод не более 900 символов!" sqref="R231">
      <formula1>900</formula1>
    </dataValidation>
    <dataValidation allowBlank="1" showInputMessage="1" showErrorMessage="1" prompt="Для выбора выполните двойной щелчок левой клавиши мыши по соответствующей ячейке." sqref="S231"/>
    <dataValidation type="textLength" operator="lessThanOrEqual" allowBlank="1" showInputMessage="1" showErrorMessage="1" errorTitle="Ошибка" error="Допускается ввод не более 900 символов!" sqref="V231">
      <formula1>900</formula1>
    </dataValidation>
    <dataValidation type="textLength" operator="lessThanOrEqual" allowBlank="1" showInputMessage="1" showErrorMessage="1" errorTitle="Ошибка" error="Допускается ввод не более 900 символов!" sqref="W231">
      <formula1>900</formula1>
    </dataValidation>
    <dataValidation allowBlank="1" showInputMessage="1" showErrorMessage="1" prompt="Для выбора выполните двойной щелчок левой клавиши мыши по соответствующей ячейке." sqref="F232"/>
    <dataValidation allowBlank="1" showInputMessage="1" showErrorMessage="1" prompt="Выберите виды деятельности, выполнив двойной щелчок левой кнопки мыши по ячейке." sqref="G232"/>
    <dataValidation type="textLength" operator="lessThanOrEqual" allowBlank="1" showInputMessage="1" showErrorMessage="1" errorTitle="Ошибка" error="Допускается ввод не более 900 символов!" sqref="J2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2"/>
    <dataValidation type="textLength" operator="lessThanOrEqual" allowBlank="1" showInputMessage="1" showErrorMessage="1" errorTitle="Ошибка" error="Допускается ввод не более 900 символов!" sqref="R232">
      <formula1>900</formula1>
    </dataValidation>
    <dataValidation allowBlank="1" showInputMessage="1" showErrorMessage="1" prompt="Для выбора выполните двойной щелчок левой клавиши мыши по соответствующей ячейке." sqref="S232"/>
    <dataValidation allowBlank="1" showInputMessage="1" showErrorMessage="1" prompt="Для выбора выполните двойной щелчок левой клавиши мыши по соответствующей ячейке." sqref="F233"/>
    <dataValidation allowBlank="1" showInputMessage="1" showErrorMessage="1" prompt="Выберите виды деятельности, выполнив двойной щелчок левой кнопки мыши по ячейке." sqref="G2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3"/>
    <dataValidation allowBlank="1" showInputMessage="1" showErrorMessage="1" prompt="Для выбора выполните двойной щелчок левой клавиши мыши по соответствующей ячейке." sqref="F234"/>
    <dataValidation allowBlank="1" showInputMessage="1" showErrorMessage="1" prompt="Выберите виды деятельности, выполнив двойной щелчок левой кнопки мыши по ячейке." sqref="G234"/>
    <dataValidation allowBlank="1" showInputMessage="1" showErrorMessage="1" prompt="Для выбора выполните двойной щелчок левой клавиши мыши по соответствующей ячейке." sqref="F235"/>
    <dataValidation allowBlank="1" showInputMessage="1" showErrorMessage="1" prompt="Выберите виды деятельности, выполнив двойной щелчок левой кнопки мыши по ячейке." sqref="G235"/>
    <dataValidation type="textLength" operator="lessThanOrEqual" allowBlank="1" showInputMessage="1" showErrorMessage="1" errorTitle="Ошибка" error="Допускается ввод не более 900 символов!" sqref="J235">
      <formula1>900</formula1>
    </dataValidation>
    <dataValidation allowBlank="1" showInputMessage="1" showErrorMessage="1" prompt="Для выбора выполните двойной щелчок левой клавиши мыши по соответствующей ячейке." sqref="K2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5"/>
    <dataValidation allowBlank="1" showInputMessage="1" showErrorMessage="1" prompt="Для выбора выполните двойной щелчок левой клавиши мыши по соответствующей ячейке." sqref="O235"/>
    <dataValidation type="textLength" operator="lessThanOrEqual" allowBlank="1" showInputMessage="1" showErrorMessage="1" errorTitle="Ошибка" error="Допускается ввод не более 900 символов!" sqref="R235">
      <formula1>900</formula1>
    </dataValidation>
    <dataValidation allowBlank="1" showInputMessage="1" showErrorMessage="1" prompt="Для выбора выполните двойной щелчок левой клавиши мыши по соответствующей ячейке." sqref="S235"/>
    <dataValidation type="textLength" operator="lessThanOrEqual" allowBlank="1" showInputMessage="1" showErrorMessage="1" errorTitle="Ошибка" error="Допускается ввод не более 900 символов!" sqref="V235">
      <formula1>900</formula1>
    </dataValidation>
    <dataValidation type="textLength" operator="lessThanOrEqual" allowBlank="1" showInputMessage="1" showErrorMessage="1" errorTitle="Ошибка" error="Допускается ввод не более 900 символов!" sqref="W235">
      <formula1>900</formula1>
    </dataValidation>
    <dataValidation allowBlank="1" showInputMessage="1" showErrorMessage="1" prompt="Для выбора выполните двойной щелчок левой клавиши мыши по соответствующей ячейке." sqref="F236"/>
    <dataValidation allowBlank="1" showInputMessage="1" showErrorMessage="1" prompt="Выберите виды деятельности, выполнив двойной щелчок левой кнопки мыши по ячейке." sqref="G236"/>
    <dataValidation type="textLength" operator="lessThanOrEqual" allowBlank="1" showInputMessage="1" showErrorMessage="1" errorTitle="Ошибка" error="Допускается ввод не более 900 символов!" sqref="J2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6"/>
    <dataValidation type="textLength" operator="lessThanOrEqual" allowBlank="1" showInputMessage="1" showErrorMessage="1" errorTitle="Ошибка" error="Допускается ввод не более 900 символов!" sqref="R236">
      <formula1>900</formula1>
    </dataValidation>
    <dataValidation allowBlank="1" showInputMessage="1" showErrorMessage="1" prompt="Для выбора выполните двойной щелчок левой клавиши мыши по соответствующей ячейке." sqref="S236"/>
    <dataValidation allowBlank="1" showInputMessage="1" showErrorMessage="1" prompt="Для выбора выполните двойной щелчок левой клавиши мыши по соответствующей ячейке." sqref="F237"/>
    <dataValidation allowBlank="1" showInputMessage="1" showErrorMessage="1" prompt="Выберите виды деятельности, выполнив двойной щелчок левой кнопки мыши по ячейке." sqref="G2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7"/>
    <dataValidation allowBlank="1" showInputMessage="1" showErrorMessage="1" prompt="Для выбора выполните двойной щелчок левой клавиши мыши по соответствующей ячейке." sqref="F238"/>
    <dataValidation allowBlank="1" showInputMessage="1" showErrorMessage="1" prompt="Выберите виды деятельности, выполнив двойной щелчок левой кнопки мыши по ячейке." sqref="G238"/>
    <dataValidation allowBlank="1" showInputMessage="1" showErrorMessage="1" prompt="Для выбора выполните двойной щелчок левой клавиши мыши по соответствующей ячейке." sqref="F239"/>
    <dataValidation allowBlank="1" showInputMessage="1" showErrorMessage="1" prompt="Выберите виды деятельности, выполнив двойной щелчок левой кнопки мыши по ячейке." sqref="G239"/>
    <dataValidation type="textLength" operator="lessThanOrEqual" allowBlank="1" showInputMessage="1" showErrorMessage="1" errorTitle="Ошибка" error="Допускается ввод не более 900 символов!" sqref="J239">
      <formula1>900</formula1>
    </dataValidation>
    <dataValidation allowBlank="1" showInputMessage="1" showErrorMessage="1" prompt="Для выбора выполните двойной щелчок левой клавиши мыши по соответствующей ячейке." sqref="K2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9"/>
    <dataValidation allowBlank="1" showInputMessage="1" showErrorMessage="1" prompt="Для выбора выполните двойной щелчок левой клавиши мыши по соответствующей ячейке." sqref="O239"/>
    <dataValidation type="textLength" operator="lessThanOrEqual" allowBlank="1" showInputMessage="1" showErrorMessage="1" errorTitle="Ошибка" error="Допускается ввод не более 900 символов!" sqref="R239">
      <formula1>900</formula1>
    </dataValidation>
    <dataValidation allowBlank="1" showInputMessage="1" showErrorMessage="1" prompt="Для выбора выполните двойной щелчок левой клавиши мыши по соответствующей ячейке." sqref="S239"/>
    <dataValidation type="textLength" operator="lessThanOrEqual" allowBlank="1" showInputMessage="1" showErrorMessage="1" errorTitle="Ошибка" error="Допускается ввод не более 900 символов!" sqref="V239">
      <formula1>900</formula1>
    </dataValidation>
    <dataValidation type="textLength" operator="lessThanOrEqual" allowBlank="1" showInputMessage="1" showErrorMessage="1" errorTitle="Ошибка" error="Допускается ввод не более 900 символов!" sqref="W239">
      <formula1>900</formula1>
    </dataValidation>
    <dataValidation allowBlank="1" showInputMessage="1" showErrorMessage="1" prompt="Для выбора выполните двойной щелчок левой клавиши мыши по соответствующей ячейке." sqref="F240"/>
    <dataValidation allowBlank="1" showInputMessage="1" showErrorMessage="1" prompt="Выберите виды деятельности, выполнив двойной щелчок левой кнопки мыши по ячейке." sqref="G240"/>
    <dataValidation type="textLength" operator="lessThanOrEqual" allowBlank="1" showInputMessage="1" showErrorMessage="1" errorTitle="Ошибка" error="Допускается ввод не более 900 символов!" sqref="J2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0"/>
    <dataValidation type="textLength" operator="lessThanOrEqual" allowBlank="1" showInputMessage="1" showErrorMessage="1" errorTitle="Ошибка" error="Допускается ввод не более 900 символов!" sqref="R240">
      <formula1>900</formula1>
    </dataValidation>
    <dataValidation allowBlank="1" showInputMessage="1" showErrorMessage="1" prompt="Для выбора выполните двойной щелчок левой клавиши мыши по соответствующей ячейке." sqref="S240"/>
    <dataValidation allowBlank="1" showInputMessage="1" showErrorMessage="1" prompt="Для выбора выполните двойной щелчок левой клавиши мыши по соответствующей ячейке." sqref="F241"/>
    <dataValidation allowBlank="1" showInputMessage="1" showErrorMessage="1" prompt="Выберите виды деятельности, выполнив двойной щелчок левой кнопки мыши по ячейке." sqref="G2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1"/>
    <dataValidation allowBlank="1" showInputMessage="1" showErrorMessage="1" prompt="Для выбора выполните двойной щелчок левой клавиши мыши по соответствующей ячейке." sqref="F242"/>
    <dataValidation allowBlank="1" showInputMessage="1" showErrorMessage="1" prompt="Выберите виды деятельности, выполнив двойной щелчок левой кнопки мыши по ячейке." sqref="G242"/>
    <dataValidation allowBlank="1" showInputMessage="1" showErrorMessage="1" prompt="Для выбора выполните двойной щелчок левой клавиши мыши по соответствующей ячейке." sqref="F243"/>
    <dataValidation allowBlank="1" showInputMessage="1" showErrorMessage="1" prompt="Выберите виды деятельности, выполнив двойной щелчок левой кнопки мыши по ячейке." sqref="G243"/>
    <dataValidation type="textLength" operator="lessThanOrEqual" allowBlank="1" showInputMessage="1" showErrorMessage="1" errorTitle="Ошибка" error="Допускается ввод не более 900 символов!" sqref="J243">
      <formula1>900</formula1>
    </dataValidation>
    <dataValidation allowBlank="1" showInputMessage="1" showErrorMessage="1" prompt="Для выбора выполните двойной щелчок левой клавиши мыши по соответствующей ячейке." sqref="K2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3"/>
    <dataValidation allowBlank="1" showInputMessage="1" showErrorMessage="1" prompt="Для выбора выполните двойной щелчок левой клавиши мыши по соответствующей ячейке." sqref="O243"/>
    <dataValidation type="textLength" operator="lessThanOrEqual" allowBlank="1" showInputMessage="1" showErrorMessage="1" errorTitle="Ошибка" error="Допускается ввод не более 900 символов!" sqref="R243">
      <formula1>900</formula1>
    </dataValidation>
    <dataValidation allowBlank="1" showInputMessage="1" showErrorMessage="1" prompt="Для выбора выполните двойной щелчок левой клавиши мыши по соответствующей ячейке." sqref="S243"/>
    <dataValidation type="textLength" operator="lessThanOrEqual" allowBlank="1" showInputMessage="1" showErrorMessage="1" errorTitle="Ошибка" error="Допускается ввод не более 900 символов!" sqref="V243">
      <formula1>900</formula1>
    </dataValidation>
    <dataValidation type="textLength" operator="lessThanOrEqual" allowBlank="1" showInputMessage="1" showErrorMessage="1" errorTitle="Ошибка" error="Допускается ввод не более 900 символов!" sqref="W243">
      <formula1>900</formula1>
    </dataValidation>
    <dataValidation allowBlank="1" showInputMessage="1" showErrorMessage="1" prompt="Для выбора выполните двойной щелчок левой клавиши мыши по соответствующей ячейке." sqref="F244"/>
    <dataValidation allowBlank="1" showInputMessage="1" showErrorMessage="1" prompt="Выберите виды деятельности, выполнив двойной щелчок левой кнопки мыши по ячейке." sqref="G244"/>
    <dataValidation type="textLength" operator="lessThanOrEqual" allowBlank="1" showInputMessage="1" showErrorMessage="1" errorTitle="Ошибка" error="Допускается ввод не более 900 символов!" sqref="J2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4"/>
    <dataValidation type="textLength" operator="lessThanOrEqual" allowBlank="1" showInputMessage="1" showErrorMessage="1" errorTitle="Ошибка" error="Допускается ввод не более 900 символов!" sqref="R244">
      <formula1>900</formula1>
    </dataValidation>
    <dataValidation allowBlank="1" showInputMessage="1" showErrorMessage="1" prompt="Для выбора выполните двойной щелчок левой клавиши мыши по соответствующей ячейке." sqref="S244"/>
    <dataValidation allowBlank="1" showInputMessage="1" showErrorMessage="1" prompt="Для выбора выполните двойной щелчок левой клавиши мыши по соответствующей ячейке." sqref="F245"/>
    <dataValidation allowBlank="1" showInputMessage="1" showErrorMessage="1" prompt="Выберите виды деятельности, выполнив двойной щелчок левой кнопки мыши по ячейке." sqref="G2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5"/>
    <dataValidation allowBlank="1" showInputMessage="1" showErrorMessage="1" prompt="Для выбора выполните двойной щелчок левой клавиши мыши по соответствующей ячейке." sqref="F246"/>
    <dataValidation allowBlank="1" showInputMessage="1" showErrorMessage="1" prompt="Выберите виды деятельности, выполнив двойной щелчок левой кнопки мыши по ячейке." sqref="G246"/>
    <dataValidation allowBlank="1" showInputMessage="1" showErrorMessage="1" prompt="Для выбора выполните двойной щелчок левой клавиши мыши по соответствующей ячейке." sqref="F247"/>
    <dataValidation allowBlank="1" showInputMessage="1" showErrorMessage="1" prompt="Выберите виды деятельности, выполнив двойной щелчок левой кнопки мыши по ячейке." sqref="G247"/>
    <dataValidation type="textLength" operator="lessThanOrEqual" allowBlank="1" showInputMessage="1" showErrorMessage="1" errorTitle="Ошибка" error="Допускается ввод не более 900 символов!" sqref="J247">
      <formula1>900</formula1>
    </dataValidation>
    <dataValidation allowBlank="1" showInputMessage="1" showErrorMessage="1" prompt="Для выбора выполните двойной щелчок левой клавиши мыши по соответствующей ячейке." sqref="K2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7"/>
    <dataValidation allowBlank="1" showInputMessage="1" showErrorMessage="1" prompt="Для выбора выполните двойной щелчок левой клавиши мыши по соответствующей ячейке." sqref="O247"/>
    <dataValidation type="textLength" operator="lessThanOrEqual" allowBlank="1" showInputMessage="1" showErrorMessage="1" errorTitle="Ошибка" error="Допускается ввод не более 900 символов!" sqref="R247">
      <formula1>900</formula1>
    </dataValidation>
    <dataValidation allowBlank="1" showInputMessage="1" showErrorMessage="1" prompt="Для выбора выполните двойной щелчок левой клавиши мыши по соответствующей ячейке." sqref="S247"/>
    <dataValidation type="textLength" operator="lessThanOrEqual" allowBlank="1" showInputMessage="1" showErrorMessage="1" errorTitle="Ошибка" error="Допускается ввод не более 900 символов!" sqref="V247">
      <formula1>900</formula1>
    </dataValidation>
    <dataValidation type="textLength" operator="lessThanOrEqual" allowBlank="1" showInputMessage="1" showErrorMessage="1" errorTitle="Ошибка" error="Допускается ввод не более 900 символов!" sqref="W247">
      <formula1>900</formula1>
    </dataValidation>
    <dataValidation allowBlank="1" showInputMessage="1" showErrorMessage="1" prompt="Для выбора выполните двойной щелчок левой клавиши мыши по соответствующей ячейке." sqref="F248"/>
    <dataValidation allowBlank="1" showInputMessage="1" showErrorMessage="1" prompt="Выберите виды деятельности, выполнив двойной щелчок левой кнопки мыши по ячейке." sqref="G248"/>
    <dataValidation type="textLength" operator="lessThanOrEqual" allowBlank="1" showInputMessage="1" showErrorMessage="1" errorTitle="Ошибка" error="Допускается ввод не более 900 символов!" sqref="J2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8"/>
    <dataValidation type="textLength" operator="lessThanOrEqual" allowBlank="1" showInputMessage="1" showErrorMessage="1" errorTitle="Ошибка" error="Допускается ввод не более 900 символов!" sqref="R248">
      <formula1>900</formula1>
    </dataValidation>
    <dataValidation allowBlank="1" showInputMessage="1" showErrorMessage="1" prompt="Для выбора выполните двойной щелчок левой клавиши мыши по соответствующей ячейке." sqref="S248"/>
    <dataValidation allowBlank="1" showInputMessage="1" showErrorMessage="1" prompt="Для выбора выполните двойной щелчок левой клавиши мыши по соответствующей ячейке." sqref="F249"/>
    <dataValidation allowBlank="1" showInputMessage="1" showErrorMessage="1" prompt="Выберите виды деятельности, выполнив двойной щелчок левой кнопки мыши по ячейке." sqref="G2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9"/>
    <dataValidation allowBlank="1" showInputMessage="1" showErrorMessage="1" prompt="Для выбора выполните двойной щелчок левой клавиши мыши по соответствующей ячейке." sqref="F250"/>
    <dataValidation allowBlank="1" showInputMessage="1" showErrorMessage="1" prompt="Выберите виды деятельности, выполнив двойной щелчок левой кнопки мыши по ячейке." sqref="G250"/>
    <dataValidation allowBlank="1" showInputMessage="1" showErrorMessage="1" prompt="Для выбора выполните двойной щелчок левой клавиши мыши по соответствующей ячейке." sqref="F251"/>
    <dataValidation allowBlank="1" showInputMessage="1" showErrorMessage="1" prompt="Выберите виды деятельности, выполнив двойной щелчок левой кнопки мыши по ячейке." sqref="G251"/>
    <dataValidation type="textLength" operator="lessThanOrEqual" allowBlank="1" showInputMessage="1" showErrorMessage="1" errorTitle="Ошибка" error="Допускается ввод не более 900 символов!" sqref="J251">
      <formula1>900</formula1>
    </dataValidation>
    <dataValidation allowBlank="1" showInputMessage="1" showErrorMessage="1" prompt="Для выбора выполните двойной щелчок левой клавиши мыши по соответствующей ячейке." sqref="K2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1"/>
    <dataValidation allowBlank="1" showInputMessage="1" showErrorMessage="1" prompt="Для выбора выполните двойной щелчок левой клавиши мыши по соответствующей ячейке." sqref="O251"/>
    <dataValidation type="textLength" operator="lessThanOrEqual" allowBlank="1" showInputMessage="1" showErrorMessage="1" errorTitle="Ошибка" error="Допускается ввод не более 900 символов!" sqref="R251">
      <formula1>900</formula1>
    </dataValidation>
    <dataValidation allowBlank="1" showInputMessage="1" showErrorMessage="1" prompt="Для выбора выполните двойной щелчок левой клавиши мыши по соответствующей ячейке." sqref="S251"/>
    <dataValidation type="textLength" operator="lessThanOrEqual" allowBlank="1" showInputMessage="1" showErrorMessage="1" errorTitle="Ошибка" error="Допускается ввод не более 900 символов!" sqref="V251">
      <formula1>900</formula1>
    </dataValidation>
    <dataValidation type="textLength" operator="lessThanOrEqual" allowBlank="1" showInputMessage="1" showErrorMessage="1" errorTitle="Ошибка" error="Допускается ввод не более 900 символов!" sqref="W251">
      <formula1>900</formula1>
    </dataValidation>
    <dataValidation allowBlank="1" showInputMessage="1" showErrorMessage="1" prompt="Для выбора выполните двойной щелчок левой клавиши мыши по соответствующей ячейке." sqref="F252"/>
    <dataValidation allowBlank="1" showInputMessage="1" showErrorMessage="1" prompt="Выберите виды деятельности, выполнив двойной щелчок левой кнопки мыши по ячейке." sqref="G252"/>
    <dataValidation type="textLength" operator="lessThanOrEqual" allowBlank="1" showInputMessage="1" showErrorMessage="1" errorTitle="Ошибка" error="Допускается ввод не более 900 символов!" sqref="J2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2"/>
    <dataValidation type="textLength" operator="lessThanOrEqual" allowBlank="1" showInputMessage="1" showErrorMessage="1" errorTitle="Ошибка" error="Допускается ввод не более 900 символов!" sqref="R252">
      <formula1>900</formula1>
    </dataValidation>
    <dataValidation allowBlank="1" showInputMessage="1" showErrorMessage="1" prompt="Для выбора выполните двойной щелчок левой клавиши мыши по соответствующей ячейке." sqref="S252"/>
    <dataValidation allowBlank="1" showInputMessage="1" showErrorMessage="1" prompt="Для выбора выполните двойной щелчок левой клавиши мыши по соответствующей ячейке." sqref="F253"/>
    <dataValidation allowBlank="1" showInputMessage="1" showErrorMessage="1" prompt="Выберите виды деятельности, выполнив двойной щелчок левой кнопки мыши по ячейке." sqref="G2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3"/>
    <dataValidation allowBlank="1" showInputMessage="1" showErrorMessage="1" prompt="Для выбора выполните двойной щелчок левой клавиши мыши по соответствующей ячейке." sqref="F254"/>
    <dataValidation allowBlank="1" showInputMessage="1" showErrorMessage="1" prompt="Выберите виды деятельности, выполнив двойной щелчок левой кнопки мыши по ячейке." sqref="G254"/>
    <dataValidation allowBlank="1" showInputMessage="1" showErrorMessage="1" prompt="Для выбора выполните двойной щелчок левой клавиши мыши по соответствующей ячейке." sqref="F255"/>
    <dataValidation allowBlank="1" showInputMessage="1" showErrorMessage="1" prompt="Выберите виды деятельности, выполнив двойной щелчок левой кнопки мыши по ячейке." sqref="G255"/>
    <dataValidation type="textLength" operator="lessThanOrEqual" allowBlank="1" showInputMessage="1" showErrorMessage="1" errorTitle="Ошибка" error="Допускается ввод не более 900 символов!" sqref="J255">
      <formula1>900</formula1>
    </dataValidation>
    <dataValidation allowBlank="1" showInputMessage="1" showErrorMessage="1" prompt="Для выбора выполните двойной щелчок левой клавиши мыши по соответствующей ячейке." sqref="K2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5"/>
    <dataValidation allowBlank="1" showInputMessage="1" showErrorMessage="1" prompt="Для выбора выполните двойной щелчок левой клавиши мыши по соответствующей ячейке." sqref="O255"/>
    <dataValidation type="textLength" operator="lessThanOrEqual" allowBlank="1" showInputMessage="1" showErrorMessage="1" errorTitle="Ошибка" error="Допускается ввод не более 900 символов!" sqref="R255">
      <formula1>900</formula1>
    </dataValidation>
    <dataValidation allowBlank="1" showInputMessage="1" showErrorMessage="1" prompt="Для выбора выполните двойной щелчок левой клавиши мыши по соответствующей ячейке." sqref="S255"/>
    <dataValidation type="textLength" operator="lessThanOrEqual" allowBlank="1" showInputMessage="1" showErrorMessage="1" errorTitle="Ошибка" error="Допускается ввод не более 900 символов!" sqref="V255">
      <formula1>900</formula1>
    </dataValidation>
    <dataValidation type="textLength" operator="lessThanOrEqual" allowBlank="1" showInputMessage="1" showErrorMessage="1" errorTitle="Ошибка" error="Допускается ввод не более 900 символов!" sqref="W255">
      <formula1>900</formula1>
    </dataValidation>
    <dataValidation allowBlank="1" showInputMessage="1" showErrorMessage="1" prompt="Для выбора выполните двойной щелчок левой клавиши мыши по соответствующей ячейке." sqref="F256"/>
    <dataValidation allowBlank="1" showInputMessage="1" showErrorMessage="1" prompt="Выберите виды деятельности, выполнив двойной щелчок левой кнопки мыши по ячейке." sqref="G256"/>
    <dataValidation type="textLength" operator="lessThanOrEqual" allowBlank="1" showInputMessage="1" showErrorMessage="1" errorTitle="Ошибка" error="Допускается ввод не более 900 символов!" sqref="J2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6"/>
    <dataValidation type="textLength" operator="lessThanOrEqual" allowBlank="1" showInputMessage="1" showErrorMessage="1" errorTitle="Ошибка" error="Допускается ввод не более 900 символов!" sqref="R256">
      <formula1>900</formula1>
    </dataValidation>
    <dataValidation allowBlank="1" showInputMessage="1" showErrorMessage="1" prompt="Для выбора выполните двойной щелчок левой клавиши мыши по соответствующей ячейке." sqref="S256"/>
    <dataValidation allowBlank="1" showInputMessage="1" showErrorMessage="1" prompt="Для выбора выполните двойной щелчок левой клавиши мыши по соответствующей ячейке." sqref="F257"/>
    <dataValidation allowBlank="1" showInputMessage="1" showErrorMessage="1" prompt="Выберите виды деятельности, выполнив двойной щелчок левой кнопки мыши по ячейке." sqref="G2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7"/>
    <dataValidation allowBlank="1" showInputMessage="1" showErrorMessage="1" prompt="Для выбора выполните двойной щелчок левой клавиши мыши по соответствующей ячейке." sqref="F258"/>
    <dataValidation allowBlank="1" showInputMessage="1" showErrorMessage="1" prompt="Выберите виды деятельности, выполнив двойной щелчок левой кнопки мыши по ячейке." sqref="G258"/>
    <dataValidation allowBlank="1" showInputMessage="1" showErrorMessage="1" prompt="Для выбора выполните двойной щелчок левой клавиши мыши по соответствующей ячейке." sqref="F259"/>
    <dataValidation allowBlank="1" showInputMessage="1" showErrorMessage="1" prompt="Выберите виды деятельности, выполнив двойной щелчок левой кнопки мыши по ячейке." sqref="G259"/>
    <dataValidation type="textLength" operator="lessThanOrEqual" allowBlank="1" showInputMessage="1" showErrorMessage="1" errorTitle="Ошибка" error="Допускается ввод не более 900 символов!" sqref="J259">
      <formula1>900</formula1>
    </dataValidation>
    <dataValidation allowBlank="1" showInputMessage="1" showErrorMessage="1" prompt="Для выбора выполните двойной щелчок левой клавиши мыши по соответствующей ячейке." sqref="K2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9"/>
    <dataValidation allowBlank="1" showInputMessage="1" showErrorMessage="1" prompt="Для выбора выполните двойной щелчок левой клавиши мыши по соответствующей ячейке." sqref="O259"/>
    <dataValidation type="textLength" operator="lessThanOrEqual" allowBlank="1" showInputMessage="1" showErrorMessage="1" errorTitle="Ошибка" error="Допускается ввод не более 900 символов!" sqref="R259">
      <formula1>900</formula1>
    </dataValidation>
    <dataValidation allowBlank="1" showInputMessage="1" showErrorMessage="1" prompt="Для выбора выполните двойной щелчок левой клавиши мыши по соответствующей ячейке." sqref="S259"/>
    <dataValidation type="textLength" operator="lessThanOrEqual" allowBlank="1" showInputMessage="1" showErrorMessage="1" errorTitle="Ошибка" error="Допускается ввод не более 900 символов!" sqref="V259">
      <formula1>900</formula1>
    </dataValidation>
    <dataValidation type="textLength" operator="lessThanOrEqual" allowBlank="1" showInputMessage="1" showErrorMessage="1" errorTitle="Ошибка" error="Допускается ввод не более 900 символов!" sqref="W259">
      <formula1>900</formula1>
    </dataValidation>
    <dataValidation allowBlank="1" showInputMessage="1" showErrorMessage="1" prompt="Для выбора выполните двойной щелчок левой клавиши мыши по соответствующей ячейке." sqref="F260"/>
    <dataValidation allowBlank="1" showInputMessage="1" showErrorMessage="1" prompt="Выберите виды деятельности, выполнив двойной щелчок левой кнопки мыши по ячейке." sqref="G260"/>
    <dataValidation type="textLength" operator="lessThanOrEqual" allowBlank="1" showInputMessage="1" showErrorMessage="1" errorTitle="Ошибка" error="Допускается ввод не более 900 символов!" sqref="J26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0"/>
    <dataValidation type="textLength" operator="lessThanOrEqual" allowBlank="1" showInputMessage="1" showErrorMessage="1" errorTitle="Ошибка" error="Допускается ввод не более 900 символов!" sqref="R260">
      <formula1>900</formula1>
    </dataValidation>
    <dataValidation allowBlank="1" showInputMessage="1" showErrorMessage="1" prompt="Для выбора выполните двойной щелчок левой клавиши мыши по соответствующей ячейке." sqref="S260"/>
    <dataValidation allowBlank="1" showInputMessage="1" showErrorMessage="1" prompt="Для выбора выполните двойной щелчок левой клавиши мыши по соответствующей ячейке." sqref="F261"/>
    <dataValidation allowBlank="1" showInputMessage="1" showErrorMessage="1" prompt="Выберите виды деятельности, выполнив двойной щелчок левой кнопки мыши по ячейке." sqref="G2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1"/>
    <dataValidation allowBlank="1" showInputMessage="1" showErrorMessage="1" prompt="Для выбора выполните двойной щелчок левой клавиши мыши по соответствующей ячейке." sqref="F262"/>
    <dataValidation allowBlank="1" showInputMessage="1" showErrorMessage="1" prompt="Выберите виды деятельности, выполнив двойной щелчок левой кнопки мыши по ячейке." sqref="G262"/>
    <dataValidation allowBlank="1" showInputMessage="1" showErrorMessage="1" prompt="Для выбора выполните двойной щелчок левой клавиши мыши по соответствующей ячейке." sqref="F263"/>
    <dataValidation allowBlank="1" showInputMessage="1" showErrorMessage="1" prompt="Выберите виды деятельности, выполнив двойной щелчок левой кнопки мыши по ячейке." sqref="G263"/>
    <dataValidation type="textLength" operator="lessThanOrEqual" allowBlank="1" showInputMessage="1" showErrorMessage="1" errorTitle="Ошибка" error="Допускается ввод не более 900 символов!" sqref="J263">
      <formula1>900</formula1>
    </dataValidation>
    <dataValidation allowBlank="1" showInputMessage="1" showErrorMessage="1" prompt="Для выбора выполните двойной щелчок левой клавиши мыши по соответствующей ячейке." sqref="K2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3"/>
    <dataValidation allowBlank="1" showInputMessage="1" showErrorMessage="1" prompt="Для выбора выполните двойной щелчок левой клавиши мыши по соответствующей ячейке." sqref="O263"/>
    <dataValidation type="textLength" operator="lessThanOrEqual" allowBlank="1" showInputMessage="1" showErrorMessage="1" errorTitle="Ошибка" error="Допускается ввод не более 900 символов!" sqref="R263">
      <formula1>900</formula1>
    </dataValidation>
    <dataValidation allowBlank="1" showInputMessage="1" showErrorMessage="1" prompt="Для выбора выполните двойной щелчок левой клавиши мыши по соответствующей ячейке." sqref="S263"/>
    <dataValidation type="textLength" operator="lessThanOrEqual" allowBlank="1" showInputMessage="1" showErrorMessage="1" errorTitle="Ошибка" error="Допускается ввод не более 900 символов!" sqref="V263">
      <formula1>900</formula1>
    </dataValidation>
    <dataValidation type="textLength" operator="lessThanOrEqual" allowBlank="1" showInputMessage="1" showErrorMessage="1" errorTitle="Ошибка" error="Допускается ввод не более 900 символов!" sqref="W263">
      <formula1>900</formula1>
    </dataValidation>
    <dataValidation allowBlank="1" showInputMessage="1" showErrorMessage="1" prompt="Для выбора выполните двойной щелчок левой клавиши мыши по соответствующей ячейке." sqref="F264"/>
    <dataValidation allowBlank="1" showInputMessage="1" showErrorMessage="1" prompt="Выберите виды деятельности, выполнив двойной щелчок левой кнопки мыши по ячейке." sqref="G264"/>
    <dataValidation type="textLength" operator="lessThanOrEqual" allowBlank="1" showInputMessage="1" showErrorMessage="1" errorTitle="Ошибка" error="Допускается ввод не более 900 символов!" sqref="J26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4"/>
    <dataValidation type="textLength" operator="lessThanOrEqual" allowBlank="1" showInputMessage="1" showErrorMessage="1" errorTitle="Ошибка" error="Допускается ввод не более 900 символов!" sqref="R264">
      <formula1>900</formula1>
    </dataValidation>
    <dataValidation allowBlank="1" showInputMessage="1" showErrorMessage="1" prompt="Для выбора выполните двойной щелчок левой клавиши мыши по соответствующей ячейке." sqref="S264"/>
    <dataValidation allowBlank="1" showInputMessage="1" showErrorMessage="1" prompt="Для выбора выполните двойной щелчок левой клавиши мыши по соответствующей ячейке." sqref="F265"/>
    <dataValidation allowBlank="1" showInputMessage="1" showErrorMessage="1" prompt="Выберите виды деятельности, выполнив двойной щелчок левой кнопки мыши по ячейке." sqref="G2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5"/>
    <dataValidation allowBlank="1" showInputMessage="1" showErrorMessage="1" prompt="Для выбора выполните двойной щелчок левой клавиши мыши по соответствующей ячейке." sqref="F266"/>
    <dataValidation allowBlank="1" showInputMessage="1" showErrorMessage="1" prompt="Выберите виды деятельности, выполнив двойной щелчок левой кнопки мыши по ячейке." sqref="G266"/>
    <dataValidation allowBlank="1" showInputMessage="1" showErrorMessage="1" prompt="Для выбора выполните двойной щелчок левой клавиши мыши по соответствующей ячейке." sqref="F267"/>
    <dataValidation allowBlank="1" showInputMessage="1" showErrorMessage="1" prompt="Выберите виды деятельности, выполнив двойной щелчок левой кнопки мыши по ячейке." sqref="G267"/>
    <dataValidation type="textLength" operator="lessThanOrEqual" allowBlank="1" showInputMessage="1" showErrorMessage="1" errorTitle="Ошибка" error="Допускается ввод не более 900 символов!" sqref="J267">
      <formula1>900</formula1>
    </dataValidation>
    <dataValidation allowBlank="1" showInputMessage="1" showErrorMessage="1" prompt="Для выбора выполните двойной щелчок левой клавиши мыши по соответствующей ячейке." sqref="K2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7"/>
    <dataValidation allowBlank="1" showInputMessage="1" showErrorMessage="1" prompt="Для выбора выполните двойной щелчок левой клавиши мыши по соответствующей ячейке." sqref="O267"/>
    <dataValidation type="textLength" operator="lessThanOrEqual" allowBlank="1" showInputMessage="1" showErrorMessage="1" errorTitle="Ошибка" error="Допускается ввод не более 900 символов!" sqref="R267">
      <formula1>900</formula1>
    </dataValidation>
    <dataValidation allowBlank="1" showInputMessage="1" showErrorMessage="1" prompt="Для выбора выполните двойной щелчок левой клавиши мыши по соответствующей ячейке." sqref="S267"/>
    <dataValidation type="textLength" operator="lessThanOrEqual" allowBlank="1" showInputMessage="1" showErrorMessage="1" errorTitle="Ошибка" error="Допускается ввод не более 900 символов!" sqref="V267">
      <formula1>900</formula1>
    </dataValidation>
    <dataValidation type="textLength" operator="lessThanOrEqual" allowBlank="1" showInputMessage="1" showErrorMessage="1" errorTitle="Ошибка" error="Допускается ввод не более 900 символов!" sqref="W267">
      <formula1>900</formula1>
    </dataValidation>
    <dataValidation allowBlank="1" showInputMessage="1" showErrorMessage="1" prompt="Для выбора выполните двойной щелчок левой клавиши мыши по соответствующей ячейке." sqref="F268"/>
    <dataValidation allowBlank="1" showInputMessage="1" showErrorMessage="1" prompt="Выберите виды деятельности, выполнив двойной щелчок левой кнопки мыши по ячейке." sqref="G268"/>
    <dataValidation type="textLength" operator="lessThanOrEqual" allowBlank="1" showInputMessage="1" showErrorMessage="1" errorTitle="Ошибка" error="Допускается ввод не более 900 символов!" sqref="J26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8"/>
    <dataValidation type="textLength" operator="lessThanOrEqual" allowBlank="1" showInputMessage="1" showErrorMessage="1" errorTitle="Ошибка" error="Допускается ввод не более 900 символов!" sqref="R268">
      <formula1>900</formula1>
    </dataValidation>
    <dataValidation allowBlank="1" showInputMessage="1" showErrorMessage="1" prompt="Для выбора выполните двойной щелчок левой клавиши мыши по соответствующей ячейке." sqref="S268"/>
    <dataValidation allowBlank="1" showInputMessage="1" showErrorMessage="1" prompt="Для выбора выполните двойной щелчок левой клавиши мыши по соответствующей ячейке." sqref="F269"/>
    <dataValidation allowBlank="1" showInputMessage="1" showErrorMessage="1" prompt="Выберите виды деятельности, выполнив двойной щелчок левой кнопки мыши по ячейке." sqref="G2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9"/>
    <dataValidation allowBlank="1" showInputMessage="1" showErrorMessage="1" prompt="Для выбора выполните двойной щелчок левой клавиши мыши по соответствующей ячейке." sqref="F270"/>
    <dataValidation allowBlank="1" showInputMessage="1" showErrorMessage="1" prompt="Выберите виды деятельности, выполнив двойной щелчок левой кнопки мыши по ячейке." sqref="G270"/>
    <dataValidation allowBlank="1" showInputMessage="1" showErrorMessage="1" prompt="Для выбора выполните двойной щелчок левой клавиши мыши по соответствующей ячейке." sqref="F271"/>
    <dataValidation allowBlank="1" showInputMessage="1" showErrorMessage="1" prompt="Выберите виды деятельности, выполнив двойной щелчок левой кнопки мыши по ячейке." sqref="G271"/>
    <dataValidation type="textLength" operator="lessThanOrEqual" allowBlank="1" showInputMessage="1" showErrorMessage="1" errorTitle="Ошибка" error="Допускается ввод не более 900 символов!" sqref="J271">
      <formula1>900</formula1>
    </dataValidation>
    <dataValidation allowBlank="1" showInputMessage="1" showErrorMessage="1" prompt="Для выбора выполните двойной щелчок левой клавиши мыши по соответствующей ячейке." sqref="K2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1"/>
    <dataValidation allowBlank="1" showInputMessage="1" showErrorMessage="1" prompt="Для выбора выполните двойной щелчок левой клавиши мыши по соответствующей ячейке." sqref="O271"/>
    <dataValidation type="textLength" operator="lessThanOrEqual" allowBlank="1" showInputMessage="1" showErrorMessage="1" errorTitle="Ошибка" error="Допускается ввод не более 900 символов!" sqref="R271">
      <formula1>900</formula1>
    </dataValidation>
    <dataValidation allowBlank="1" showInputMessage="1" showErrorMessage="1" prompt="Для выбора выполните двойной щелчок левой клавиши мыши по соответствующей ячейке." sqref="S271"/>
    <dataValidation type="textLength" operator="lessThanOrEqual" allowBlank="1" showInputMessage="1" showErrorMessage="1" errorTitle="Ошибка" error="Допускается ввод не более 900 символов!" sqref="V271">
      <formula1>900</formula1>
    </dataValidation>
    <dataValidation type="textLength" operator="lessThanOrEqual" allowBlank="1" showInputMessage="1" showErrorMessage="1" errorTitle="Ошибка" error="Допускается ввод не более 900 символов!" sqref="W271">
      <formula1>900</formula1>
    </dataValidation>
    <dataValidation allowBlank="1" showInputMessage="1" showErrorMessage="1" prompt="Для выбора выполните двойной щелчок левой клавиши мыши по соответствующей ячейке." sqref="F272"/>
    <dataValidation allowBlank="1" showInputMessage="1" showErrorMessage="1" prompt="Выберите виды деятельности, выполнив двойной щелчок левой кнопки мыши по ячейке." sqref="G272"/>
    <dataValidation type="textLength" operator="lessThanOrEqual" allowBlank="1" showInputMessage="1" showErrorMessage="1" errorTitle="Ошибка" error="Допускается ввод не более 900 символов!" sqref="J2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2"/>
    <dataValidation type="textLength" operator="lessThanOrEqual" allowBlank="1" showInputMessage="1" showErrorMessage="1" errorTitle="Ошибка" error="Допускается ввод не более 900 символов!" sqref="R272">
      <formula1>900</formula1>
    </dataValidation>
    <dataValidation allowBlank="1" showInputMessage="1" showErrorMessage="1" prompt="Для выбора выполните двойной щелчок левой клавиши мыши по соответствующей ячейке." sqref="S272"/>
    <dataValidation allowBlank="1" showInputMessage="1" showErrorMessage="1" prompt="Для выбора выполните двойной щелчок левой клавиши мыши по соответствующей ячейке." sqref="F273"/>
    <dataValidation allowBlank="1" showInputMessage="1" showErrorMessage="1" prompt="Выберите виды деятельности, выполнив двойной щелчок левой кнопки мыши по ячейке." sqref="G2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3"/>
    <dataValidation allowBlank="1" showInputMessage="1" showErrorMessage="1" prompt="Для выбора выполните двойной щелчок левой клавиши мыши по соответствующей ячейке." sqref="F274"/>
    <dataValidation allowBlank="1" showInputMessage="1" showErrorMessage="1" prompt="Выберите виды деятельности, выполнив двойной щелчок левой кнопки мыши по ячейке." sqref="G274"/>
    <dataValidation allowBlank="1" showInputMessage="1" showErrorMessage="1" prompt="Для выбора выполните двойной щелчок левой клавиши мыши по соответствующей ячейке." sqref="F275"/>
    <dataValidation allowBlank="1" showInputMessage="1" showErrorMessage="1" prompt="Выберите виды деятельности, выполнив двойной щелчок левой кнопки мыши по ячейке." sqref="G275"/>
    <dataValidation type="textLength" operator="lessThanOrEqual" allowBlank="1" showInputMessage="1" showErrorMessage="1" errorTitle="Ошибка" error="Допускается ввод не более 900 символов!" sqref="J275">
      <formula1>900</formula1>
    </dataValidation>
    <dataValidation allowBlank="1" showInputMessage="1" showErrorMessage="1" prompt="Для выбора выполните двойной щелчок левой клавиши мыши по соответствующей ячейке." sqref="K2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5"/>
    <dataValidation allowBlank="1" showInputMessage="1" showErrorMessage="1" prompt="Для выбора выполните двойной щелчок левой клавиши мыши по соответствующей ячейке." sqref="O275"/>
    <dataValidation type="textLength" operator="lessThanOrEqual" allowBlank="1" showInputMessage="1" showErrorMessage="1" errorTitle="Ошибка" error="Допускается ввод не более 900 символов!" sqref="R275">
      <formula1>900</formula1>
    </dataValidation>
    <dataValidation allowBlank="1" showInputMessage="1" showErrorMessage="1" prompt="Для выбора выполните двойной щелчок левой клавиши мыши по соответствующей ячейке." sqref="S275"/>
    <dataValidation type="textLength" operator="lessThanOrEqual" allowBlank="1" showInputMessage="1" showErrorMessage="1" errorTitle="Ошибка" error="Допускается ввод не более 900 символов!" sqref="V275">
      <formula1>900</formula1>
    </dataValidation>
    <dataValidation type="textLength" operator="lessThanOrEqual" allowBlank="1" showInputMessage="1" showErrorMessage="1" errorTitle="Ошибка" error="Допускается ввод не более 900 символов!" sqref="W275">
      <formula1>900</formula1>
    </dataValidation>
    <dataValidation allowBlank="1" showInputMessage="1" showErrorMessage="1" prompt="Для выбора выполните двойной щелчок левой клавиши мыши по соответствующей ячейке." sqref="F276"/>
    <dataValidation allowBlank="1" showInputMessage="1" showErrorMessage="1" prompt="Выберите виды деятельности, выполнив двойной щелчок левой кнопки мыши по ячейке." sqref="G276"/>
    <dataValidation type="textLength" operator="lessThanOrEqual" allowBlank="1" showInputMessage="1" showErrorMessage="1" errorTitle="Ошибка" error="Допускается ввод не более 900 символов!" sqref="J27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6"/>
    <dataValidation type="textLength" operator="lessThanOrEqual" allowBlank="1" showInputMessage="1" showErrorMessage="1" errorTitle="Ошибка" error="Допускается ввод не более 900 символов!" sqref="R276">
      <formula1>900</formula1>
    </dataValidation>
    <dataValidation allowBlank="1" showInputMessage="1" showErrorMessage="1" prompt="Для выбора выполните двойной щелчок левой клавиши мыши по соответствующей ячейке." sqref="S276"/>
    <dataValidation allowBlank="1" showInputMessage="1" showErrorMessage="1" prompt="Для выбора выполните двойной щелчок левой клавиши мыши по соответствующей ячейке." sqref="F277"/>
    <dataValidation allowBlank="1" showInputMessage="1" showErrorMessage="1" prompt="Выберите виды деятельности, выполнив двойной щелчок левой кнопки мыши по ячейке." sqref="G2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7"/>
    <dataValidation allowBlank="1" showInputMessage="1" showErrorMessage="1" prompt="Для выбора выполните двойной щелчок левой клавиши мыши по соответствующей ячейке." sqref="F278"/>
    <dataValidation allowBlank="1" showInputMessage="1" showErrorMessage="1" prompt="Выберите виды деятельности, выполнив двойной щелчок левой кнопки мыши по ячейке." sqref="G278"/>
    <dataValidation allowBlank="1" showInputMessage="1" showErrorMessage="1" prompt="Для выбора выполните двойной щелчок левой клавиши мыши по соответствующей ячейке." sqref="F279"/>
    <dataValidation allowBlank="1" showInputMessage="1" showErrorMessage="1" prompt="Выберите виды деятельности, выполнив двойной щелчок левой кнопки мыши по ячейке." sqref="G279"/>
    <dataValidation type="textLength" operator="lessThanOrEqual" allowBlank="1" showInputMessage="1" showErrorMessage="1" errorTitle="Ошибка" error="Допускается ввод не более 900 символов!" sqref="J279">
      <formula1>900</formula1>
    </dataValidation>
    <dataValidation allowBlank="1" showInputMessage="1" showErrorMessage="1" prompt="Для выбора выполните двойной щелчок левой клавиши мыши по соответствующей ячейке." sqref="K2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9"/>
    <dataValidation allowBlank="1" showInputMessage="1" showErrorMessage="1" prompt="Для выбора выполните двойной щелчок левой клавиши мыши по соответствующей ячейке." sqref="O279"/>
    <dataValidation type="textLength" operator="lessThanOrEqual" allowBlank="1" showInputMessage="1" showErrorMessage="1" errorTitle="Ошибка" error="Допускается ввод не более 900 символов!" sqref="R279">
      <formula1>900</formula1>
    </dataValidation>
    <dataValidation allowBlank="1" showInputMessage="1" showErrorMessage="1" prompt="Для выбора выполните двойной щелчок левой клавиши мыши по соответствующей ячейке." sqref="S279"/>
    <dataValidation type="textLength" operator="lessThanOrEqual" allowBlank="1" showInputMessage="1" showErrorMessage="1" errorTitle="Ошибка" error="Допускается ввод не более 900 символов!" sqref="V279">
      <formula1>900</formula1>
    </dataValidation>
    <dataValidation type="textLength" operator="lessThanOrEqual" allowBlank="1" showInputMessage="1" showErrorMessage="1" errorTitle="Ошибка" error="Допускается ввод не более 900 символов!" sqref="W279">
      <formula1>900</formula1>
    </dataValidation>
    <dataValidation allowBlank="1" showInputMessage="1" showErrorMessage="1" prompt="Для выбора выполните двойной щелчок левой клавиши мыши по соответствующей ячейке." sqref="F280"/>
    <dataValidation allowBlank="1" showInputMessage="1" showErrorMessage="1" prompt="Выберите виды деятельности, выполнив двойной щелчок левой кнопки мыши по ячейке." sqref="G280"/>
    <dataValidation type="textLength" operator="lessThanOrEqual" allowBlank="1" showInputMessage="1" showErrorMessage="1" errorTitle="Ошибка" error="Допускается ввод не более 900 символов!" sqref="J2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0"/>
    <dataValidation type="textLength" operator="lessThanOrEqual" allowBlank="1" showInputMessage="1" showErrorMessage="1" errorTitle="Ошибка" error="Допускается ввод не более 900 символов!" sqref="R280">
      <formula1>900</formula1>
    </dataValidation>
    <dataValidation allowBlank="1" showInputMessage="1" showErrorMessage="1" prompt="Для выбора выполните двойной щелчок левой клавиши мыши по соответствующей ячейке." sqref="S280"/>
    <dataValidation allowBlank="1" showInputMessage="1" showErrorMessage="1" prompt="Для выбора выполните двойной щелчок левой клавиши мыши по соответствующей ячейке." sqref="F281"/>
    <dataValidation allowBlank="1" showInputMessage="1" showErrorMessage="1" prompt="Выберите виды деятельности, выполнив двойной щелчок левой кнопки мыши по ячейке." sqref="G2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1"/>
    <dataValidation allowBlank="1" showInputMessage="1" showErrorMessage="1" prompt="Для выбора выполните двойной щелчок левой клавиши мыши по соответствующей ячейке." sqref="F282"/>
    <dataValidation allowBlank="1" showInputMessage="1" showErrorMessage="1" prompt="Выберите виды деятельности, выполнив двойной щелчок левой кнопки мыши по ячейке." sqref="G282"/>
    <dataValidation allowBlank="1" showInputMessage="1" showErrorMessage="1" prompt="Для выбора выполните двойной щелчок левой клавиши мыши по соответствующей ячейке." sqref="F283"/>
    <dataValidation allowBlank="1" showInputMessage="1" showErrorMessage="1" prompt="Выберите виды деятельности, выполнив двойной щелчок левой кнопки мыши по ячейке." sqref="G283"/>
    <dataValidation type="textLength" operator="lessThanOrEqual" allowBlank="1" showInputMessage="1" showErrorMessage="1" errorTitle="Ошибка" error="Допускается ввод не более 900 символов!" sqref="J283">
      <formula1>900</formula1>
    </dataValidation>
    <dataValidation allowBlank="1" showInputMessage="1" showErrorMessage="1" prompt="Для выбора выполните двойной щелчок левой клавиши мыши по соответствующей ячейке." sqref="K2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3"/>
    <dataValidation allowBlank="1" showInputMessage="1" showErrorMessage="1" prompt="Для выбора выполните двойной щелчок левой клавиши мыши по соответствующей ячейке." sqref="O283"/>
    <dataValidation type="textLength" operator="lessThanOrEqual" allowBlank="1" showInputMessage="1" showErrorMessage="1" errorTitle="Ошибка" error="Допускается ввод не более 900 символов!" sqref="R283">
      <formula1>900</formula1>
    </dataValidation>
    <dataValidation allowBlank="1" showInputMessage="1" showErrorMessage="1" prompt="Для выбора выполните двойной щелчок левой клавиши мыши по соответствующей ячейке." sqref="S283"/>
    <dataValidation type="textLength" operator="lessThanOrEqual" allowBlank="1" showInputMessage="1" showErrorMessage="1" errorTitle="Ошибка" error="Допускается ввод не более 900 символов!" sqref="V283">
      <formula1>900</formula1>
    </dataValidation>
    <dataValidation type="textLength" operator="lessThanOrEqual" allowBlank="1" showInputMessage="1" showErrorMessage="1" errorTitle="Ошибка" error="Допускается ввод не более 900 символов!" sqref="W283">
      <formula1>900</formula1>
    </dataValidation>
    <dataValidation allowBlank="1" showInputMessage="1" showErrorMessage="1" prompt="Для выбора выполните двойной щелчок левой клавиши мыши по соответствующей ячейке." sqref="F284"/>
    <dataValidation allowBlank="1" showInputMessage="1" showErrorMessage="1" prompt="Выберите виды деятельности, выполнив двойной щелчок левой кнопки мыши по ячейке." sqref="G284"/>
    <dataValidation type="textLength" operator="lessThanOrEqual" allowBlank="1" showInputMessage="1" showErrorMessage="1" errorTitle="Ошибка" error="Допускается ввод не более 900 символов!" sqref="J2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4"/>
    <dataValidation type="textLength" operator="lessThanOrEqual" allowBlank="1" showInputMessage="1" showErrorMessage="1" errorTitle="Ошибка" error="Допускается ввод не более 900 символов!" sqref="R284">
      <formula1>900</formula1>
    </dataValidation>
    <dataValidation allowBlank="1" showInputMessage="1" showErrorMessage="1" prompt="Для выбора выполните двойной щелчок левой клавиши мыши по соответствующей ячейке." sqref="S284"/>
    <dataValidation allowBlank="1" showInputMessage="1" showErrorMessage="1" prompt="Для выбора выполните двойной щелчок левой клавиши мыши по соответствующей ячейке." sqref="F285"/>
    <dataValidation allowBlank="1" showInputMessage="1" showErrorMessage="1" prompt="Выберите виды деятельности, выполнив двойной щелчок левой кнопки мыши по ячейке." sqref="G2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5"/>
    <dataValidation allowBlank="1" showInputMessage="1" showErrorMessage="1" prompt="Для выбора выполните двойной щелчок левой клавиши мыши по соответствующей ячейке." sqref="F286"/>
    <dataValidation allowBlank="1" showInputMessage="1" showErrorMessage="1" prompt="Выберите виды деятельности, выполнив двойной щелчок левой кнопки мыши по ячейке." sqref="G286"/>
    <dataValidation allowBlank="1" showInputMessage="1" showErrorMessage="1" prompt="Для выбора выполните двойной щелчок левой клавиши мыши по соответствующей ячейке." sqref="F287"/>
    <dataValidation allowBlank="1" showInputMessage="1" showErrorMessage="1" prompt="Выберите виды деятельности, выполнив двойной щелчок левой кнопки мыши по ячейке." sqref="G287"/>
    <dataValidation type="textLength" operator="lessThanOrEqual" allowBlank="1" showInputMessage="1" showErrorMessage="1" errorTitle="Ошибка" error="Допускается ввод не более 900 символов!" sqref="J287">
      <formula1>900</formula1>
    </dataValidation>
    <dataValidation allowBlank="1" showInputMessage="1" showErrorMessage="1" prompt="Для выбора выполните двойной щелчок левой клавиши мыши по соответствующей ячейке." sqref="K2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7"/>
    <dataValidation allowBlank="1" showInputMessage="1" showErrorMessage="1" prompt="Для выбора выполните двойной щелчок левой клавиши мыши по соответствующей ячейке." sqref="O287"/>
    <dataValidation type="textLength" operator="lessThanOrEqual" allowBlank="1" showInputMessage="1" showErrorMessage="1" errorTitle="Ошибка" error="Допускается ввод не более 900 символов!" sqref="R287">
      <formula1>900</formula1>
    </dataValidation>
    <dataValidation allowBlank="1" showInputMessage="1" showErrorMessage="1" prompt="Для выбора выполните двойной щелчок левой клавиши мыши по соответствующей ячейке." sqref="S287"/>
    <dataValidation type="textLength" operator="lessThanOrEqual" allowBlank="1" showInputMessage="1" showErrorMessage="1" errorTitle="Ошибка" error="Допускается ввод не более 900 символов!" sqref="V287">
      <formula1>900</formula1>
    </dataValidation>
    <dataValidation type="textLength" operator="lessThanOrEqual" allowBlank="1" showInputMessage="1" showErrorMessage="1" errorTitle="Ошибка" error="Допускается ввод не более 900 символов!" sqref="W287">
      <formula1>900</formula1>
    </dataValidation>
    <dataValidation allowBlank="1" showInputMessage="1" showErrorMessage="1" prompt="Для выбора выполните двойной щелчок левой клавиши мыши по соответствующей ячейке." sqref="F288"/>
    <dataValidation allowBlank="1" showInputMessage="1" showErrorMessage="1" prompt="Выберите виды деятельности, выполнив двойной щелчок левой кнопки мыши по ячейке." sqref="G288"/>
    <dataValidation type="textLength" operator="lessThanOrEqual" allowBlank="1" showInputMessage="1" showErrorMessage="1" errorTitle="Ошибка" error="Допускается ввод не более 900 символов!" sqref="J2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8"/>
    <dataValidation type="textLength" operator="lessThanOrEqual" allowBlank="1" showInputMessage="1" showErrorMessage="1" errorTitle="Ошибка" error="Допускается ввод не более 900 символов!" sqref="R288">
      <formula1>900</formula1>
    </dataValidation>
    <dataValidation allowBlank="1" showInputMessage="1" showErrorMessage="1" prompt="Для выбора выполните двойной щелчок левой клавиши мыши по соответствующей ячейке." sqref="S288"/>
    <dataValidation allowBlank="1" showInputMessage="1" showErrorMessage="1" prompt="Для выбора выполните двойной щелчок левой клавиши мыши по соответствующей ячейке." sqref="F289"/>
    <dataValidation allowBlank="1" showInputMessage="1" showErrorMessage="1" prompt="Выберите виды деятельности, выполнив двойной щелчок левой кнопки мыши по ячейке." sqref="G2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9"/>
    <dataValidation allowBlank="1" showInputMessage="1" showErrorMessage="1" prompt="Для выбора выполните двойной щелчок левой клавиши мыши по соответствующей ячейке." sqref="F290"/>
    <dataValidation allowBlank="1" showInputMessage="1" showErrorMessage="1" prompt="Выберите виды деятельности, выполнив двойной щелчок левой кнопки мыши по ячейке." sqref="G290"/>
    <dataValidation allowBlank="1" showInputMessage="1" showErrorMessage="1" prompt="Для выбора выполните двойной щелчок левой клавиши мыши по соответствующей ячейке." sqref="F291"/>
    <dataValidation allowBlank="1" showInputMessage="1" showErrorMessage="1" prompt="Выберите виды деятельности, выполнив двойной щелчок левой кнопки мыши по ячейке." sqref="G291"/>
    <dataValidation type="textLength" operator="lessThanOrEqual" allowBlank="1" showInputMessage="1" showErrorMessage="1" errorTitle="Ошибка" error="Допускается ввод не более 900 символов!" sqref="J291">
      <formula1>900</formula1>
    </dataValidation>
    <dataValidation allowBlank="1" showInputMessage="1" showErrorMessage="1" prompt="Для выбора выполните двойной щелчок левой клавиши мыши по соответствующей ячейке." sqref="K2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1"/>
    <dataValidation allowBlank="1" showInputMessage="1" showErrorMessage="1" prompt="Для выбора выполните двойной щелчок левой клавиши мыши по соответствующей ячейке." sqref="O291"/>
    <dataValidation type="textLength" operator="lessThanOrEqual" allowBlank="1" showInputMessage="1" showErrorMessage="1" errorTitle="Ошибка" error="Допускается ввод не более 900 символов!" sqref="R291">
      <formula1>900</formula1>
    </dataValidation>
    <dataValidation allowBlank="1" showInputMessage="1" showErrorMessage="1" prompt="Для выбора выполните двойной щелчок левой клавиши мыши по соответствующей ячейке." sqref="S291"/>
    <dataValidation type="textLength" operator="lessThanOrEqual" allowBlank="1" showInputMessage="1" showErrorMessage="1" errorTitle="Ошибка" error="Допускается ввод не более 900 символов!" sqref="V291">
      <formula1>900</formula1>
    </dataValidation>
    <dataValidation type="textLength" operator="lessThanOrEqual" allowBlank="1" showInputMessage="1" showErrorMessage="1" errorTitle="Ошибка" error="Допускается ввод не более 900 символов!" sqref="W291">
      <formula1>900</formula1>
    </dataValidation>
    <dataValidation allowBlank="1" showInputMessage="1" showErrorMessage="1" prompt="Для выбора выполните двойной щелчок левой клавиши мыши по соответствующей ячейке." sqref="F292"/>
    <dataValidation allowBlank="1" showInputMessage="1" showErrorMessage="1" prompt="Выберите виды деятельности, выполнив двойной щелчок левой кнопки мыши по ячейке." sqref="G292"/>
    <dataValidation type="textLength" operator="lessThanOrEqual" allowBlank="1" showInputMessage="1" showErrorMessage="1" errorTitle="Ошибка" error="Допускается ввод не более 900 символов!" sqref="J2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2"/>
    <dataValidation type="textLength" operator="lessThanOrEqual" allowBlank="1" showInputMessage="1" showErrorMessage="1" errorTitle="Ошибка" error="Допускается ввод не более 900 символов!" sqref="R292">
      <formula1>900</formula1>
    </dataValidation>
    <dataValidation allowBlank="1" showInputMessage="1" showErrorMessage="1" prompt="Для выбора выполните двойной щелчок левой клавиши мыши по соответствующей ячейке." sqref="S292"/>
    <dataValidation allowBlank="1" showInputMessage="1" showErrorMessage="1" prompt="Для выбора выполните двойной щелчок левой клавиши мыши по соответствующей ячейке." sqref="F293"/>
    <dataValidation allowBlank="1" showInputMessage="1" showErrorMessage="1" prompt="Выберите виды деятельности, выполнив двойной щелчок левой кнопки мыши по ячейке." sqref="G2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3"/>
    <dataValidation allowBlank="1" showInputMessage="1" showErrorMessage="1" prompt="Для выбора выполните двойной щелчок левой клавиши мыши по соответствующей ячейке." sqref="F294"/>
    <dataValidation allowBlank="1" showInputMessage="1" showErrorMessage="1" prompt="Выберите виды деятельности, выполнив двойной щелчок левой кнопки мыши по ячейке." sqref="G294"/>
    <dataValidation allowBlank="1" showInputMessage="1" showErrorMessage="1" prompt="Для выбора выполните двойной щелчок левой клавиши мыши по соответствующей ячейке." sqref="F295"/>
    <dataValidation allowBlank="1" showInputMessage="1" showErrorMessage="1" prompt="Выберите виды деятельности, выполнив двойной щелчок левой кнопки мыши по ячейке." sqref="G295"/>
    <dataValidation type="textLength" operator="lessThanOrEqual" allowBlank="1" showInputMessage="1" showErrorMessage="1" errorTitle="Ошибка" error="Допускается ввод не более 900 символов!" sqref="J295">
      <formula1>900</formula1>
    </dataValidation>
    <dataValidation allowBlank="1" showInputMessage="1" showErrorMessage="1" prompt="Для выбора выполните двойной щелчок левой клавиши мыши по соответствующей ячейке." sqref="K2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5"/>
    <dataValidation allowBlank="1" showInputMessage="1" showErrorMessage="1" prompt="Для выбора выполните двойной щелчок левой клавиши мыши по соответствующей ячейке." sqref="O295"/>
    <dataValidation type="textLength" operator="lessThanOrEqual" allowBlank="1" showInputMessage="1" showErrorMessage="1" errorTitle="Ошибка" error="Допускается ввод не более 900 символов!" sqref="R295">
      <formula1>900</formula1>
    </dataValidation>
    <dataValidation allowBlank="1" showInputMessage="1" showErrorMessage="1" prompt="Для выбора выполните двойной щелчок левой клавиши мыши по соответствующей ячейке." sqref="S295"/>
    <dataValidation type="textLength" operator="lessThanOrEqual" allowBlank="1" showInputMessage="1" showErrorMessage="1" errorTitle="Ошибка" error="Допускается ввод не более 900 символов!" sqref="V295">
      <formula1>900</formula1>
    </dataValidation>
    <dataValidation type="textLength" operator="lessThanOrEqual" allowBlank="1" showInputMessage="1" showErrorMessage="1" errorTitle="Ошибка" error="Допускается ввод не более 900 символов!" sqref="W295">
      <formula1>900</formula1>
    </dataValidation>
    <dataValidation allowBlank="1" showInputMessage="1" showErrorMessage="1" prompt="Для выбора выполните двойной щелчок левой клавиши мыши по соответствующей ячейке." sqref="F296"/>
    <dataValidation allowBlank="1" showInputMessage="1" showErrorMessage="1" prompt="Выберите виды деятельности, выполнив двойной щелчок левой кнопки мыши по ячейке." sqref="G296"/>
    <dataValidation type="textLength" operator="lessThanOrEqual" allowBlank="1" showInputMessage="1" showErrorMessage="1" errorTitle="Ошибка" error="Допускается ввод не более 900 символов!" sqref="J2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6"/>
    <dataValidation type="textLength" operator="lessThanOrEqual" allowBlank="1" showInputMessage="1" showErrorMessage="1" errorTitle="Ошибка" error="Допускается ввод не более 900 символов!" sqref="R296">
      <formula1>900</formula1>
    </dataValidation>
    <dataValidation allowBlank="1" showInputMessage="1" showErrorMessage="1" prompt="Для выбора выполните двойной щелчок левой клавиши мыши по соответствующей ячейке." sqref="S296"/>
    <dataValidation allowBlank="1" showInputMessage="1" showErrorMessage="1" prompt="Для выбора выполните двойной щелчок левой клавиши мыши по соответствующей ячейке." sqref="F297"/>
    <dataValidation allowBlank="1" showInputMessage="1" showErrorMessage="1" prompt="Выберите виды деятельности, выполнив двойной щелчок левой кнопки мыши по ячейке." sqref="G2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7"/>
    <dataValidation allowBlank="1" showInputMessage="1" showErrorMessage="1" prompt="Для выбора выполните двойной щелчок левой клавиши мыши по соответствующей ячейке." sqref="F298"/>
    <dataValidation allowBlank="1" showInputMessage="1" showErrorMessage="1" prompt="Выберите виды деятельности, выполнив двойной щелчок левой кнопки мыши по ячейке." sqref="G298"/>
    <dataValidation allowBlank="1" showInputMessage="1" showErrorMessage="1" prompt="Для выбора выполните двойной щелчок левой клавиши мыши по соответствующей ячейке." sqref="F299"/>
    <dataValidation allowBlank="1" showInputMessage="1" showErrorMessage="1" prompt="Выберите виды деятельности, выполнив двойной щелчок левой кнопки мыши по ячейке." sqref="G299"/>
    <dataValidation type="textLength" operator="lessThanOrEqual" allowBlank="1" showInputMessage="1" showErrorMessage="1" errorTitle="Ошибка" error="Допускается ввод не более 900 символов!" sqref="J299">
      <formula1>900</formula1>
    </dataValidation>
    <dataValidation allowBlank="1" showInputMessage="1" showErrorMessage="1" prompt="Для выбора выполните двойной щелчок левой клавиши мыши по соответствующей ячейке." sqref="K2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9"/>
    <dataValidation allowBlank="1" showInputMessage="1" showErrorMessage="1" prompt="Для выбора выполните двойной щелчок левой клавиши мыши по соответствующей ячейке." sqref="O299"/>
    <dataValidation type="textLength" operator="lessThanOrEqual" allowBlank="1" showInputMessage="1" showErrorMessage="1" errorTitle="Ошибка" error="Допускается ввод не более 900 символов!" sqref="R299">
      <formula1>900</formula1>
    </dataValidation>
    <dataValidation allowBlank="1" showInputMessage="1" showErrorMessage="1" prompt="Для выбора выполните двойной щелчок левой клавиши мыши по соответствующей ячейке." sqref="S299"/>
    <dataValidation type="textLength" operator="lessThanOrEqual" allowBlank="1" showInputMessage="1" showErrorMessage="1" errorTitle="Ошибка" error="Допускается ввод не более 900 символов!" sqref="V299">
      <formula1>900</formula1>
    </dataValidation>
    <dataValidation type="textLength" operator="lessThanOrEqual" allowBlank="1" showInputMessage="1" showErrorMessage="1" errorTitle="Ошибка" error="Допускается ввод не более 900 символов!" sqref="W299">
      <formula1>900</formula1>
    </dataValidation>
    <dataValidation allowBlank="1" showInputMessage="1" showErrorMessage="1" prompt="Для выбора выполните двойной щелчок левой клавиши мыши по соответствующей ячейке." sqref="F300"/>
    <dataValidation allowBlank="1" showInputMessage="1" showErrorMessage="1" prompt="Выберите виды деятельности, выполнив двойной щелчок левой кнопки мыши по ячейке." sqref="G300"/>
    <dataValidation type="textLength" operator="lessThanOrEqual" allowBlank="1" showInputMessage="1" showErrorMessage="1" errorTitle="Ошибка" error="Допускается ввод не более 900 символов!" sqref="J3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0"/>
    <dataValidation type="textLength" operator="lessThanOrEqual" allowBlank="1" showInputMessage="1" showErrorMessage="1" errorTitle="Ошибка" error="Допускается ввод не более 900 символов!" sqref="R300">
      <formula1>900</formula1>
    </dataValidation>
    <dataValidation allowBlank="1" showInputMessage="1" showErrorMessage="1" prompt="Для выбора выполните двойной щелчок левой клавиши мыши по соответствующей ячейке." sqref="S300"/>
    <dataValidation allowBlank="1" showInputMessage="1" showErrorMessage="1" prompt="Для выбора выполните двойной щелчок левой клавиши мыши по соответствующей ячейке." sqref="F301"/>
    <dataValidation allowBlank="1" showInputMessage="1" showErrorMessage="1" prompt="Выберите виды деятельности, выполнив двойной щелчок левой кнопки мыши по ячейке." sqref="G3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1"/>
    <dataValidation allowBlank="1" showInputMessage="1" showErrorMessage="1" prompt="Для выбора выполните двойной щелчок левой клавиши мыши по соответствующей ячейке." sqref="F302"/>
    <dataValidation allowBlank="1" showInputMessage="1" showErrorMessage="1" prompt="Выберите виды деятельности, выполнив двойной щелчок левой кнопки мыши по ячейке." sqref="G302"/>
    <dataValidation allowBlank="1" showInputMessage="1" showErrorMessage="1" prompt="Для выбора выполните двойной щелчок левой клавиши мыши по соответствующей ячейке." sqref="F303"/>
    <dataValidation allowBlank="1" showInputMessage="1" showErrorMessage="1" prompt="Выберите виды деятельности, выполнив двойной щелчок левой кнопки мыши по ячейке." sqref="G303"/>
    <dataValidation type="textLength" operator="lessThanOrEqual" allowBlank="1" showInputMessage="1" showErrorMessage="1" errorTitle="Ошибка" error="Допускается ввод не более 900 символов!" sqref="J303">
      <formula1>900</formula1>
    </dataValidation>
    <dataValidation allowBlank="1" showInputMessage="1" showErrorMessage="1" prompt="Для выбора выполните двойной щелчок левой клавиши мыши по соответствующей ячейке." sqref="K3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3"/>
    <dataValidation allowBlank="1" showInputMessage="1" showErrorMessage="1" prompt="Для выбора выполните двойной щелчок левой клавиши мыши по соответствующей ячейке." sqref="O303"/>
    <dataValidation type="textLength" operator="lessThanOrEqual" allowBlank="1" showInputMessage="1" showErrorMessage="1" errorTitle="Ошибка" error="Допускается ввод не более 900 символов!" sqref="R303">
      <formula1>900</formula1>
    </dataValidation>
    <dataValidation allowBlank="1" showInputMessage="1" showErrorMessage="1" prompt="Для выбора выполните двойной щелчок левой клавиши мыши по соответствующей ячейке." sqref="S303"/>
    <dataValidation type="textLength" operator="lessThanOrEqual" allowBlank="1" showInputMessage="1" showErrorMessage="1" errorTitle="Ошибка" error="Допускается ввод не более 900 символов!" sqref="V303">
      <formula1>900</formula1>
    </dataValidation>
    <dataValidation type="textLength" operator="lessThanOrEqual" allowBlank="1" showInputMessage="1" showErrorMessage="1" errorTitle="Ошибка" error="Допускается ввод не более 900 символов!" sqref="W303">
      <formula1>900</formula1>
    </dataValidation>
    <dataValidation allowBlank="1" showInputMessage="1" showErrorMessage="1" prompt="Для выбора выполните двойной щелчок левой клавиши мыши по соответствующей ячейке." sqref="F304"/>
    <dataValidation allowBlank="1" showInputMessage="1" showErrorMessage="1" prompt="Выберите виды деятельности, выполнив двойной щелчок левой кнопки мыши по ячейке." sqref="G304"/>
    <dataValidation type="textLength" operator="lessThanOrEqual" allowBlank="1" showInputMessage="1" showErrorMessage="1" errorTitle="Ошибка" error="Допускается ввод не более 900 символов!" sqref="J3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4"/>
    <dataValidation type="textLength" operator="lessThanOrEqual" allowBlank="1" showInputMessage="1" showErrorMessage="1" errorTitle="Ошибка" error="Допускается ввод не более 900 символов!" sqref="R304">
      <formula1>900</formula1>
    </dataValidation>
    <dataValidation allowBlank="1" showInputMessage="1" showErrorMessage="1" prompt="Для выбора выполните двойной щелчок левой клавиши мыши по соответствующей ячейке." sqref="S304"/>
    <dataValidation allowBlank="1" showInputMessage="1" showErrorMessage="1" prompt="Для выбора выполните двойной щелчок левой клавиши мыши по соответствующей ячейке." sqref="F305"/>
    <dataValidation allowBlank="1" showInputMessage="1" showErrorMessage="1" prompt="Выберите виды деятельности, выполнив двойной щелчок левой кнопки мыши по ячейке." sqref="G3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5"/>
    <dataValidation allowBlank="1" showInputMessage="1" showErrorMessage="1" prompt="Для выбора выполните двойной щелчок левой клавиши мыши по соответствующей ячейке." sqref="F306"/>
    <dataValidation allowBlank="1" showInputMessage="1" showErrorMessage="1" prompt="Выберите виды деятельности, выполнив двойной щелчок левой кнопки мыши по ячейке." sqref="G306"/>
    <dataValidation allowBlank="1" showInputMessage="1" showErrorMessage="1" prompt="Для выбора выполните двойной щелчок левой клавиши мыши по соответствующей ячейке." sqref="F307"/>
    <dataValidation allowBlank="1" showInputMessage="1" showErrorMessage="1" prompt="Выберите виды деятельности, выполнив двойной щелчок левой кнопки мыши по ячейке." sqref="G307"/>
    <dataValidation type="textLength" operator="lessThanOrEqual" allowBlank="1" showInputMessage="1" showErrorMessage="1" errorTitle="Ошибка" error="Допускается ввод не более 900 символов!" sqref="J307">
      <formula1>900</formula1>
    </dataValidation>
    <dataValidation allowBlank="1" showInputMessage="1" showErrorMessage="1" prompt="Для выбора выполните двойной щелчок левой клавиши мыши по соответствующей ячейке." sqref="K3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7"/>
    <dataValidation allowBlank="1" showInputMessage="1" showErrorMessage="1" prompt="Для выбора выполните двойной щелчок левой клавиши мыши по соответствующей ячейке." sqref="O307"/>
    <dataValidation type="textLength" operator="lessThanOrEqual" allowBlank="1" showInputMessage="1" showErrorMessage="1" errorTitle="Ошибка" error="Допускается ввод не более 900 символов!" sqref="R307">
      <formula1>900</formula1>
    </dataValidation>
    <dataValidation allowBlank="1" showInputMessage="1" showErrorMessage="1" prompt="Для выбора выполните двойной щелчок левой клавиши мыши по соответствующей ячейке." sqref="S307"/>
    <dataValidation type="textLength" operator="lessThanOrEqual" allowBlank="1" showInputMessage="1" showErrorMessage="1" errorTitle="Ошибка" error="Допускается ввод не более 900 символов!" sqref="V307">
      <formula1>900</formula1>
    </dataValidation>
    <dataValidation type="textLength" operator="lessThanOrEqual" allowBlank="1" showInputMessage="1" showErrorMessage="1" errorTitle="Ошибка" error="Допускается ввод не более 900 символов!" sqref="W307">
      <formula1>900</formula1>
    </dataValidation>
    <dataValidation allowBlank="1" showInputMessage="1" showErrorMessage="1" prompt="Для выбора выполните двойной щелчок левой клавиши мыши по соответствующей ячейке." sqref="F308"/>
    <dataValidation allowBlank="1" showInputMessage="1" showErrorMessage="1" prompt="Выберите виды деятельности, выполнив двойной щелчок левой кнопки мыши по ячейке." sqref="G308"/>
    <dataValidation type="textLength" operator="lessThanOrEqual" allowBlank="1" showInputMessage="1" showErrorMessage="1" errorTitle="Ошибка" error="Допускается ввод не более 900 символов!" sqref="J3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8"/>
    <dataValidation type="textLength" operator="lessThanOrEqual" allowBlank="1" showInputMessage="1" showErrorMessage="1" errorTitle="Ошибка" error="Допускается ввод не более 900 символов!" sqref="R308">
      <formula1>900</formula1>
    </dataValidation>
    <dataValidation allowBlank="1" showInputMessage="1" showErrorMessage="1" prompt="Для выбора выполните двойной щелчок левой клавиши мыши по соответствующей ячейке." sqref="S308"/>
    <dataValidation allowBlank="1" showInputMessage="1" showErrorMessage="1" prompt="Для выбора выполните двойной щелчок левой клавиши мыши по соответствующей ячейке." sqref="F309"/>
    <dataValidation allowBlank="1" showInputMessage="1" showErrorMessage="1" prompt="Выберите виды деятельности, выполнив двойной щелчок левой кнопки мыши по ячейке." sqref="G3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9"/>
    <dataValidation allowBlank="1" showInputMessage="1" showErrorMessage="1" prompt="Для выбора выполните двойной щелчок левой клавиши мыши по соответствующей ячейке." sqref="F310"/>
    <dataValidation allowBlank="1" showInputMessage="1" showErrorMessage="1" prompt="Выберите виды деятельности, выполнив двойной щелчок левой кнопки мыши по ячейке." sqref="G310"/>
    <dataValidation allowBlank="1" showInputMessage="1" showErrorMessage="1" prompt="Для выбора выполните двойной щелчок левой клавиши мыши по соответствующей ячейке." sqref="F311"/>
    <dataValidation allowBlank="1" showInputMessage="1" showErrorMessage="1" prompt="Выберите виды деятельности, выполнив двойной щелчок левой кнопки мыши по ячейке." sqref="G311"/>
    <dataValidation type="textLength" operator="lessThanOrEqual" allowBlank="1" showInputMessage="1" showErrorMessage="1" errorTitle="Ошибка" error="Допускается ввод не более 900 символов!" sqref="J311">
      <formula1>900</formula1>
    </dataValidation>
    <dataValidation allowBlank="1" showInputMessage="1" showErrorMessage="1" prompt="Для выбора выполните двойной щелчок левой клавиши мыши по соответствующей ячейке." sqref="K3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1"/>
    <dataValidation allowBlank="1" showInputMessage="1" showErrorMessage="1" prompt="Для выбора выполните двойной щелчок левой клавиши мыши по соответствующей ячейке." sqref="O311"/>
    <dataValidation type="textLength" operator="lessThanOrEqual" allowBlank="1" showInputMessage="1" showErrorMessage="1" errorTitle="Ошибка" error="Допускается ввод не более 900 символов!" sqref="R311">
      <formula1>900</formula1>
    </dataValidation>
    <dataValidation allowBlank="1" showInputMessage="1" showErrorMessage="1" prompt="Для выбора выполните двойной щелчок левой клавиши мыши по соответствующей ячейке." sqref="S311"/>
    <dataValidation type="textLength" operator="lessThanOrEqual" allowBlank="1" showInputMessage="1" showErrorMessage="1" errorTitle="Ошибка" error="Допускается ввод не более 900 символов!" sqref="V311">
      <formula1>900</formula1>
    </dataValidation>
    <dataValidation type="textLength" operator="lessThanOrEqual" allowBlank="1" showInputMessage="1" showErrorMessage="1" errorTitle="Ошибка" error="Допускается ввод не более 900 символов!" sqref="W311">
      <formula1>900</formula1>
    </dataValidation>
    <dataValidation allowBlank="1" showInputMessage="1" showErrorMessage="1" prompt="Для выбора выполните двойной щелчок левой клавиши мыши по соответствующей ячейке." sqref="F312"/>
    <dataValidation allowBlank="1" showInputMessage="1" showErrorMessage="1" prompt="Выберите виды деятельности, выполнив двойной щелчок левой кнопки мыши по ячейке." sqref="G312"/>
    <dataValidation type="textLength" operator="lessThanOrEqual" allowBlank="1" showInputMessage="1" showErrorMessage="1" errorTitle="Ошибка" error="Допускается ввод не более 900 символов!" sqref="J3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2"/>
    <dataValidation type="textLength" operator="lessThanOrEqual" allowBlank="1" showInputMessage="1" showErrorMessage="1" errorTitle="Ошибка" error="Допускается ввод не более 900 символов!" sqref="R312">
      <formula1>900</formula1>
    </dataValidation>
    <dataValidation allowBlank="1" showInputMessage="1" showErrorMessage="1" prompt="Для выбора выполните двойной щелчок левой клавиши мыши по соответствующей ячейке." sqref="S312"/>
    <dataValidation allowBlank="1" showInputMessage="1" showErrorMessage="1" prompt="Для выбора выполните двойной щелчок левой клавиши мыши по соответствующей ячейке." sqref="F313"/>
    <dataValidation allowBlank="1" showInputMessage="1" showErrorMessage="1" prompt="Выберите виды деятельности, выполнив двойной щелчок левой кнопки мыши по ячейке." sqref="G3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3"/>
    <dataValidation allowBlank="1" showInputMessage="1" showErrorMessage="1" prompt="Для выбора выполните двойной щелчок левой клавиши мыши по соответствующей ячейке." sqref="F314"/>
    <dataValidation allowBlank="1" showInputMessage="1" showErrorMessage="1" prompt="Выберите виды деятельности, выполнив двойной щелчок левой кнопки мыши по ячейке." sqref="G314"/>
    <dataValidation allowBlank="1" showInputMessage="1" showErrorMessage="1" prompt="Для выбора выполните двойной щелчок левой клавиши мыши по соответствующей ячейке." sqref="F315"/>
    <dataValidation allowBlank="1" showInputMessage="1" showErrorMessage="1" prompt="Выберите виды деятельности, выполнив двойной щелчок левой кнопки мыши по ячейке." sqref="G315"/>
    <dataValidation type="textLength" operator="lessThanOrEqual" allowBlank="1" showInputMessage="1" showErrorMessage="1" errorTitle="Ошибка" error="Допускается ввод не более 900 символов!" sqref="J315">
      <formula1>900</formula1>
    </dataValidation>
    <dataValidation allowBlank="1" showInputMessage="1" showErrorMessage="1" prompt="Для выбора выполните двойной щелчок левой клавиши мыши по соответствующей ячейке." sqref="K3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5"/>
    <dataValidation allowBlank="1" showInputMessage="1" showErrorMessage="1" prompt="Для выбора выполните двойной щелчок левой клавиши мыши по соответствующей ячейке." sqref="O315"/>
    <dataValidation type="textLength" operator="lessThanOrEqual" allowBlank="1" showInputMessage="1" showErrorMessage="1" errorTitle="Ошибка" error="Допускается ввод не более 900 символов!" sqref="R315">
      <formula1>900</formula1>
    </dataValidation>
    <dataValidation allowBlank="1" showInputMessage="1" showErrorMessage="1" prompt="Для выбора выполните двойной щелчок левой клавиши мыши по соответствующей ячейке." sqref="S315"/>
    <dataValidation type="textLength" operator="lessThanOrEqual" allowBlank="1" showInputMessage="1" showErrorMessage="1" errorTitle="Ошибка" error="Допускается ввод не более 900 символов!" sqref="V315">
      <formula1>900</formula1>
    </dataValidation>
    <dataValidation type="textLength" operator="lessThanOrEqual" allowBlank="1" showInputMessage="1" showErrorMessage="1" errorTitle="Ошибка" error="Допускается ввод не более 900 символов!" sqref="W315">
      <formula1>900</formula1>
    </dataValidation>
    <dataValidation allowBlank="1" showInputMessage="1" showErrorMessage="1" prompt="Для выбора выполните двойной щелчок левой клавиши мыши по соответствующей ячейке." sqref="F316"/>
    <dataValidation allowBlank="1" showInputMessage="1" showErrorMessage="1" prompt="Выберите виды деятельности, выполнив двойной щелчок левой кнопки мыши по ячейке." sqref="G316"/>
    <dataValidation type="textLength" operator="lessThanOrEqual" allowBlank="1" showInputMessage="1" showErrorMessage="1" errorTitle="Ошибка" error="Допускается ввод не более 900 символов!" sqref="J3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6"/>
    <dataValidation type="textLength" operator="lessThanOrEqual" allowBlank="1" showInputMessage="1" showErrorMessage="1" errorTitle="Ошибка" error="Допускается ввод не более 900 символов!" sqref="R316">
      <formula1>900</formula1>
    </dataValidation>
    <dataValidation allowBlank="1" showInputMessage="1" showErrorMessage="1" prompt="Для выбора выполните двойной щелчок левой клавиши мыши по соответствующей ячейке." sqref="S316"/>
    <dataValidation allowBlank="1" showInputMessage="1" showErrorMessage="1" prompt="Для выбора выполните двойной щелчок левой клавиши мыши по соответствующей ячейке." sqref="F317"/>
    <dataValidation allowBlank="1" showInputMessage="1" showErrorMessage="1" prompt="Выберите виды деятельности, выполнив двойной щелчок левой кнопки мыши по ячейке." sqref="G3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7"/>
    <dataValidation allowBlank="1" showInputMessage="1" showErrorMessage="1" prompt="Для выбора выполните двойной щелчок левой клавиши мыши по соответствующей ячейке." sqref="F318"/>
    <dataValidation allowBlank="1" showInputMessage="1" showErrorMessage="1" prompt="Выберите виды деятельности, выполнив двойной щелчок левой кнопки мыши по ячейке." sqref="G318"/>
    <dataValidation allowBlank="1" showInputMessage="1" showErrorMessage="1" prompt="Для выбора выполните двойной щелчок левой клавиши мыши по соответствующей ячейке." sqref="F319"/>
    <dataValidation allowBlank="1" showInputMessage="1" showErrorMessage="1" prompt="Выберите виды деятельности, выполнив двойной щелчок левой кнопки мыши по ячейке." sqref="G319"/>
    <dataValidation type="textLength" operator="lessThanOrEqual" allowBlank="1" showInputMessage="1" showErrorMessage="1" errorTitle="Ошибка" error="Допускается ввод не более 900 символов!" sqref="J319">
      <formula1>900</formula1>
    </dataValidation>
    <dataValidation allowBlank="1" showInputMessage="1" showErrorMessage="1" prompt="Для выбора выполните двойной щелчок левой клавиши мыши по соответствующей ячейке." sqref="K3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9"/>
    <dataValidation allowBlank="1" showInputMessage="1" showErrorMessage="1" prompt="Для выбора выполните двойной щелчок левой клавиши мыши по соответствующей ячейке." sqref="O319"/>
    <dataValidation type="textLength" operator="lessThanOrEqual" allowBlank="1" showInputMessage="1" showErrorMessage="1" errorTitle="Ошибка" error="Допускается ввод не более 900 символов!" sqref="R319">
      <formula1>900</formula1>
    </dataValidation>
    <dataValidation allowBlank="1" showInputMessage="1" showErrorMessage="1" prompt="Для выбора выполните двойной щелчок левой клавиши мыши по соответствующей ячейке." sqref="S319"/>
    <dataValidation type="textLength" operator="lessThanOrEqual" allowBlank="1" showInputMessage="1" showErrorMessage="1" errorTitle="Ошибка" error="Допускается ввод не более 900 символов!" sqref="V319">
      <formula1>900</formula1>
    </dataValidation>
    <dataValidation type="textLength" operator="lessThanOrEqual" allowBlank="1" showInputMessage="1" showErrorMessage="1" errorTitle="Ошибка" error="Допускается ввод не более 900 символов!" sqref="W319">
      <formula1>900</formula1>
    </dataValidation>
    <dataValidation allowBlank="1" showInputMessage="1" showErrorMessage="1" prompt="Для выбора выполните двойной щелчок левой клавиши мыши по соответствующей ячейке." sqref="F320"/>
    <dataValidation allowBlank="1" showInputMessage="1" showErrorMessage="1" prompt="Выберите виды деятельности, выполнив двойной щелчок левой кнопки мыши по ячейке." sqref="G320"/>
    <dataValidation type="textLength" operator="lessThanOrEqual" allowBlank="1" showInputMessage="1" showErrorMessage="1" errorTitle="Ошибка" error="Допускается ввод не более 900 символов!" sqref="J3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0"/>
    <dataValidation type="textLength" operator="lessThanOrEqual" allowBlank="1" showInputMessage="1" showErrorMessage="1" errorTitle="Ошибка" error="Допускается ввод не более 900 символов!" sqref="R320">
      <formula1>900</formula1>
    </dataValidation>
    <dataValidation allowBlank="1" showInputMessage="1" showErrorMessage="1" prompt="Для выбора выполните двойной щелчок левой клавиши мыши по соответствующей ячейке." sqref="S320"/>
    <dataValidation allowBlank="1" showInputMessage="1" showErrorMessage="1" prompt="Для выбора выполните двойной щелчок левой клавиши мыши по соответствующей ячейке." sqref="F321"/>
    <dataValidation allowBlank="1" showInputMessage="1" showErrorMessage="1" prompt="Выберите виды деятельности, выполнив двойной щелчок левой кнопки мыши по ячейке." sqref="G3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1"/>
    <dataValidation allowBlank="1" showInputMessage="1" showErrorMessage="1" prompt="Для выбора выполните двойной щелчок левой клавиши мыши по соответствующей ячейке." sqref="F322"/>
    <dataValidation allowBlank="1" showInputMessage="1" showErrorMessage="1" prompt="Выберите виды деятельности, выполнив двойной щелчок левой кнопки мыши по ячейке." sqref="G322"/>
    <dataValidation allowBlank="1" showInputMessage="1" showErrorMessage="1" prompt="Для выбора выполните двойной щелчок левой клавиши мыши по соответствующей ячейке." sqref="F323"/>
    <dataValidation allowBlank="1" showInputMessage="1" showErrorMessage="1" prompt="Выберите виды деятельности, выполнив двойной щелчок левой кнопки мыши по ячейке." sqref="G323"/>
    <dataValidation type="textLength" operator="lessThanOrEqual" allowBlank="1" showInputMessage="1" showErrorMessage="1" errorTitle="Ошибка" error="Допускается ввод не более 900 символов!" sqref="J323">
      <formula1>900</formula1>
    </dataValidation>
    <dataValidation allowBlank="1" showInputMessage="1" showErrorMessage="1" prompt="Для выбора выполните двойной щелчок левой клавиши мыши по соответствующей ячейке." sqref="K3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3"/>
    <dataValidation allowBlank="1" showInputMessage="1" showErrorMessage="1" prompt="Для выбора выполните двойной щелчок левой клавиши мыши по соответствующей ячейке." sqref="O323"/>
    <dataValidation type="textLength" operator="lessThanOrEqual" allowBlank="1" showInputMessage="1" showErrorMessage="1" errorTitle="Ошибка" error="Допускается ввод не более 900 символов!" sqref="R323">
      <formula1>900</formula1>
    </dataValidation>
    <dataValidation allowBlank="1" showInputMessage="1" showErrorMessage="1" prompt="Для выбора выполните двойной щелчок левой клавиши мыши по соответствующей ячейке." sqref="S323"/>
    <dataValidation type="textLength" operator="lessThanOrEqual" allowBlank="1" showInputMessage="1" showErrorMessage="1" errorTitle="Ошибка" error="Допускается ввод не более 900 символов!" sqref="V323">
      <formula1>900</formula1>
    </dataValidation>
    <dataValidation type="textLength" operator="lessThanOrEqual" allowBlank="1" showInputMessage="1" showErrorMessage="1" errorTitle="Ошибка" error="Допускается ввод не более 900 символов!" sqref="W323">
      <formula1>900</formula1>
    </dataValidation>
    <dataValidation allowBlank="1" showInputMessage="1" showErrorMessage="1" prompt="Для выбора выполните двойной щелчок левой клавиши мыши по соответствующей ячейке." sqref="F324"/>
    <dataValidation allowBlank="1" showInputMessage="1" showErrorMessage="1" prompt="Выберите виды деятельности, выполнив двойной щелчок левой кнопки мыши по ячейке." sqref="G324"/>
    <dataValidation type="textLength" operator="lessThanOrEqual" allowBlank="1" showInputMessage="1" showErrorMessage="1" errorTitle="Ошибка" error="Допускается ввод не более 900 символов!" sqref="J3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4"/>
    <dataValidation type="textLength" operator="lessThanOrEqual" allowBlank="1" showInputMessage="1" showErrorMessage="1" errorTitle="Ошибка" error="Допускается ввод не более 900 символов!" sqref="R324">
      <formula1>900</formula1>
    </dataValidation>
    <dataValidation allowBlank="1" showInputMessage="1" showErrorMessage="1" prompt="Для выбора выполните двойной щелчок левой клавиши мыши по соответствующей ячейке." sqref="S324"/>
    <dataValidation allowBlank="1" showInputMessage="1" showErrorMessage="1" prompt="Для выбора выполните двойной щелчок левой клавиши мыши по соответствующей ячейке." sqref="F325"/>
    <dataValidation allowBlank="1" showInputMessage="1" showErrorMessage="1" prompt="Выберите виды деятельности, выполнив двойной щелчок левой кнопки мыши по ячейке." sqref="G3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5"/>
    <dataValidation allowBlank="1" showInputMessage="1" showErrorMessage="1" prompt="Для выбора выполните двойной щелчок левой клавиши мыши по соответствующей ячейке." sqref="F326"/>
    <dataValidation allowBlank="1" showInputMessage="1" showErrorMessage="1" prompt="Выберите виды деятельности, выполнив двойной щелчок левой кнопки мыши по ячейке." sqref="G326"/>
    <dataValidation allowBlank="1" showInputMessage="1" showErrorMessage="1" prompt="Для выбора выполните двойной щелчок левой клавиши мыши по соответствующей ячейке." sqref="F327"/>
    <dataValidation allowBlank="1" showInputMessage="1" showErrorMessage="1" prompt="Выберите виды деятельности, выполнив двойной щелчок левой кнопки мыши по ячейке." sqref="G327"/>
    <dataValidation type="textLength" operator="lessThanOrEqual" allowBlank="1" showInputMessage="1" showErrorMessage="1" errorTitle="Ошибка" error="Допускается ввод не более 900 символов!" sqref="J327">
      <formula1>900</formula1>
    </dataValidation>
    <dataValidation allowBlank="1" showInputMessage="1" showErrorMessage="1" prompt="Для выбора выполните двойной щелчок левой клавиши мыши по соответствующей ячейке." sqref="K3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7"/>
    <dataValidation allowBlank="1" showInputMessage="1" showErrorMessage="1" prompt="Для выбора выполните двойной щелчок левой клавиши мыши по соответствующей ячейке." sqref="O327"/>
    <dataValidation type="textLength" operator="lessThanOrEqual" allowBlank="1" showInputMessage="1" showErrorMessage="1" errorTitle="Ошибка" error="Допускается ввод не более 900 символов!" sqref="R327">
      <formula1>900</formula1>
    </dataValidation>
    <dataValidation allowBlank="1" showInputMessage="1" showErrorMessage="1" prompt="Для выбора выполните двойной щелчок левой клавиши мыши по соответствующей ячейке." sqref="S327"/>
    <dataValidation type="textLength" operator="lessThanOrEqual" allowBlank="1" showInputMessage="1" showErrorMessage="1" errorTitle="Ошибка" error="Допускается ввод не более 900 символов!" sqref="V327">
      <formula1>900</formula1>
    </dataValidation>
    <dataValidation type="textLength" operator="lessThanOrEqual" allowBlank="1" showInputMessage="1" showErrorMessage="1" errorTitle="Ошибка" error="Допускается ввод не более 900 символов!" sqref="W327">
      <formula1>900</formula1>
    </dataValidation>
    <dataValidation allowBlank="1" showInputMessage="1" showErrorMessage="1" prompt="Для выбора выполните двойной щелчок левой клавиши мыши по соответствующей ячейке." sqref="F328"/>
    <dataValidation allowBlank="1" showInputMessage="1" showErrorMessage="1" prompt="Выберите виды деятельности, выполнив двойной щелчок левой кнопки мыши по ячейке." sqref="G328"/>
    <dataValidation type="textLength" operator="lessThanOrEqual" allowBlank="1" showInputMessage="1" showErrorMessage="1" errorTitle="Ошибка" error="Допускается ввод не более 900 символов!" sqref="J3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8"/>
    <dataValidation type="textLength" operator="lessThanOrEqual" allowBlank="1" showInputMessage="1" showErrorMessage="1" errorTitle="Ошибка" error="Допускается ввод не более 900 символов!" sqref="R328">
      <formula1>900</formula1>
    </dataValidation>
    <dataValidation allowBlank="1" showInputMessage="1" showErrorMessage="1" prompt="Для выбора выполните двойной щелчок левой клавиши мыши по соответствующей ячейке." sqref="S328"/>
    <dataValidation allowBlank="1" showInputMessage="1" showErrorMessage="1" prompt="Для выбора выполните двойной щелчок левой клавиши мыши по соответствующей ячейке." sqref="F329"/>
    <dataValidation allowBlank="1" showInputMessage="1" showErrorMessage="1" prompt="Выберите виды деятельности, выполнив двойной щелчок левой кнопки мыши по ячейке." sqref="G3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9"/>
    <dataValidation allowBlank="1" showInputMessage="1" showErrorMessage="1" prompt="Для выбора выполните двойной щелчок левой клавиши мыши по соответствующей ячейке." sqref="F330"/>
    <dataValidation allowBlank="1" showInputMessage="1" showErrorMessage="1" prompt="Выберите виды деятельности, выполнив двойной щелчок левой кнопки мыши по ячейке." sqref="G330"/>
    <dataValidation allowBlank="1" showInputMessage="1" showErrorMessage="1" prompt="Для выбора выполните двойной щелчок левой клавиши мыши по соответствующей ячейке." sqref="F331"/>
    <dataValidation allowBlank="1" showInputMessage="1" showErrorMessage="1" prompt="Выберите виды деятельности, выполнив двойной щелчок левой кнопки мыши по ячейке." sqref="G331"/>
    <dataValidation type="textLength" operator="lessThanOrEqual" allowBlank="1" showInputMessage="1" showErrorMessage="1" errorTitle="Ошибка" error="Допускается ввод не более 900 символов!" sqref="J331">
      <formula1>900</formula1>
    </dataValidation>
    <dataValidation allowBlank="1" showInputMessage="1" showErrorMessage="1" prompt="Для выбора выполните двойной щелчок левой клавиши мыши по соответствующей ячейке." sqref="K3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1"/>
    <dataValidation allowBlank="1" showInputMessage="1" showErrorMessage="1" prompt="Для выбора выполните двойной щелчок левой клавиши мыши по соответствующей ячейке." sqref="O331"/>
    <dataValidation type="textLength" operator="lessThanOrEqual" allowBlank="1" showInputMessage="1" showErrorMessage="1" errorTitle="Ошибка" error="Допускается ввод не более 900 символов!" sqref="R331">
      <formula1>900</formula1>
    </dataValidation>
    <dataValidation allowBlank="1" showInputMessage="1" showErrorMessage="1" prompt="Для выбора выполните двойной щелчок левой клавиши мыши по соответствующей ячейке." sqref="S331"/>
    <dataValidation type="textLength" operator="lessThanOrEqual" allowBlank="1" showInputMessage="1" showErrorMessage="1" errorTitle="Ошибка" error="Допускается ввод не более 900 символов!" sqref="V331">
      <formula1>900</formula1>
    </dataValidation>
    <dataValidation type="textLength" operator="lessThanOrEqual" allowBlank="1" showInputMessage="1" showErrorMessage="1" errorTitle="Ошибка" error="Допускается ввод не более 900 символов!" sqref="W331">
      <formula1>900</formula1>
    </dataValidation>
    <dataValidation allowBlank="1" showInputMessage="1" showErrorMessage="1" prompt="Для выбора выполните двойной щелчок левой клавиши мыши по соответствующей ячейке." sqref="F332"/>
    <dataValidation allowBlank="1" showInputMessage="1" showErrorMessage="1" prompt="Выберите виды деятельности, выполнив двойной щелчок левой кнопки мыши по ячейке." sqref="G332"/>
    <dataValidation type="textLength" operator="lessThanOrEqual" allowBlank="1" showInputMessage="1" showErrorMessage="1" errorTitle="Ошибка" error="Допускается ввод не более 900 символов!" sqref="J3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2"/>
    <dataValidation type="textLength" operator="lessThanOrEqual" allowBlank="1" showInputMessage="1" showErrorMessage="1" errorTitle="Ошибка" error="Допускается ввод не более 900 символов!" sqref="R332">
      <formula1>900</formula1>
    </dataValidation>
    <dataValidation allowBlank="1" showInputMessage="1" showErrorMessage="1" prompt="Для выбора выполните двойной щелчок левой клавиши мыши по соответствующей ячейке." sqref="S332"/>
    <dataValidation allowBlank="1" showInputMessage="1" showErrorMessage="1" prompt="Для выбора выполните двойной щелчок левой клавиши мыши по соответствующей ячейке." sqref="F333"/>
    <dataValidation allowBlank="1" showInputMessage="1" showErrorMessage="1" prompt="Выберите виды деятельности, выполнив двойной щелчок левой кнопки мыши по ячейке." sqref="G3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3"/>
    <dataValidation allowBlank="1" showInputMessage="1" showErrorMessage="1" prompt="Для выбора выполните двойной щелчок левой клавиши мыши по соответствующей ячейке." sqref="F334"/>
    <dataValidation allowBlank="1" showInputMessage="1" showErrorMessage="1" prompt="Выберите виды деятельности, выполнив двойной щелчок левой кнопки мыши по ячейке." sqref="G334"/>
    <dataValidation allowBlank="1" showInputMessage="1" showErrorMessage="1" prompt="Для выбора выполните двойной щелчок левой клавиши мыши по соответствующей ячейке." sqref="F335"/>
    <dataValidation allowBlank="1" showInputMessage="1" showErrorMessage="1" prompt="Выберите виды деятельности, выполнив двойной щелчок левой кнопки мыши по ячейке." sqref="G335"/>
    <dataValidation type="textLength" operator="lessThanOrEqual" allowBlank="1" showInputMessage="1" showErrorMessage="1" errorTitle="Ошибка" error="Допускается ввод не более 900 символов!" sqref="J335">
      <formula1>900</formula1>
    </dataValidation>
    <dataValidation allowBlank="1" showInputMessage="1" showErrorMessage="1" prompt="Для выбора выполните двойной щелчок левой клавиши мыши по соответствующей ячейке." sqref="K3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5"/>
    <dataValidation allowBlank="1" showInputMessage="1" showErrorMessage="1" prompt="Для выбора выполните двойной щелчок левой клавиши мыши по соответствующей ячейке." sqref="O335"/>
    <dataValidation type="textLength" operator="lessThanOrEqual" allowBlank="1" showInputMessage="1" showErrorMessage="1" errorTitle="Ошибка" error="Допускается ввод не более 900 символов!" sqref="R335">
      <formula1>900</formula1>
    </dataValidation>
    <dataValidation allowBlank="1" showInputMessage="1" showErrorMessage="1" prompt="Для выбора выполните двойной щелчок левой клавиши мыши по соответствующей ячейке." sqref="S335"/>
    <dataValidation type="textLength" operator="lessThanOrEqual" allowBlank="1" showInputMessage="1" showErrorMessage="1" errorTitle="Ошибка" error="Допускается ввод не более 900 символов!" sqref="V335">
      <formula1>900</formula1>
    </dataValidation>
    <dataValidation type="textLength" operator="lessThanOrEqual" allowBlank="1" showInputMessage="1" showErrorMessage="1" errorTitle="Ошибка" error="Допускается ввод не более 900 символов!" sqref="W335">
      <formula1>900</formula1>
    </dataValidation>
    <dataValidation allowBlank="1" showInputMessage="1" showErrorMessage="1" prompt="Для выбора выполните двойной щелчок левой клавиши мыши по соответствующей ячейке." sqref="F336"/>
    <dataValidation allowBlank="1" showInputMessage="1" showErrorMessage="1" prompt="Выберите виды деятельности, выполнив двойной щелчок левой кнопки мыши по ячейке." sqref="G336"/>
    <dataValidation type="textLength" operator="lessThanOrEqual" allowBlank="1" showInputMessage="1" showErrorMessage="1" errorTitle="Ошибка" error="Допускается ввод не более 900 символов!" sqref="J3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6"/>
    <dataValidation type="textLength" operator="lessThanOrEqual" allowBlank="1" showInputMessage="1" showErrorMessage="1" errorTitle="Ошибка" error="Допускается ввод не более 900 символов!" sqref="R336">
      <formula1>900</formula1>
    </dataValidation>
    <dataValidation allowBlank="1" showInputMessage="1" showErrorMessage="1" prompt="Для выбора выполните двойной щелчок левой клавиши мыши по соответствующей ячейке." sqref="S336"/>
    <dataValidation allowBlank="1" showInputMessage="1" showErrorMessage="1" prompt="Для выбора выполните двойной щелчок левой клавиши мыши по соответствующей ячейке." sqref="F337"/>
    <dataValidation allowBlank="1" showInputMessage="1" showErrorMessage="1" prompt="Выберите виды деятельности, выполнив двойной щелчок левой кнопки мыши по ячейке." sqref="G3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7"/>
    <dataValidation allowBlank="1" showInputMessage="1" showErrorMessage="1" prompt="Для выбора выполните двойной щелчок левой клавиши мыши по соответствующей ячейке." sqref="F338"/>
    <dataValidation allowBlank="1" showInputMessage="1" showErrorMessage="1" prompt="Выберите виды деятельности, выполнив двойной щелчок левой кнопки мыши по ячейке." sqref="G338"/>
    <dataValidation allowBlank="1" showInputMessage="1" showErrorMessage="1" prompt="Для выбора выполните двойной щелчок левой клавиши мыши по соответствующей ячейке." sqref="F339"/>
    <dataValidation allowBlank="1" showInputMessage="1" showErrorMessage="1" prompt="Выберите виды деятельности, выполнив двойной щелчок левой кнопки мыши по ячейке." sqref="G339"/>
    <dataValidation type="textLength" operator="lessThanOrEqual" allowBlank="1" showInputMessage="1" showErrorMessage="1" errorTitle="Ошибка" error="Допускается ввод не более 900 символов!" sqref="J339">
      <formula1>900</formula1>
    </dataValidation>
    <dataValidation allowBlank="1" showInputMessage="1" showErrorMessage="1" prompt="Для выбора выполните двойной щелчок левой клавиши мыши по соответствующей ячейке." sqref="K3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9"/>
    <dataValidation allowBlank="1" showInputMessage="1" showErrorMessage="1" prompt="Для выбора выполните двойной щелчок левой клавиши мыши по соответствующей ячейке." sqref="O339"/>
    <dataValidation type="textLength" operator="lessThanOrEqual" allowBlank="1" showInputMessage="1" showErrorMessage="1" errorTitle="Ошибка" error="Допускается ввод не более 900 символов!" sqref="R339">
      <formula1>900</formula1>
    </dataValidation>
    <dataValidation allowBlank="1" showInputMessage="1" showErrorMessage="1" prompt="Для выбора выполните двойной щелчок левой клавиши мыши по соответствующей ячейке." sqref="S339"/>
    <dataValidation type="textLength" operator="lessThanOrEqual" allowBlank="1" showInputMessage="1" showErrorMessage="1" errorTitle="Ошибка" error="Допускается ввод не более 900 символов!" sqref="V339">
      <formula1>900</formula1>
    </dataValidation>
    <dataValidation type="textLength" operator="lessThanOrEqual" allowBlank="1" showInputMessage="1" showErrorMessage="1" errorTitle="Ошибка" error="Допускается ввод не более 900 символов!" sqref="W339">
      <formula1>900</formula1>
    </dataValidation>
    <dataValidation allowBlank="1" showInputMessage="1" showErrorMessage="1" prompt="Для выбора выполните двойной щелчок левой клавиши мыши по соответствующей ячейке." sqref="F340"/>
    <dataValidation allowBlank="1" showInputMessage="1" showErrorMessage="1" prompt="Выберите виды деятельности, выполнив двойной щелчок левой кнопки мыши по ячейке." sqref="G340"/>
    <dataValidation type="textLength" operator="lessThanOrEqual" allowBlank="1" showInputMessage="1" showErrorMessage="1" errorTitle="Ошибка" error="Допускается ввод не более 900 символов!" sqref="J3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0"/>
    <dataValidation type="textLength" operator="lessThanOrEqual" allowBlank="1" showInputMessage="1" showErrorMessage="1" errorTitle="Ошибка" error="Допускается ввод не более 900 символов!" sqref="R340">
      <formula1>900</formula1>
    </dataValidation>
    <dataValidation allowBlank="1" showInputMessage="1" showErrorMessage="1" prompt="Для выбора выполните двойной щелчок левой клавиши мыши по соответствующей ячейке." sqref="S340"/>
    <dataValidation allowBlank="1" showInputMessage="1" showErrorMessage="1" prompt="Для выбора выполните двойной щелчок левой клавиши мыши по соответствующей ячейке." sqref="F341"/>
    <dataValidation allowBlank="1" showInputMessage="1" showErrorMessage="1" prompt="Выберите виды деятельности, выполнив двойной щелчок левой кнопки мыши по ячейке." sqref="G3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1"/>
    <dataValidation allowBlank="1" showInputMessage="1" showErrorMessage="1" prompt="Для выбора выполните двойной щелчок левой клавиши мыши по соответствующей ячейке." sqref="F342"/>
    <dataValidation allowBlank="1" showInputMessage="1" showErrorMessage="1" prompt="Выберите виды деятельности, выполнив двойной щелчок левой кнопки мыши по ячейке." sqref="G342"/>
    <dataValidation allowBlank="1" showInputMessage="1" showErrorMessage="1" prompt="Для выбора выполните двойной щелчок левой клавиши мыши по соответствующей ячейке." sqref="F343"/>
    <dataValidation allowBlank="1" showInputMessage="1" showErrorMessage="1" prompt="Выберите виды деятельности, выполнив двойной щелчок левой кнопки мыши по ячейке." sqref="G343"/>
    <dataValidation type="textLength" operator="lessThanOrEqual" allowBlank="1" showInputMessage="1" showErrorMessage="1" errorTitle="Ошибка" error="Допускается ввод не более 900 символов!" sqref="J343">
      <formula1>900</formula1>
    </dataValidation>
    <dataValidation allowBlank="1" showInputMessage="1" showErrorMessage="1" prompt="Для выбора выполните двойной щелчок левой клавиши мыши по соответствующей ячейке." sqref="K3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3"/>
    <dataValidation allowBlank="1" showInputMessage="1" showErrorMessage="1" prompt="Для выбора выполните двойной щелчок левой клавиши мыши по соответствующей ячейке." sqref="O343"/>
    <dataValidation type="textLength" operator="lessThanOrEqual" allowBlank="1" showInputMessage="1" showErrorMessage="1" errorTitle="Ошибка" error="Допускается ввод не более 900 символов!" sqref="R343">
      <formula1>900</formula1>
    </dataValidation>
    <dataValidation allowBlank="1" showInputMessage="1" showErrorMessage="1" prompt="Для выбора выполните двойной щелчок левой клавиши мыши по соответствующей ячейке." sqref="S343"/>
    <dataValidation type="textLength" operator="lessThanOrEqual" allowBlank="1" showInputMessage="1" showErrorMessage="1" errorTitle="Ошибка" error="Допускается ввод не более 900 символов!" sqref="V343">
      <formula1>900</formula1>
    </dataValidation>
    <dataValidation type="textLength" operator="lessThanOrEqual" allowBlank="1" showInputMessage="1" showErrorMessage="1" errorTitle="Ошибка" error="Допускается ввод не более 900 символов!" sqref="W343">
      <formula1>900</formula1>
    </dataValidation>
    <dataValidation allowBlank="1" showInputMessage="1" showErrorMessage="1" prompt="Для выбора выполните двойной щелчок левой клавиши мыши по соответствующей ячейке." sqref="F344"/>
    <dataValidation allowBlank="1" showInputMessage="1" showErrorMessage="1" prompt="Выберите виды деятельности, выполнив двойной щелчок левой кнопки мыши по ячейке." sqref="G344"/>
    <dataValidation type="textLength" operator="lessThanOrEqual" allowBlank="1" showInputMessage="1" showErrorMessage="1" errorTitle="Ошибка" error="Допускается ввод не более 900 символов!" sqref="J3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4"/>
    <dataValidation type="textLength" operator="lessThanOrEqual" allowBlank="1" showInputMessage="1" showErrorMessage="1" errorTitle="Ошибка" error="Допускается ввод не более 900 символов!" sqref="R344">
      <formula1>900</formula1>
    </dataValidation>
    <dataValidation allowBlank="1" showInputMessage="1" showErrorMessage="1" prompt="Для выбора выполните двойной щелчок левой клавиши мыши по соответствующей ячейке." sqref="S344"/>
    <dataValidation allowBlank="1" showInputMessage="1" showErrorMessage="1" prompt="Для выбора выполните двойной щелчок левой клавиши мыши по соответствующей ячейке." sqref="F345"/>
    <dataValidation allowBlank="1" showInputMessage="1" showErrorMessage="1" prompt="Выберите виды деятельности, выполнив двойной щелчок левой кнопки мыши по ячейке." sqref="G3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5"/>
    <dataValidation allowBlank="1" showInputMessage="1" showErrorMessage="1" prompt="Для выбора выполните двойной щелчок левой клавиши мыши по соответствующей ячейке." sqref="F346"/>
    <dataValidation allowBlank="1" showInputMessage="1" showErrorMessage="1" prompt="Выберите виды деятельности, выполнив двойной щелчок левой кнопки мыши по ячейке." sqref="G346"/>
    <dataValidation allowBlank="1" showInputMessage="1" showErrorMessage="1" prompt="Для выбора выполните двойной щелчок левой клавиши мыши по соответствующей ячейке." sqref="F347"/>
    <dataValidation allowBlank="1" showInputMessage="1" showErrorMessage="1" prompt="Выберите виды деятельности, выполнив двойной щелчок левой кнопки мыши по ячейке." sqref="G347"/>
    <dataValidation type="textLength" operator="lessThanOrEqual" allowBlank="1" showInputMessage="1" showErrorMessage="1" errorTitle="Ошибка" error="Допускается ввод не более 900 символов!" sqref="J347">
      <formula1>900</formula1>
    </dataValidation>
    <dataValidation allowBlank="1" showInputMessage="1" showErrorMessage="1" prompt="Для выбора выполните двойной щелчок левой клавиши мыши по соответствующей ячейке." sqref="K3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7"/>
    <dataValidation allowBlank="1" showInputMessage="1" showErrorMessage="1" prompt="Для выбора выполните двойной щелчок левой клавиши мыши по соответствующей ячейке." sqref="O347"/>
    <dataValidation type="textLength" operator="lessThanOrEqual" allowBlank="1" showInputMessage="1" showErrorMessage="1" errorTitle="Ошибка" error="Допускается ввод не более 900 символов!" sqref="R347">
      <formula1>900</formula1>
    </dataValidation>
    <dataValidation allowBlank="1" showInputMessage="1" showErrorMessage="1" prompt="Для выбора выполните двойной щелчок левой клавиши мыши по соответствующей ячейке." sqref="S347"/>
    <dataValidation type="textLength" operator="lessThanOrEqual" allowBlank="1" showInputMessage="1" showErrorMessage="1" errorTitle="Ошибка" error="Допускается ввод не более 900 символов!" sqref="V347">
      <formula1>900</formula1>
    </dataValidation>
    <dataValidation type="textLength" operator="lessThanOrEqual" allowBlank="1" showInputMessage="1" showErrorMessage="1" errorTitle="Ошибка" error="Допускается ввод не более 900 символов!" sqref="W347">
      <formula1>900</formula1>
    </dataValidation>
    <dataValidation allowBlank="1" showInputMessage="1" showErrorMessage="1" prompt="Для выбора выполните двойной щелчок левой клавиши мыши по соответствующей ячейке." sqref="F348"/>
    <dataValidation allowBlank="1" showInputMessage="1" showErrorMessage="1" prompt="Выберите виды деятельности, выполнив двойной щелчок левой кнопки мыши по ячейке." sqref="G348"/>
    <dataValidation type="textLength" operator="lessThanOrEqual" allowBlank="1" showInputMessage="1" showErrorMessage="1" errorTitle="Ошибка" error="Допускается ввод не более 900 символов!" sqref="J3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8"/>
    <dataValidation type="textLength" operator="lessThanOrEqual" allowBlank="1" showInputMessage="1" showErrorMessage="1" errorTitle="Ошибка" error="Допускается ввод не более 900 символов!" sqref="R348">
      <formula1>900</formula1>
    </dataValidation>
    <dataValidation allowBlank="1" showInputMessage="1" showErrorMessage="1" prompt="Для выбора выполните двойной щелчок левой клавиши мыши по соответствующей ячейке." sqref="S348"/>
    <dataValidation allowBlank="1" showInputMessage="1" showErrorMessage="1" prompt="Для выбора выполните двойной щелчок левой клавиши мыши по соответствующей ячейке." sqref="F349"/>
    <dataValidation allowBlank="1" showInputMessage="1" showErrorMessage="1" prompt="Выберите виды деятельности, выполнив двойной щелчок левой кнопки мыши по ячейке." sqref="G3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9"/>
    <dataValidation allowBlank="1" showInputMessage="1" showErrorMessage="1" prompt="Для выбора выполните двойной щелчок левой клавиши мыши по соответствующей ячейке." sqref="F350"/>
    <dataValidation allowBlank="1" showInputMessage="1" showErrorMessage="1" prompt="Выберите виды деятельности, выполнив двойной щелчок левой кнопки мыши по ячейке." sqref="G350"/>
    <dataValidation allowBlank="1" showInputMessage="1" showErrorMessage="1" prompt="Для выбора выполните двойной щелчок левой клавиши мыши по соответствующей ячейке." sqref="F351"/>
    <dataValidation allowBlank="1" showInputMessage="1" showErrorMessage="1" prompt="Выберите виды деятельности, выполнив двойной щелчок левой кнопки мыши по ячейке." sqref="G351"/>
    <dataValidation type="textLength" operator="lessThanOrEqual" allowBlank="1" showInputMessage="1" showErrorMessage="1" errorTitle="Ошибка" error="Допускается ввод не более 900 символов!" sqref="J351">
      <formula1>900</formula1>
    </dataValidation>
    <dataValidation allowBlank="1" showInputMessage="1" showErrorMessage="1" prompt="Для выбора выполните двойной щелчок левой клавиши мыши по соответствующей ячейке." sqref="K3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1"/>
    <dataValidation allowBlank="1" showInputMessage="1" showErrorMessage="1" prompt="Для выбора выполните двойной щелчок левой клавиши мыши по соответствующей ячейке." sqref="O351"/>
    <dataValidation type="textLength" operator="lessThanOrEqual" allowBlank="1" showInputMessage="1" showErrorMessage="1" errorTitle="Ошибка" error="Допускается ввод не более 900 символов!" sqref="R351">
      <formula1>900</formula1>
    </dataValidation>
    <dataValidation allowBlank="1" showInputMessage="1" showErrorMessage="1" prompt="Для выбора выполните двойной щелчок левой клавиши мыши по соответствующей ячейке." sqref="S351"/>
    <dataValidation type="textLength" operator="lessThanOrEqual" allowBlank="1" showInputMessage="1" showErrorMessage="1" errorTitle="Ошибка" error="Допускается ввод не более 900 символов!" sqref="V351">
      <formula1>900</formula1>
    </dataValidation>
    <dataValidation type="textLength" operator="lessThanOrEqual" allowBlank="1" showInputMessage="1" showErrorMessage="1" errorTitle="Ошибка" error="Допускается ввод не более 900 символов!" sqref="W351">
      <formula1>900</formula1>
    </dataValidation>
    <dataValidation allowBlank="1" showInputMessage="1" showErrorMessage="1" prompt="Для выбора выполните двойной щелчок левой клавиши мыши по соответствующей ячейке." sqref="F352"/>
    <dataValidation allowBlank="1" showInputMessage="1" showErrorMessage="1" prompt="Выберите виды деятельности, выполнив двойной щелчок левой кнопки мыши по ячейке." sqref="G352"/>
    <dataValidation type="textLength" operator="lessThanOrEqual" allowBlank="1" showInputMessage="1" showErrorMessage="1" errorTitle="Ошибка" error="Допускается ввод не более 900 символов!" sqref="J3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2"/>
    <dataValidation type="textLength" operator="lessThanOrEqual" allowBlank="1" showInputMessage="1" showErrorMessage="1" errorTitle="Ошибка" error="Допускается ввод не более 900 символов!" sqref="R352">
      <formula1>900</formula1>
    </dataValidation>
    <dataValidation allowBlank="1" showInputMessage="1" showErrorMessage="1" prompt="Для выбора выполните двойной щелчок левой клавиши мыши по соответствующей ячейке." sqref="S352"/>
    <dataValidation allowBlank="1" showInputMessage="1" showErrorMessage="1" prompt="Для выбора выполните двойной щелчок левой клавиши мыши по соответствующей ячейке." sqref="F353"/>
    <dataValidation allowBlank="1" showInputMessage="1" showErrorMessage="1" prompt="Выберите виды деятельности, выполнив двойной щелчок левой кнопки мыши по ячейке." sqref="G3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3"/>
    <dataValidation allowBlank="1" showInputMessage="1" showErrorMessage="1" prompt="Для выбора выполните двойной щелчок левой клавиши мыши по соответствующей ячейке." sqref="F354"/>
    <dataValidation allowBlank="1" showInputMessage="1" showErrorMessage="1" prompt="Выберите виды деятельности, выполнив двойной щелчок левой кнопки мыши по ячейке." sqref="G354"/>
    <dataValidation allowBlank="1" showInputMessage="1" showErrorMessage="1" prompt="Для выбора выполните двойной щелчок левой клавиши мыши по соответствующей ячейке." sqref="F355"/>
    <dataValidation allowBlank="1" showInputMessage="1" showErrorMessage="1" prompt="Выберите виды деятельности, выполнив двойной щелчок левой кнопки мыши по ячейке." sqref="G355"/>
    <dataValidation type="textLength" operator="lessThanOrEqual" allowBlank="1" showInputMessage="1" showErrorMessage="1" errorTitle="Ошибка" error="Допускается ввод не более 900 символов!" sqref="J355">
      <formula1>900</formula1>
    </dataValidation>
    <dataValidation allowBlank="1" showInputMessage="1" showErrorMessage="1" prompt="Для выбора выполните двойной щелчок левой клавиши мыши по соответствующей ячейке." sqref="K3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5"/>
    <dataValidation allowBlank="1" showInputMessage="1" showErrorMessage="1" prompt="Для выбора выполните двойной щелчок левой клавиши мыши по соответствующей ячейке." sqref="O355"/>
    <dataValidation type="textLength" operator="lessThanOrEqual" allowBlank="1" showInputMessage="1" showErrorMessage="1" errorTitle="Ошибка" error="Допускается ввод не более 900 символов!" sqref="R355">
      <formula1>900</formula1>
    </dataValidation>
    <dataValidation allowBlank="1" showInputMessage="1" showErrorMessage="1" prompt="Для выбора выполните двойной щелчок левой клавиши мыши по соответствующей ячейке." sqref="S355"/>
    <dataValidation type="textLength" operator="lessThanOrEqual" allowBlank="1" showInputMessage="1" showErrorMessage="1" errorTitle="Ошибка" error="Допускается ввод не более 900 символов!" sqref="V355">
      <formula1>900</formula1>
    </dataValidation>
    <dataValidation type="textLength" operator="lessThanOrEqual" allowBlank="1" showInputMessage="1" showErrorMessage="1" errorTitle="Ошибка" error="Допускается ввод не более 900 символов!" sqref="W355">
      <formula1>900</formula1>
    </dataValidation>
    <dataValidation allowBlank="1" showInputMessage="1" showErrorMessage="1" prompt="Для выбора выполните двойной щелчок левой клавиши мыши по соответствующей ячейке." sqref="F356"/>
    <dataValidation allowBlank="1" showInputMessage="1" showErrorMessage="1" prompt="Выберите виды деятельности, выполнив двойной щелчок левой кнопки мыши по ячейке." sqref="G356"/>
    <dataValidation type="textLength" operator="lessThanOrEqual" allowBlank="1" showInputMessage="1" showErrorMessage="1" errorTitle="Ошибка" error="Допускается ввод не более 900 символов!" sqref="J3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6"/>
    <dataValidation type="textLength" operator="lessThanOrEqual" allowBlank="1" showInputMessage="1" showErrorMessage="1" errorTitle="Ошибка" error="Допускается ввод не более 900 символов!" sqref="R356">
      <formula1>900</formula1>
    </dataValidation>
    <dataValidation allowBlank="1" showInputMessage="1" showErrorMessage="1" prompt="Для выбора выполните двойной щелчок левой клавиши мыши по соответствующей ячейке." sqref="S356"/>
    <dataValidation allowBlank="1" showInputMessage="1" showErrorMessage="1" prompt="Для выбора выполните двойной щелчок левой клавиши мыши по соответствующей ячейке." sqref="F357"/>
    <dataValidation allowBlank="1" showInputMessage="1" showErrorMessage="1" prompt="Выберите виды деятельности, выполнив двойной щелчок левой кнопки мыши по ячейке." sqref="G3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7"/>
    <dataValidation allowBlank="1" showInputMessage="1" showErrorMessage="1" prompt="Для выбора выполните двойной щелчок левой клавиши мыши по соответствующей ячейке." sqref="F358"/>
    <dataValidation allowBlank="1" showInputMessage="1" showErrorMessage="1" prompt="Выберите виды деятельности, выполнив двойной щелчок левой кнопки мыши по ячейке." sqref="G35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27.28515625" style="1555" customWidth="1"/>
    <col min="7" max="7" width="16.7109375" style="1555" customWidth="1"/>
    <col min="8" max="8" width="12.7109375" style="1555" customWidth="1"/>
    <col min="9" max="9" width="32.140625" style="1555" customWidth="1"/>
    <col min="10" max="11" width="41.85546875" style="1555" customWidth="1"/>
    <col min="12" max="12" width="89.5703125" style="1555" customWidth="1"/>
    <col min="13" max="13" width="3.7109375" style="1544" customWidth="1"/>
    <col min="14" max="16" width="9.140625" style="1544"/>
    <col min="17" max="17" width="25.7109375" style="1544" customWidth="1"/>
    <col min="18" max="18" width="14.42578125" style="1544" customWidth="1"/>
    <col min="19" max="22" width="9.140625" style="142"/>
    <col min="23" max="256" width="9.140625" style="1555"/>
  </cols>
  <sheetData>
    <row r="1" spans="1:256" ht="14.25" hidden="1" customHeight="1"/>
    <row r="2" spans="1:256" s="1818" customFormat="1" ht="22.5" hidden="1" customHeight="1">
      <c r="A2" s="745"/>
      <c r="B2" s="1065">
        <v>1</v>
      </c>
      <c r="C2" s="1065"/>
      <c r="D2" s="715"/>
      <c r="E2" s="1399"/>
      <c r="F2" s="1454" t="str">
        <f>IF(ROIV_INFO_NAME="","",ROIV_INFO_NAME)</f>
        <v>ГУП СК "Ставрополькрайводоканал"</v>
      </c>
      <c r="G2" s="1651" t="s">
        <v>24</v>
      </c>
      <c r="H2" s="1453"/>
      <c r="I2" s="1453"/>
      <c r="J2" s="1069"/>
      <c r="K2" s="1069"/>
      <c r="L2" s="145"/>
      <c r="M2" s="1450" t="e">
        <f ca="1">MERGEVALUE(F2)</f>
        <v>#NAME?</v>
      </c>
      <c r="N2" s="435"/>
      <c r="O2" s="435"/>
      <c r="P2" s="424" t="str">
        <f t="array" ref="P2">IF(ISERROR(MATCH(MID(Q2,1,250),MID(note_ter,1,250),0)),"n","y")</f>
        <v>n</v>
      </c>
      <c r="Q2" s="435"/>
      <c r="R2" s="424" t="str">
        <f>G2&amp;"("&amp;L2&amp;")"</f>
        <v>()</v>
      </c>
      <c r="S2" s="1065"/>
      <c r="T2" s="1065"/>
      <c r="U2" s="348"/>
      <c r="V2" s="1065"/>
      <c r="W2" s="1065"/>
      <c r="X2" s="1065"/>
      <c r="Y2" s="350"/>
      <c r="Z2" s="350"/>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50"/>
      <c r="BW2" s="350"/>
      <c r="BX2" s="350"/>
      <c r="BY2" s="350"/>
      <c r="BZ2" s="350"/>
      <c r="CA2" s="350"/>
      <c r="CB2" s="350"/>
      <c r="CC2" s="350"/>
      <c r="CD2" s="350"/>
      <c r="CE2" s="350"/>
    </row>
    <row r="3" spans="1:256" s="1562" customFormat="1" ht="5.25" hidden="1" customHeight="1">
      <c r="A3" s="420"/>
      <c r="D3" s="418"/>
      <c r="F3" s="162" t="s">
        <v>79</v>
      </c>
      <c r="G3" s="1654" t="s">
        <v>80</v>
      </c>
      <c r="H3" s="418"/>
      <c r="I3" s="418"/>
      <c r="J3" s="418"/>
      <c r="K3" s="418"/>
      <c r="L3" s="144" t="s">
        <v>81</v>
      </c>
      <c r="M3" s="162" t="s">
        <v>79</v>
      </c>
      <c r="N3" s="162"/>
      <c r="O3" s="162"/>
      <c r="P3" s="162"/>
      <c r="Q3" s="163"/>
      <c r="R3" s="162"/>
      <c r="S3" s="162"/>
      <c r="T3" s="162"/>
      <c r="U3" s="162"/>
      <c r="V3" s="162"/>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s="1739" customFormat="1" ht="14.25" customHeight="1">
      <c r="A4" s="1060"/>
      <c r="B4" s="1065"/>
      <c r="C4" s="1060"/>
      <c r="D4" s="1410"/>
      <c r="E4" s="433"/>
      <c r="F4" s="433"/>
      <c r="G4" s="433"/>
      <c r="H4" s="433"/>
      <c r="I4" s="433"/>
      <c r="J4" s="433"/>
      <c r="K4" s="433"/>
      <c r="L4" s="84"/>
      <c r="M4" s="162"/>
      <c r="N4" s="424"/>
      <c r="O4" s="424"/>
      <c r="P4" s="424"/>
      <c r="Q4" s="143"/>
      <c r="R4" s="424"/>
      <c r="S4" s="142"/>
      <c r="T4" s="142"/>
      <c r="U4" s="142"/>
      <c r="V4" s="142"/>
    </row>
    <row r="5" spans="1:256" s="1739" customFormat="1" ht="25.5" customHeight="1">
      <c r="A5" s="1060"/>
      <c r="B5" s="1065"/>
      <c r="C5" s="1060"/>
      <c r="D5" s="1410"/>
      <c r="E5" s="8728"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8728"/>
      <c r="G5" s="8728"/>
      <c r="H5" s="8728"/>
      <c r="I5" s="8728"/>
      <c r="J5" s="8728"/>
      <c r="K5" s="8728"/>
      <c r="L5" s="509"/>
      <c r="M5" s="162"/>
      <c r="N5" s="424"/>
      <c r="O5" s="424"/>
      <c r="P5" s="424"/>
      <c r="Q5" s="143"/>
      <c r="R5" s="424"/>
      <c r="S5" s="142"/>
      <c r="T5" s="142"/>
      <c r="U5" s="142"/>
      <c r="V5" s="142"/>
    </row>
    <row r="6" spans="1:256" s="1739" customFormat="1" ht="14.25" customHeight="1">
      <c r="A6" s="1060"/>
      <c r="B6" s="1065"/>
      <c r="C6" s="1060"/>
      <c r="D6" s="1410"/>
      <c r="E6" s="433"/>
      <c r="F6" s="85"/>
      <c r="G6" s="85"/>
      <c r="H6" s="85"/>
      <c r="I6" s="85"/>
      <c r="J6" s="85"/>
      <c r="K6" s="85"/>
      <c r="L6" s="86"/>
      <c r="M6" s="424"/>
      <c r="N6" s="424"/>
      <c r="O6" s="424"/>
      <c r="P6" s="424"/>
      <c r="Q6" s="143"/>
      <c r="R6" s="424"/>
      <c r="S6" s="142"/>
      <c r="T6" s="142"/>
      <c r="U6" s="142"/>
      <c r="V6" s="142"/>
    </row>
    <row r="7" spans="1:256" s="1739" customFormat="1" ht="14.25" customHeight="1">
      <c r="A7" s="1060"/>
      <c r="B7" s="1065"/>
      <c r="C7" s="1060"/>
      <c r="D7" s="1410"/>
      <c r="E7" s="8724" t="s">
        <v>763</v>
      </c>
      <c r="F7" s="8729"/>
      <c r="G7" s="8729"/>
      <c r="H7" s="8729"/>
      <c r="I7" s="8729"/>
      <c r="J7" s="8729"/>
      <c r="K7" s="8729"/>
      <c r="L7" s="9044" t="s">
        <v>764</v>
      </c>
      <c r="M7" s="424"/>
      <c r="N7" s="424"/>
      <c r="O7" s="424"/>
      <c r="P7" s="424"/>
      <c r="Q7" s="143"/>
      <c r="R7" s="424"/>
      <c r="S7" s="142"/>
      <c r="T7" s="142"/>
      <c r="U7" s="142"/>
      <c r="V7" s="142"/>
    </row>
    <row r="8" spans="1:256" s="1739" customFormat="1" ht="47.25" customHeight="1">
      <c r="A8" s="1060"/>
      <c r="B8" s="1065"/>
      <c r="C8" s="1060"/>
      <c r="D8" s="1410"/>
      <c r="E8" s="9049" t="s">
        <v>84</v>
      </c>
      <c r="F8" s="9049" t="s">
        <v>1556</v>
      </c>
      <c r="G8" s="9051"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9052"/>
      <c r="I8" s="9053"/>
      <c r="J8" s="9049"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9049"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9048"/>
      <c r="M8" s="424"/>
      <c r="N8" s="424"/>
      <c r="O8" s="424"/>
      <c r="P8" s="424"/>
      <c r="Q8" s="143"/>
      <c r="R8" s="424"/>
      <c r="S8" s="142"/>
      <c r="T8" s="142"/>
      <c r="U8" s="142"/>
      <c r="V8" s="142"/>
    </row>
    <row r="9" spans="1:256" s="1739" customFormat="1" ht="56.25" customHeight="1">
      <c r="A9" s="1060"/>
      <c r="B9" s="1065"/>
      <c r="C9" s="1060"/>
      <c r="D9" s="1410"/>
      <c r="E9" s="9050"/>
      <c r="F9" s="9050"/>
      <c r="G9" s="1452" t="s">
        <v>1578</v>
      </c>
      <c r="H9" s="1452" t="s">
        <v>1579</v>
      </c>
      <c r="I9" s="1452" t="s">
        <v>1580</v>
      </c>
      <c r="J9" s="9050"/>
      <c r="K9" s="9050"/>
      <c r="L9" s="9045"/>
      <c r="M9" s="424"/>
      <c r="N9" s="424"/>
      <c r="O9" s="424"/>
      <c r="P9" s="424"/>
      <c r="Q9" s="143"/>
      <c r="R9" s="424"/>
      <c r="S9" s="142"/>
      <c r="T9" s="142"/>
      <c r="U9" s="142"/>
      <c r="V9" s="142"/>
    </row>
    <row r="10" spans="1:256" s="1818" customFormat="1" ht="22.5" customHeight="1">
      <c r="A10" s="8727"/>
      <c r="B10" s="1065">
        <v>1</v>
      </c>
      <c r="C10" s="1065"/>
      <c r="D10" s="714"/>
      <c r="E10" s="712">
        <v>1</v>
      </c>
      <c r="F10" s="1454" t="str">
        <f>IF(ROIV_INFO_NAME="","",ROIV_INFO_NAME)</f>
        <v>ГУП СК "Ставрополькрайводоканал"</v>
      </c>
      <c r="G10" s="1651" t="s">
        <v>24</v>
      </c>
      <c r="H10" s="1449"/>
      <c r="I10" s="1449"/>
      <c r="J10" s="1069"/>
      <c r="K10" s="1069"/>
      <c r="L10" s="9046" t="s">
        <v>1581</v>
      </c>
      <c r="M10" s="1450" t="e">
        <f ca="1">MERGEVALUE(F10)</f>
        <v>#NAME?</v>
      </c>
      <c r="N10" s="435"/>
      <c r="O10" s="435"/>
      <c r="P10" s="424" t="str">
        <f t="array" ref="P10">IF(ISERROR(MATCH(MID(Q10,1,250),MID(note_ter,1,250),0)),"n","y")</f>
        <v>n</v>
      </c>
      <c r="Q10" s="435"/>
      <c r="R10" s="42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5"/>
      <c r="T10" s="1065"/>
      <c r="U10" s="348"/>
      <c r="V10" s="1065"/>
      <c r="W10" s="1065"/>
      <c r="X10" s="1065"/>
      <c r="Y10" s="350"/>
      <c r="Z10" s="350"/>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50"/>
      <c r="BW10" s="350"/>
      <c r="BX10" s="350"/>
      <c r="BY10" s="350"/>
      <c r="BZ10" s="350"/>
      <c r="CA10" s="350"/>
      <c r="CB10" s="350"/>
      <c r="CC10" s="350"/>
      <c r="CD10" s="350"/>
      <c r="CE10" s="350"/>
    </row>
    <row r="11" spans="1:256" s="1818" customFormat="1" ht="15" customHeight="1">
      <c r="A11" s="8727"/>
      <c r="B11" s="1065"/>
      <c r="C11" s="341"/>
      <c r="D11" s="715"/>
      <c r="E11" s="349"/>
      <c r="F11" s="345" t="s">
        <v>1582</v>
      </c>
      <c r="G11" s="105"/>
      <c r="H11" s="105"/>
      <c r="I11" s="105"/>
      <c r="J11" s="105"/>
      <c r="K11" s="105"/>
      <c r="L11" s="9047"/>
      <c r="M11" s="1451"/>
      <c r="N11" s="435"/>
      <c r="O11" s="435"/>
      <c r="P11" s="435"/>
      <c r="Q11" s="424"/>
      <c r="R11" s="435"/>
      <c r="S11" s="1065"/>
      <c r="T11" s="1065"/>
      <c r="U11" s="348"/>
      <c r="V11" s="1065"/>
      <c r="W11" s="1065"/>
      <c r="X11" s="1065"/>
      <c r="Y11" s="350"/>
      <c r="Z11" s="350"/>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50"/>
      <c r="BW11" s="350"/>
      <c r="BX11" s="350"/>
      <c r="BY11" s="350"/>
      <c r="BZ11" s="350"/>
      <c r="CA11" s="350"/>
      <c r="CB11" s="350"/>
      <c r="CC11" s="350"/>
      <c r="CD11" s="350"/>
      <c r="CE11" s="350"/>
    </row>
    <row r="12" spans="1:256" s="1739" customFormat="1" ht="21" customHeight="1">
      <c r="A12" s="1060"/>
      <c r="B12" s="1065"/>
      <c r="C12" s="1060"/>
      <c r="D12" s="376"/>
      <c r="E12" s="98"/>
      <c r="F12" s="98"/>
      <c r="G12" s="98"/>
      <c r="H12" s="98"/>
      <c r="I12" s="98"/>
      <c r="J12" s="98"/>
      <c r="K12" s="98"/>
      <c r="L12" s="98"/>
      <c r="M12" s="424"/>
      <c r="N12" s="424"/>
      <c r="O12" s="424"/>
      <c r="P12" s="424"/>
      <c r="Q12" s="143"/>
      <c r="R12" s="424"/>
      <c r="S12" s="142"/>
      <c r="T12" s="142"/>
      <c r="U12" s="142"/>
      <c r="V12" s="142"/>
    </row>
    <row r="13" spans="1:256" s="1739" customFormat="1" ht="14.25" customHeight="1">
      <c r="A13" s="1060"/>
      <c r="B13" s="1065"/>
      <c r="C13" s="1060"/>
      <c r="D13" s="376"/>
      <c r="E13" s="1060"/>
      <c r="F13" s="1060"/>
      <c r="G13" s="1060"/>
      <c r="H13" s="1060"/>
      <c r="I13" s="1060"/>
      <c r="J13" s="1060"/>
      <c r="K13" s="1060"/>
      <c r="L13" s="1060"/>
      <c r="M13" s="424"/>
      <c r="N13" s="424"/>
      <c r="O13" s="424"/>
      <c r="P13" s="424"/>
      <c r="Q13" s="143"/>
      <c r="R13" s="424"/>
      <c r="S13" s="142"/>
      <c r="T13" s="142"/>
      <c r="U13" s="142"/>
      <c r="V13" s="142"/>
    </row>
    <row r="14" spans="1:256" s="1739" customFormat="1" ht="0.75" customHeight="1">
      <c r="A14" s="1060"/>
      <c r="B14" s="1065"/>
      <c r="C14" s="1060"/>
      <c r="D14" s="376"/>
      <c r="E14" s="1060"/>
      <c r="F14" s="1060"/>
      <c r="G14" s="1060"/>
      <c r="H14" s="1060"/>
      <c r="I14" s="1060"/>
      <c r="J14" s="1060"/>
      <c r="K14" s="1060"/>
      <c r="L14" s="1060"/>
      <c r="M14" s="424"/>
      <c r="N14" s="424"/>
      <c r="O14" s="424"/>
      <c r="P14" s="424"/>
      <c r="Q14" s="143"/>
      <c r="R14" s="424"/>
      <c r="S14" s="142"/>
      <c r="T14" s="142"/>
      <c r="U14" s="142"/>
      <c r="V14" s="14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10.140625" style="1555" customWidth="1"/>
    <col min="6" max="6" width="6.28515625" style="1555" customWidth="1"/>
    <col min="7" max="7" width="27.28515625" style="1555" customWidth="1"/>
    <col min="8" max="8" width="29.28515625" style="1555" customWidth="1"/>
    <col min="9" max="9" width="25.42578125" style="1555" customWidth="1"/>
    <col min="10" max="10" width="5.5703125" style="1555" customWidth="1"/>
    <col min="11" max="11" width="6.5703125" style="1555" customWidth="1"/>
    <col min="12" max="12" width="41.85546875" style="1555" customWidth="1"/>
    <col min="13" max="13" width="42.42578125" style="1555" customWidth="1"/>
    <col min="14" max="14" width="41.5703125" style="1555" customWidth="1"/>
    <col min="15" max="15" width="64.140625" style="1555" customWidth="1"/>
    <col min="16" max="16" width="3.7109375" style="1544" customWidth="1"/>
    <col min="17" max="19" width="9.140625" style="1544"/>
    <col min="20" max="20" width="25.7109375" style="1544" customWidth="1"/>
    <col min="21" max="21" width="14.42578125" style="1544" customWidth="1"/>
    <col min="22" max="25" width="9.140625" style="142"/>
    <col min="26" max="259" width="9.140625" style="1555"/>
  </cols>
  <sheetData>
    <row r="1" spans="1:259" ht="14.25" hidden="1" customHeight="1"/>
    <row r="2" spans="1:259" s="1818" customFormat="1" ht="22.5" hidden="1" customHeight="1">
      <c r="A2" s="420"/>
      <c r="B2" s="1065">
        <v>1</v>
      </c>
      <c r="C2" s="1065"/>
      <c r="D2" s="715"/>
      <c r="E2" s="8753"/>
      <c r="F2" s="8753">
        <v>1</v>
      </c>
      <c r="G2" s="9062" t="str">
        <f>IF(region_name="","",region_name)</f>
        <v>Ставропольский край</v>
      </c>
      <c r="H2" s="9063"/>
      <c r="I2" s="9064"/>
      <c r="J2" s="398"/>
      <c r="K2" s="1399">
        <v>1</v>
      </c>
      <c r="L2" s="1069"/>
      <c r="M2" s="1069"/>
      <c r="N2" s="1069"/>
      <c r="O2" s="1069"/>
      <c r="P2" s="1450" t="e">
        <f ca="1">MERGEVALUE(G2)</f>
        <v>#NAME?</v>
      </c>
      <c r="Q2" s="435"/>
      <c r="R2" s="435"/>
      <c r="S2" s="424" t="str">
        <f t="array" ref="S2">IF(ISERROR(MATCH(MID(T2,1,250),MID(note_ter,1,250),0)),"n","y")</f>
        <v>n</v>
      </c>
      <c r="T2" s="435"/>
      <c r="U2" s="424"/>
      <c r="V2" s="1065"/>
      <c r="W2" s="1065"/>
      <c r="X2" s="348"/>
      <c r="Y2" s="1065"/>
      <c r="Z2" s="1065"/>
      <c r="AA2" s="1065"/>
      <c r="AB2" s="350"/>
      <c r="AC2" s="350"/>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50"/>
      <c r="BZ2" s="350"/>
      <c r="CA2" s="350"/>
      <c r="CB2" s="350"/>
      <c r="CC2" s="350"/>
      <c r="CD2" s="350"/>
      <c r="CE2" s="350"/>
      <c r="CF2" s="350"/>
      <c r="CG2" s="350"/>
      <c r="CH2" s="350"/>
    </row>
    <row r="3" spans="1:259" s="1818" customFormat="1" ht="22.5" hidden="1" customHeight="1">
      <c r="A3" s="745"/>
      <c r="B3" s="1065"/>
      <c r="C3" s="1065"/>
      <c r="D3" s="715"/>
      <c r="E3" s="8753"/>
      <c r="F3" s="8753"/>
      <c r="G3" s="9062"/>
      <c r="H3" s="9063"/>
      <c r="I3" s="9065"/>
      <c r="J3" s="1459"/>
      <c r="K3" s="1415"/>
      <c r="L3" s="1415" t="s">
        <v>1583</v>
      </c>
      <c r="M3" s="1462"/>
      <c r="N3" s="1462"/>
      <c r="O3" s="1463"/>
      <c r="P3" s="1450"/>
      <c r="Q3" s="435"/>
      <c r="R3" s="435"/>
      <c r="S3" s="424"/>
      <c r="T3" s="435"/>
      <c r="U3" s="424"/>
      <c r="V3" s="1065"/>
      <c r="W3" s="1065"/>
      <c r="X3" s="348"/>
      <c r="Y3" s="1065"/>
      <c r="Z3" s="1065"/>
      <c r="AA3" s="1065"/>
      <c r="AB3" s="350"/>
      <c r="AC3" s="350"/>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50"/>
      <c r="BZ3" s="350"/>
      <c r="CA3" s="350"/>
      <c r="CB3" s="350"/>
      <c r="CC3" s="350"/>
      <c r="CD3" s="350"/>
      <c r="CE3" s="350"/>
      <c r="CF3" s="350"/>
      <c r="CG3" s="350"/>
      <c r="CH3" s="350"/>
    </row>
    <row r="4" spans="1:259" s="1562" customFormat="1" ht="5.25" hidden="1" customHeight="1">
      <c r="A4" s="420"/>
      <c r="D4" s="418"/>
      <c r="G4" s="162" t="s">
        <v>79</v>
      </c>
      <c r="H4" s="418" t="s">
        <v>80</v>
      </c>
      <c r="I4" s="418"/>
      <c r="J4" s="1464"/>
      <c r="K4" s="1464"/>
      <c r="L4" s="1464"/>
      <c r="M4" s="1464"/>
      <c r="N4" s="1464"/>
      <c r="O4" s="1464"/>
      <c r="P4" s="162" t="s">
        <v>79</v>
      </c>
      <c r="Q4" s="162"/>
      <c r="R4" s="162"/>
      <c r="S4" s="162"/>
      <c r="T4" s="163"/>
      <c r="U4" s="162"/>
      <c r="V4" s="162"/>
      <c r="W4" s="162"/>
      <c r="X4" s="162"/>
      <c r="Y4" s="162"/>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s="1739" customFormat="1" ht="14.25" customHeight="1">
      <c r="A5" s="1060"/>
      <c r="B5" s="1065"/>
      <c r="C5" s="1060"/>
      <c r="D5" s="1410"/>
      <c r="E5" s="433"/>
      <c r="F5" s="433"/>
      <c r="G5" s="433"/>
      <c r="H5" s="433"/>
      <c r="I5" s="433"/>
      <c r="J5" s="433"/>
      <c r="K5" s="433"/>
      <c r="L5" s="433"/>
      <c r="M5" s="433"/>
      <c r="N5" s="433"/>
      <c r="O5" s="433"/>
      <c r="P5" s="162"/>
      <c r="Q5" s="424"/>
      <c r="R5" s="424"/>
      <c r="S5" s="424"/>
      <c r="T5" s="143"/>
      <c r="U5" s="424"/>
      <c r="V5" s="142"/>
      <c r="W5" s="142"/>
      <c r="X5" s="142"/>
      <c r="Y5" s="142"/>
    </row>
    <row r="6" spans="1:259" s="1739" customFormat="1" ht="25.5" customHeight="1">
      <c r="A6" s="1060"/>
      <c r="B6" s="1065"/>
      <c r="C6" s="1060"/>
      <c r="D6" s="1410"/>
      <c r="E6" s="8728" t="s">
        <v>1584</v>
      </c>
      <c r="F6" s="8728"/>
      <c r="G6" s="8728"/>
      <c r="H6" s="8728"/>
      <c r="I6" s="8728"/>
      <c r="J6" s="8728"/>
      <c r="K6" s="8728"/>
      <c r="L6" s="8728"/>
      <c r="M6" s="8728"/>
      <c r="N6" s="8728"/>
      <c r="O6" s="8728"/>
      <c r="P6" s="162"/>
      <c r="Q6" s="424"/>
      <c r="R6" s="424"/>
      <c r="S6" s="424"/>
      <c r="T6" s="143"/>
      <c r="U6" s="424"/>
      <c r="V6" s="142"/>
      <c r="W6" s="142"/>
      <c r="X6" s="142"/>
      <c r="Y6" s="142"/>
    </row>
    <row r="7" spans="1:259" s="1739" customFormat="1" ht="14.25" customHeight="1">
      <c r="A7" s="1060"/>
      <c r="B7" s="1065"/>
      <c r="C7" s="1060"/>
      <c r="D7" s="1410"/>
      <c r="E7" s="433"/>
      <c r="F7" s="433"/>
      <c r="G7" s="85"/>
      <c r="H7" s="85"/>
      <c r="I7" s="85"/>
      <c r="J7" s="85"/>
      <c r="K7" s="85"/>
      <c r="L7" s="85"/>
      <c r="M7" s="85"/>
      <c r="N7" s="85"/>
      <c r="O7" s="85"/>
      <c r="P7" s="424"/>
      <c r="Q7" s="424"/>
      <c r="R7" s="424"/>
      <c r="S7" s="424"/>
      <c r="T7" s="143"/>
      <c r="U7" s="424"/>
      <c r="V7" s="142"/>
      <c r="W7" s="142"/>
      <c r="X7" s="142"/>
      <c r="Y7" s="142"/>
    </row>
    <row r="8" spans="1:259" s="1468" customFormat="1" ht="42.75" customHeight="1">
      <c r="A8" s="1384"/>
      <c r="B8" s="1393"/>
      <c r="C8" s="1384"/>
      <c r="D8" s="1410"/>
      <c r="E8" s="1473" t="s">
        <v>764</v>
      </c>
      <c r="F8" s="1473"/>
      <c r="G8" s="1474" t="s">
        <v>768</v>
      </c>
      <c r="H8" s="1474" t="s">
        <v>1585</v>
      </c>
      <c r="I8" s="1474" t="s">
        <v>772</v>
      </c>
      <c r="J8" s="9057"/>
      <c r="K8" s="9058"/>
      <c r="L8" s="9059"/>
      <c r="M8" s="1474" t="s">
        <v>1586</v>
      </c>
      <c r="N8" s="1474" t="s">
        <v>1587</v>
      </c>
      <c r="O8" s="1474" t="s">
        <v>1588</v>
      </c>
      <c r="P8" s="1465"/>
      <c r="Q8" s="1465"/>
      <c r="R8" s="1465"/>
      <c r="S8" s="1465"/>
      <c r="T8" s="1466"/>
      <c r="U8" s="1465"/>
      <c r="V8" s="1467"/>
      <c r="W8" s="1467"/>
      <c r="X8" s="1467"/>
      <c r="Y8" s="1467"/>
    </row>
    <row r="9" spans="1:259" s="1739" customFormat="1" ht="47.25" customHeight="1">
      <c r="A9" s="1060"/>
      <c r="B9" s="1065"/>
      <c r="C9" s="1060"/>
      <c r="D9" s="1410"/>
      <c r="E9" s="8862" t="s">
        <v>763</v>
      </c>
      <c r="F9" s="9050" t="s">
        <v>84</v>
      </c>
      <c r="G9" s="9050" t="s">
        <v>767</v>
      </c>
      <c r="H9" s="9050" t="s">
        <v>1589</v>
      </c>
      <c r="I9" s="9050"/>
      <c r="J9" s="9050" t="s">
        <v>1590</v>
      </c>
      <c r="K9" s="9050"/>
      <c r="L9" s="9050"/>
      <c r="M9" s="9050" t="s">
        <v>1591</v>
      </c>
      <c r="N9" s="9050" t="s">
        <v>1592</v>
      </c>
      <c r="O9" s="9050"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4"/>
      <c r="Q9" s="424"/>
      <c r="R9" s="424"/>
      <c r="S9" s="424"/>
      <c r="T9" s="143"/>
      <c r="U9" s="424"/>
      <c r="V9" s="142"/>
      <c r="W9" s="142"/>
      <c r="X9" s="142"/>
      <c r="Y9" s="142"/>
    </row>
    <row r="10" spans="1:259" s="1739" customFormat="1" ht="63.75" customHeight="1">
      <c r="A10" s="1060"/>
      <c r="B10" s="1065"/>
      <c r="C10" s="1060"/>
      <c r="D10" s="1410"/>
      <c r="E10" s="8753"/>
      <c r="F10" s="9056"/>
      <c r="G10" s="9056"/>
      <c r="H10" s="90" t="s">
        <v>1593</v>
      </c>
      <c r="I10" s="90" t="s">
        <v>771</v>
      </c>
      <c r="J10" s="9049"/>
      <c r="K10" s="9049"/>
      <c r="L10" s="9056"/>
      <c r="M10" s="9056"/>
      <c r="N10" s="9056"/>
      <c r="O10" s="9056"/>
      <c r="P10" s="424"/>
      <c r="Q10" s="424"/>
      <c r="R10" s="424"/>
      <c r="S10" s="424"/>
      <c r="T10" s="143"/>
      <c r="U10" s="424"/>
      <c r="V10" s="142"/>
      <c r="W10" s="142"/>
      <c r="X10" s="142"/>
      <c r="Y10" s="142"/>
    </row>
    <row r="11" spans="1:259" s="1818" customFormat="1" ht="22.5" customHeight="1">
      <c r="A11" s="8727">
        <v>26379339</v>
      </c>
      <c r="B11" s="1065">
        <v>1</v>
      </c>
      <c r="C11" s="1065"/>
      <c r="D11" s="715"/>
      <c r="E11" s="8862"/>
      <c r="F11" s="8862">
        <v>1</v>
      </c>
      <c r="G11" s="9054" t="str">
        <f>IF(region_name="","",region_name)</f>
        <v>Ставропольский край</v>
      </c>
      <c r="H11" s="9055"/>
      <c r="I11" s="9060"/>
      <c r="J11" s="398"/>
      <c r="K11" s="1399">
        <v>1</v>
      </c>
      <c r="L11" s="1475"/>
      <c r="M11" s="1461"/>
      <c r="N11" s="1461"/>
      <c r="O11" s="1460"/>
      <c r="P11" s="1450" t="e">
        <f ca="1">MERGEVALUE(G11)</f>
        <v>#NAME?</v>
      </c>
      <c r="Q11" s="435"/>
      <c r="R11" s="435"/>
      <c r="S11" s="424" t="str">
        <f t="array" ref="S11">IF(ISERROR(MATCH(MID(T11,1,250),MID(note_ter,1,250),0)),"n","y")</f>
        <v>n</v>
      </c>
      <c r="T11" s="435"/>
      <c r="U11" s="424"/>
      <c r="V11" s="1065"/>
      <c r="W11" s="1065"/>
      <c r="X11" s="348"/>
      <c r="Y11" s="1065"/>
      <c r="Z11" s="1065"/>
      <c r="AA11" s="1065"/>
      <c r="AB11" s="350"/>
      <c r="AC11" s="350"/>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50"/>
      <c r="BZ11" s="350"/>
      <c r="CA11" s="350"/>
      <c r="CB11" s="350"/>
      <c r="CC11" s="350"/>
      <c r="CD11" s="350"/>
      <c r="CE11" s="350"/>
      <c r="CF11" s="350"/>
      <c r="CG11" s="350"/>
      <c r="CH11" s="350"/>
    </row>
    <row r="12" spans="1:259" s="1818" customFormat="1" ht="22.5" customHeight="1">
      <c r="A12" s="8727"/>
      <c r="B12" s="1065"/>
      <c r="C12" s="1065"/>
      <c r="D12" s="715"/>
      <c r="E12" s="8862"/>
      <c r="F12" s="8862"/>
      <c r="G12" s="9054"/>
      <c r="H12" s="9055"/>
      <c r="I12" s="9061"/>
      <c r="J12" s="1459"/>
      <c r="K12" s="1415"/>
      <c r="L12" s="1415" t="s">
        <v>1583</v>
      </c>
      <c r="M12" s="1462"/>
      <c r="N12" s="1462"/>
      <c r="O12" s="1463"/>
      <c r="P12" s="1450"/>
      <c r="Q12" s="435"/>
      <c r="R12" s="435"/>
      <c r="S12" s="424"/>
      <c r="T12" s="435"/>
      <c r="U12" s="424"/>
      <c r="V12" s="1065"/>
      <c r="W12" s="1065"/>
      <c r="X12" s="348"/>
      <c r="Y12" s="1065"/>
      <c r="Z12" s="1065"/>
      <c r="AA12" s="1065"/>
      <c r="AB12" s="350"/>
      <c r="AC12" s="350"/>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c r="BU12" s="347"/>
      <c r="BV12" s="347"/>
      <c r="BW12" s="347"/>
      <c r="BX12" s="347"/>
      <c r="BY12" s="350"/>
      <c r="BZ12" s="350"/>
      <c r="CA12" s="350"/>
      <c r="CB12" s="350"/>
      <c r="CC12" s="350"/>
      <c r="CD12" s="350"/>
      <c r="CE12" s="350"/>
      <c r="CF12" s="350"/>
      <c r="CG12" s="350"/>
      <c r="CH12" s="350"/>
    </row>
    <row r="13" spans="1:259" s="1818" customFormat="1" ht="22.5" customHeight="1">
      <c r="A13" s="8727"/>
      <c r="B13" s="1065"/>
      <c r="C13" s="341"/>
      <c r="D13" s="715"/>
      <c r="E13" s="1456"/>
      <c r="F13" s="1459"/>
      <c r="G13" s="1415" t="s">
        <v>1577</v>
      </c>
      <c r="H13" s="1457"/>
      <c r="I13" s="1457"/>
      <c r="J13" s="105"/>
      <c r="K13" s="105"/>
      <c r="L13" s="105"/>
      <c r="M13" s="105"/>
      <c r="N13" s="105"/>
      <c r="O13" s="1458"/>
      <c r="P13" s="1451"/>
      <c r="Q13" s="435"/>
      <c r="R13" s="435"/>
      <c r="S13" s="435"/>
      <c r="T13" s="424"/>
      <c r="U13" s="435"/>
      <c r="V13" s="1065"/>
      <c r="W13" s="1065"/>
      <c r="X13" s="348"/>
      <c r="Y13" s="1065"/>
      <c r="Z13" s="1065"/>
      <c r="AA13" s="1065"/>
      <c r="AB13" s="350"/>
      <c r="AC13" s="350"/>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50"/>
      <c r="BZ13" s="350"/>
      <c r="CA13" s="350"/>
      <c r="CB13" s="350"/>
      <c r="CC13" s="350"/>
      <c r="CD13" s="350"/>
      <c r="CE13" s="350"/>
      <c r="CF13" s="350"/>
      <c r="CG13" s="350"/>
      <c r="CH13" s="350"/>
    </row>
    <row r="14" spans="1:259" s="1739" customFormat="1" ht="21" customHeight="1">
      <c r="A14" s="1060"/>
      <c r="B14" s="1065"/>
      <c r="C14" s="1060"/>
      <c r="D14" s="376"/>
      <c r="E14" s="98"/>
      <c r="F14" s="98"/>
      <c r="G14" s="98"/>
      <c r="H14" s="98"/>
      <c r="I14" s="98"/>
      <c r="J14" s="98"/>
      <c r="K14" s="98"/>
      <c r="L14" s="98"/>
      <c r="M14" s="98"/>
      <c r="N14" s="433"/>
      <c r="O14" s="433"/>
      <c r="P14" s="424"/>
      <c r="Q14" s="424"/>
      <c r="R14" s="424"/>
      <c r="S14" s="424"/>
      <c r="T14" s="143"/>
      <c r="U14" s="424"/>
      <c r="V14" s="142"/>
      <c r="W14" s="142"/>
      <c r="X14" s="142"/>
      <c r="Y14" s="142"/>
    </row>
    <row r="15" spans="1:259" s="1739" customFormat="1" ht="14.25" customHeight="1">
      <c r="A15" s="1060"/>
      <c r="B15" s="1065"/>
      <c r="C15" s="1060"/>
      <c r="D15" s="376"/>
      <c r="E15" s="1060"/>
      <c r="F15" s="1060"/>
      <c r="G15" s="1060"/>
      <c r="H15" s="1060"/>
      <c r="I15" s="1060"/>
      <c r="J15" s="1060"/>
      <c r="K15" s="1060"/>
      <c r="L15" s="1060"/>
      <c r="M15" s="1060"/>
      <c r="N15" s="1060"/>
      <c r="O15" s="1060"/>
      <c r="P15" s="424"/>
      <c r="Q15" s="424"/>
      <c r="R15" s="424"/>
      <c r="S15" s="424"/>
      <c r="T15" s="143"/>
      <c r="U15" s="424"/>
      <c r="V15" s="142"/>
      <c r="W15" s="142"/>
      <c r="X15" s="142"/>
      <c r="Y15" s="142"/>
    </row>
    <row r="16" spans="1:259" s="1739" customFormat="1" ht="0.75" customHeight="1">
      <c r="A16" s="1060"/>
      <c r="B16" s="1065"/>
      <c r="C16" s="1060"/>
      <c r="D16" s="376"/>
      <c r="E16" s="1060"/>
      <c r="F16" s="1060"/>
      <c r="G16" s="1060"/>
      <c r="H16" s="1060"/>
      <c r="I16" s="1060"/>
      <c r="J16" s="1060"/>
      <c r="K16" s="1060"/>
      <c r="L16" s="1060"/>
      <c r="M16" s="1060"/>
      <c r="N16" s="1060"/>
      <c r="O16" s="1060"/>
      <c r="P16" s="424"/>
      <c r="Q16" s="424"/>
      <c r="R16" s="424"/>
      <c r="S16" s="424"/>
      <c r="T16" s="143"/>
      <c r="U16" s="424"/>
      <c r="V16" s="142"/>
      <c r="W16" s="142"/>
      <c r="X16" s="142"/>
      <c r="Y16" s="142"/>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12" width="9.140625" style="179"/>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8728" t="s">
        <v>1594</v>
      </c>
      <c r="E7" s="8728"/>
      <c r="F7" s="182"/>
    </row>
    <row r="8" spans="3:6" ht="3" customHeight="1">
      <c r="C8" s="21"/>
      <c r="D8" s="3"/>
      <c r="E8" s="3"/>
    </row>
    <row r="9" spans="3:6" ht="15.75" customHeight="1">
      <c r="C9" s="21"/>
      <c r="D9" s="32" t="s">
        <v>84</v>
      </c>
      <c r="E9" s="35" t="s">
        <v>750</v>
      </c>
    </row>
    <row r="10" spans="3:6" ht="12" customHeight="1">
      <c r="C10" s="21"/>
      <c r="D10" s="18" t="s">
        <v>95</v>
      </c>
      <c r="E10" s="18" t="s">
        <v>99</v>
      </c>
    </row>
    <row r="11" spans="3:6" ht="15" hidden="1" customHeight="1">
      <c r="C11" s="21"/>
      <c r="D11" s="39">
        <v>0</v>
      </c>
      <c r="E11" s="69"/>
    </row>
    <row r="12" spans="3:6" ht="14.25" customHeight="1">
      <c r="C12" s="21"/>
      <c r="D12" s="36"/>
      <c r="E12" s="34" t="s">
        <v>1554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18" customWidth="1"/>
    <col min="2" max="2" width="34.5703125" style="1818" customWidth="1"/>
    <col min="3" max="3" width="85.5703125" style="1818" customWidth="1"/>
    <col min="4" max="4" width="17.7109375" style="1818" customWidth="1"/>
    <col min="5" max="5" width="9.140625" style="1818"/>
  </cols>
  <sheetData>
    <row r="1" spans="2:5" ht="3" customHeight="1"/>
    <row r="2" spans="2:5" ht="22.5" customHeight="1">
      <c r="B2" s="9066" t="s">
        <v>1595</v>
      </c>
      <c r="C2" s="9066"/>
      <c r="D2" s="9066"/>
      <c r="E2" s="183"/>
    </row>
    <row r="3" spans="2:5" ht="3" customHeight="1"/>
    <row r="4" spans="2:5" ht="21.75" customHeight="1">
      <c r="B4" s="8704" t="s">
        <v>1596</v>
      </c>
      <c r="C4" s="312" t="s">
        <v>1597</v>
      </c>
      <c r="D4" s="312" t="s">
        <v>1598</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18" customWidth="1"/>
    <col min="2" max="2" width="10" style="1818" customWidth="1"/>
    <col min="3" max="3" width="9.140625" style="1818"/>
    <col min="4" max="4" width="11.140625" style="1818" customWidth="1"/>
    <col min="5" max="5" width="16.5703125" style="1818" customWidth="1"/>
    <col min="6" max="6" width="16.28515625" style="1818" customWidth="1"/>
    <col min="7" max="7" width="19.140625" style="1818" customWidth="1"/>
    <col min="8" max="11" width="10" style="1818" customWidth="1"/>
    <col min="12" max="12" width="12.7109375" style="1818" customWidth="1"/>
    <col min="13" max="13" width="61.28515625" style="1818" customWidth="1"/>
    <col min="14" max="14" width="10" style="1818" customWidth="1"/>
    <col min="15" max="17" width="23.7109375" style="1818" customWidth="1"/>
    <col min="18" max="18" width="11.7109375" style="1818" customWidth="1"/>
    <col min="19" max="19" width="8.5703125" style="1818" customWidth="1"/>
    <col min="20" max="20" width="11.7109375" style="1818" customWidth="1"/>
    <col min="21" max="21" width="8.5703125" style="1818" customWidth="1"/>
    <col min="22" max="22" width="4.7109375" style="1818" customWidth="1"/>
    <col min="23" max="23" width="115.7109375" style="1818" customWidth="1"/>
    <col min="24" max="24" width="115.28515625" style="1818" customWidth="1"/>
    <col min="25" max="27" width="9.140625" style="1818"/>
    <col min="28" max="28" width="115.7109375" style="1818" customWidth="1"/>
    <col min="29" max="29" width="9.140625" style="1818"/>
    <col min="30" max="90" width="115.7109375" style="1818" customWidth="1"/>
    <col min="91" max="184" width="9.140625" style="1818"/>
  </cols>
  <sheetData>
    <row r="2" spans="1:80" s="1735" customFormat="1" ht="17.25" customHeight="1">
      <c r="A2" s="1735" t="s">
        <v>1599</v>
      </c>
    </row>
    <row r="4" spans="1:80" s="179" customFormat="1" ht="15" customHeight="1">
      <c r="C4" s="1736"/>
      <c r="D4" s="39"/>
      <c r="E4" s="303"/>
    </row>
    <row r="6" spans="1:80" s="1735" customFormat="1" ht="17.25" customHeight="1">
      <c r="A6" s="1735" t="s">
        <v>1600</v>
      </c>
    </row>
    <row r="8" spans="1:80" s="179" customFormat="1" ht="17.25" customHeight="1">
      <c r="C8" s="1737"/>
      <c r="D8" s="39"/>
      <c r="E8" s="40"/>
    </row>
    <row r="11" spans="1:80" s="1735" customFormat="1" ht="17.25" customHeight="1">
      <c r="A11" s="1735" t="s">
        <v>1601</v>
      </c>
    </row>
    <row r="13" spans="1:80" s="1739" customFormat="1" ht="15" customHeight="1">
      <c r="A13" s="8731">
        <v>1</v>
      </c>
      <c r="B13" s="1065"/>
      <c r="C13" s="715" t="s">
        <v>100</v>
      </c>
      <c r="D13" s="1738"/>
      <c r="E13" s="1725">
        <f>A13</f>
        <v>1</v>
      </c>
      <c r="F13" s="718"/>
      <c r="G13" s="463" t="str">
        <f>"Территория "&amp;E13</f>
        <v>Территория 1</v>
      </c>
      <c r="H13" s="706"/>
      <c r="I13" s="706"/>
      <c r="J13" s="703"/>
      <c r="K13" s="1544"/>
      <c r="L13" s="1544"/>
      <c r="M13" s="1544"/>
      <c r="N13" s="143"/>
      <c r="O13" s="1544"/>
      <c r="P13" s="142"/>
      <c r="Q13" s="142"/>
      <c r="R13" s="142"/>
      <c r="S13" s="142"/>
    </row>
    <row r="14" spans="1:80" s="1818" customFormat="1" ht="15" customHeight="1">
      <c r="A14" s="8731"/>
      <c r="B14" s="1065">
        <v>1</v>
      </c>
      <c r="C14" s="1065"/>
      <c r="D14" s="714"/>
      <c r="E14" s="1733" t="str">
        <f>A13&amp;"."&amp;B14</f>
        <v>1.1</v>
      </c>
      <c r="F14" s="717">
        <f>$F$20</f>
        <v>0</v>
      </c>
      <c r="G14" s="707"/>
      <c r="H14" s="707"/>
      <c r="I14" s="705"/>
      <c r="J14" s="1544"/>
      <c r="K14" s="1556"/>
      <c r="L14" s="1556"/>
      <c r="M14" s="1544" t="str">
        <f t="array" ref="M14">IF(ISERROR(MATCH(MID(N14,1,250),MID(note_ter,1,250),0)),"n","y")</f>
        <v>n</v>
      </c>
      <c r="N14" s="1556"/>
      <c r="O14" s="1544" t="str">
        <f>H14&amp;"("&amp;I14&amp;")"</f>
        <v>()</v>
      </c>
      <c r="P14" s="1065"/>
      <c r="Q14" s="1065"/>
      <c r="R14" s="348"/>
      <c r="S14" s="1065"/>
      <c r="T14" s="1065"/>
      <c r="U14" s="1065"/>
      <c r="V14" s="350"/>
      <c r="W14" s="350"/>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50"/>
      <c r="BT14" s="350"/>
      <c r="BU14" s="350"/>
      <c r="BV14" s="350"/>
      <c r="BW14" s="350"/>
      <c r="BX14" s="350"/>
      <c r="BY14" s="350"/>
      <c r="BZ14" s="350"/>
      <c r="CA14" s="350"/>
      <c r="CB14" s="350"/>
    </row>
    <row r="15" spans="1:80" s="1818" customFormat="1" ht="15" customHeight="1">
      <c r="A15" s="8731"/>
      <c r="B15" s="1065"/>
      <c r="C15" s="341"/>
      <c r="D15" s="715"/>
      <c r="E15" s="349"/>
      <c r="F15" s="95"/>
      <c r="G15" s="344" t="s">
        <v>98</v>
      </c>
      <c r="H15" s="105"/>
      <c r="I15" s="351"/>
      <c r="J15" s="1556"/>
      <c r="K15" s="1556"/>
      <c r="L15" s="1556"/>
      <c r="M15" s="1556"/>
      <c r="N15" s="1544"/>
      <c r="O15" s="1556"/>
      <c r="P15" s="1065"/>
      <c r="Q15" s="1065"/>
      <c r="R15" s="348"/>
      <c r="S15" s="1065"/>
      <c r="T15" s="1065"/>
      <c r="U15" s="1065"/>
      <c r="V15" s="350"/>
      <c r="W15" s="350"/>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50"/>
      <c r="BT15" s="350"/>
      <c r="BU15" s="350"/>
      <c r="BV15" s="350"/>
      <c r="BW15" s="350"/>
      <c r="BX15" s="350"/>
      <c r="BY15" s="350"/>
      <c r="BZ15" s="350"/>
      <c r="CA15" s="350"/>
      <c r="CB15" s="350"/>
    </row>
    <row r="17" spans="1:80" s="1735" customFormat="1" ht="17.25" customHeight="1">
      <c r="A17" s="1735" t="s">
        <v>1602</v>
      </c>
    </row>
    <row r="19" spans="1:80" s="1818" customFormat="1" ht="15" customHeight="1">
      <c r="A19" s="1801"/>
      <c r="B19" s="1287">
        <v>1</v>
      </c>
      <c r="C19" s="1287"/>
      <c r="D19" s="714" t="s">
        <v>100</v>
      </c>
      <c r="E19" s="1797"/>
      <c r="F19" s="1802">
        <f>$F$20</f>
        <v>0</v>
      </c>
      <c r="G19" s="1806"/>
      <c r="H19" s="1806"/>
      <c r="I19" s="1804"/>
      <c r="J19" s="1544"/>
      <c r="K19" s="1556"/>
      <c r="L19" s="1556"/>
      <c r="M19" s="1544" t="str">
        <f t="array" ref="M19">IF(ISERROR(MATCH(MID(N19,1,250),MID(note_ter,1,250),0)),"n","y")</f>
        <v>n</v>
      </c>
      <c r="N19" s="1556"/>
      <c r="O19" s="1544" t="str">
        <f>H19&amp;"("&amp;I19&amp;")"</f>
        <v>()</v>
      </c>
      <c r="P19" s="1287"/>
      <c r="Q19" s="1287"/>
      <c r="R19" s="348"/>
      <c r="S19" s="1287"/>
      <c r="T19" s="1287"/>
      <c r="U19" s="1287"/>
      <c r="V19" s="747"/>
      <c r="W19" s="747"/>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747"/>
      <c r="BT19" s="747"/>
      <c r="BU19" s="747"/>
      <c r="BV19" s="747"/>
      <c r="BW19" s="747"/>
      <c r="BX19" s="747"/>
      <c r="BY19" s="747"/>
      <c r="BZ19" s="747"/>
      <c r="CA19" s="747"/>
      <c r="CB19" s="747"/>
    </row>
    <row r="21" spans="1:80" s="1818" customFormat="1" ht="15" customHeight="1">
      <c r="A21" s="1735" t="s">
        <v>1603</v>
      </c>
      <c r="B21" s="1735"/>
      <c r="C21" s="1735"/>
      <c r="D21" s="1735"/>
      <c r="E21" s="1735"/>
      <c r="F21" s="1735"/>
      <c r="G21" s="1735"/>
      <c r="H21" s="1735"/>
      <c r="I21" s="1735"/>
      <c r="J21" s="1735"/>
      <c r="K21" s="1735"/>
      <c r="L21" s="1735"/>
      <c r="M21" s="1735"/>
      <c r="N21" s="1735"/>
      <c r="O21" s="1735"/>
      <c r="P21" s="1735"/>
      <c r="Q21" s="1735"/>
      <c r="R21" s="1735"/>
      <c r="S21" s="1735"/>
      <c r="T21" s="1735"/>
      <c r="U21" s="102"/>
      <c r="V21" s="1735"/>
      <c r="W21" s="1735"/>
    </row>
    <row r="22" spans="1:80" s="1818" customFormat="1" ht="15" customHeight="1">
      <c r="U22" s="103"/>
    </row>
    <row r="23" spans="1:80" s="1771" customFormat="1" ht="15" customHeight="1">
      <c r="A23"/>
      <c r="B23"/>
      <c r="C23" s="1647" t="s">
        <v>100</v>
      </c>
      <c r="D23" s="8735" t="s">
        <v>95</v>
      </c>
      <c r="E23" s="8736"/>
      <c r="F23" s="8734" t="s">
        <v>53</v>
      </c>
      <c r="G23" s="9100"/>
      <c r="H23" s="8753">
        <v>1</v>
      </c>
      <c r="I23" s="9102" t="str">
        <f>IF(U23="","",INDEX(TERRITORY_MR_LIST,MATCH(U23,TERRITORY_LIST_ID,0)))</f>
        <v/>
      </c>
      <c r="J23" s="8734" t="s">
        <v>53</v>
      </c>
      <c r="K23" s="746"/>
      <c r="L23" s="1702" t="s">
        <v>95</v>
      </c>
      <c r="M23" s="523"/>
      <c r="N23" s="524"/>
      <c r="O23" s="524"/>
      <c r="P23" s="524"/>
      <c r="Q23" s="524"/>
      <c r="R23" s="524"/>
      <c r="S23" s="524"/>
      <c r="T23" s="524"/>
      <c r="U23" s="525"/>
      <c r="V23" s="524"/>
      <c r="W23" s="524"/>
      <c r="X23" s="516"/>
      <c r="Y23" s="516" t="s">
        <v>206</v>
      </c>
      <c r="Z23" s="516">
        <v>1705000</v>
      </c>
      <c r="AA23" s="516"/>
      <c r="AB23" s="516"/>
      <c r="AC23" s="516"/>
      <c r="AD23" s="516"/>
      <c r="AE23" s="516"/>
      <c r="AF23" s="516"/>
      <c r="AG23" s="516"/>
      <c r="AH23" s="516"/>
      <c r="AI23" s="516"/>
      <c r="AJ23" s="516"/>
      <c r="AK23" s="516"/>
      <c r="AL23" s="516"/>
    </row>
    <row r="24" spans="1:80" s="1771" customFormat="1" ht="15" customHeight="1">
      <c r="A24"/>
      <c r="B24"/>
      <c r="C24" s="94"/>
      <c r="D24" s="8735"/>
      <c r="E24" s="8737"/>
      <c r="F24" s="8734"/>
      <c r="G24" s="9101"/>
      <c r="H24" s="8753"/>
      <c r="I24" s="9103"/>
      <c r="J24" s="8734"/>
      <c r="K24" s="349"/>
      <c r="L24" s="95"/>
      <c r="M24" s="526" t="s">
        <v>207</v>
      </c>
      <c r="N24" s="524"/>
      <c r="O24" s="524"/>
      <c r="P24" s="524"/>
      <c r="Q24" s="524"/>
      <c r="R24" s="524"/>
      <c r="S24" s="524"/>
      <c r="T24" s="524"/>
      <c r="U24" s="525"/>
      <c r="V24" s="524"/>
      <c r="W24" s="524"/>
      <c r="X24" s="516"/>
      <c r="Y24" s="516"/>
      <c r="Z24" s="516"/>
      <c r="AA24" s="516"/>
      <c r="AB24" s="516"/>
      <c r="AC24" s="516"/>
      <c r="AD24" s="516"/>
      <c r="AE24" s="516"/>
      <c r="AF24" s="516"/>
      <c r="AG24" s="516"/>
      <c r="AH24" s="516"/>
      <c r="AI24" s="516"/>
      <c r="AJ24" s="516"/>
      <c r="AK24" s="516"/>
      <c r="AL24" s="516"/>
    </row>
    <row r="25" spans="1:80" s="1771" customFormat="1" ht="15" customHeight="1">
      <c r="A25"/>
      <c r="B25"/>
      <c r="C25" s="94"/>
      <c r="D25" s="8735"/>
      <c r="E25" s="8738"/>
      <c r="F25" s="8734"/>
      <c r="G25" s="349"/>
      <c r="H25" s="95"/>
      <c r="I25" s="503" t="s">
        <v>208</v>
      </c>
      <c r="J25" s="95"/>
      <c r="K25" s="95"/>
      <c r="L25" s="95"/>
      <c r="M25" s="527"/>
      <c r="N25" s="524"/>
      <c r="O25" s="524"/>
      <c r="P25" s="524"/>
      <c r="Q25" s="524"/>
      <c r="R25" s="524"/>
      <c r="S25" s="524"/>
      <c r="T25" s="524"/>
      <c r="U25" s="525"/>
      <c r="V25" s="524"/>
      <c r="W25" s="524"/>
      <c r="X25" s="516"/>
      <c r="Y25" s="516"/>
      <c r="Z25" s="516"/>
      <c r="AA25" s="516"/>
      <c r="AB25" s="516"/>
      <c r="AC25" s="516"/>
      <c r="AD25" s="516"/>
      <c r="AE25" s="516"/>
      <c r="AF25" s="516"/>
      <c r="AG25" s="516"/>
      <c r="AH25" s="516"/>
      <c r="AI25" s="516"/>
      <c r="AJ25" s="516"/>
      <c r="AK25" s="516"/>
      <c r="AL25" s="516"/>
    </row>
    <row r="26" spans="1:80" s="1818" customFormat="1" ht="15" customHeight="1">
      <c r="U26" s="103"/>
    </row>
    <row r="27" spans="1:80" s="1818" customFormat="1" ht="15" customHeight="1">
      <c r="A27" s="1735" t="s">
        <v>1604</v>
      </c>
      <c r="B27" s="1735"/>
      <c r="C27" s="1735"/>
      <c r="D27" s="1735"/>
      <c r="E27" s="1735"/>
      <c r="F27" s="1735"/>
      <c r="G27" s="1735"/>
      <c r="H27" s="1735"/>
      <c r="I27" s="1735"/>
      <c r="J27" s="1735"/>
      <c r="K27" s="1735"/>
      <c r="L27" s="1735"/>
      <c r="M27" s="1735"/>
      <c r="N27" s="1735"/>
      <c r="O27" s="1735"/>
      <c r="P27" s="1735"/>
      <c r="Q27" s="1735"/>
      <c r="R27" s="1735"/>
      <c r="S27" s="1735"/>
      <c r="T27" s="1735"/>
      <c r="U27" s="102"/>
      <c r="V27" s="1735"/>
      <c r="W27" s="1735"/>
    </row>
    <row r="28" spans="1:80" s="1818" customFormat="1" ht="15" customHeight="1">
      <c r="U28" s="103"/>
    </row>
    <row r="29" spans="1:80" s="1771" customFormat="1" ht="15" customHeight="1">
      <c r="A29"/>
      <c r="B29"/>
      <c r="C29" s="94"/>
      <c r="D29" s="1740"/>
      <c r="E29" s="1740"/>
      <c r="F29" s="1740"/>
      <c r="G29" s="9104" t="s">
        <v>100</v>
      </c>
      <c r="H29" s="8723">
        <v>1</v>
      </c>
      <c r="I29" s="9105" t="str">
        <f>IF(U29="","",INDEX(TERRITORY_MR_LIST,MATCH(U29,TERRITORY_LIST_ID,0)))</f>
        <v/>
      </c>
      <c r="J29" s="8734" t="s">
        <v>53</v>
      </c>
      <c r="K29" s="746"/>
      <c r="L29" s="1702" t="s">
        <v>95</v>
      </c>
      <c r="M29" s="523"/>
      <c r="N29" s="524"/>
      <c r="O29" s="524"/>
      <c r="P29" s="524"/>
      <c r="Q29" s="524"/>
      <c r="R29" s="524"/>
      <c r="S29" s="524"/>
      <c r="T29" s="524"/>
      <c r="U29" s="525"/>
      <c r="V29" s="524"/>
      <c r="W29" s="524"/>
      <c r="X29" s="516"/>
      <c r="Y29" s="516" t="s">
        <v>206</v>
      </c>
      <c r="Z29" s="516">
        <v>1705000</v>
      </c>
      <c r="AA29" s="516"/>
      <c r="AB29" s="516"/>
      <c r="AC29" s="516"/>
      <c r="AD29" s="516"/>
      <c r="AE29" s="516"/>
      <c r="AF29" s="516"/>
      <c r="AG29" s="516"/>
      <c r="AH29" s="516"/>
      <c r="AI29" s="516"/>
      <c r="AJ29" s="516"/>
      <c r="AK29" s="516"/>
      <c r="AL29" s="516"/>
    </row>
    <row r="30" spans="1:80" s="1771" customFormat="1" ht="15" customHeight="1">
      <c r="A30"/>
      <c r="B30"/>
      <c r="C30" s="94"/>
      <c r="D30" s="1740"/>
      <c r="E30" s="1740"/>
      <c r="F30" s="1740"/>
      <c r="G30" s="9104"/>
      <c r="H30" s="8723"/>
      <c r="I30" s="9105"/>
      <c r="J30" s="8734"/>
      <c r="K30" s="349"/>
      <c r="L30" s="95"/>
      <c r="M30" s="526" t="s">
        <v>207</v>
      </c>
      <c r="N30" s="524"/>
      <c r="O30" s="524"/>
      <c r="P30" s="524"/>
      <c r="Q30" s="524"/>
      <c r="R30" s="524"/>
      <c r="S30" s="524"/>
      <c r="T30" s="524"/>
      <c r="U30" s="525"/>
      <c r="V30" s="524"/>
      <c r="W30" s="524"/>
      <c r="X30" s="516"/>
      <c r="Y30" s="516"/>
      <c r="Z30" s="516"/>
      <c r="AA30" s="516"/>
      <c r="AB30" s="516"/>
      <c r="AC30" s="516"/>
      <c r="AD30" s="516"/>
      <c r="AE30" s="516"/>
      <c r="AF30" s="516"/>
      <c r="AG30" s="516"/>
      <c r="AH30" s="516"/>
      <c r="AI30" s="516"/>
      <c r="AJ30" s="516"/>
      <c r="AK30" s="516"/>
      <c r="AL30" s="516"/>
    </row>
    <row r="31" spans="1:80" s="1818" customFormat="1" ht="15" customHeight="1">
      <c r="U31" s="103"/>
    </row>
    <row r="32" spans="1:80" s="1818" customFormat="1" ht="15" customHeight="1">
      <c r="A32" s="1735" t="s">
        <v>1605</v>
      </c>
      <c r="B32" s="1735"/>
      <c r="C32" s="1735"/>
      <c r="D32" s="1735"/>
      <c r="E32" s="1735"/>
      <c r="F32" s="1735"/>
      <c r="G32" s="1735"/>
      <c r="H32" s="1735"/>
      <c r="I32" s="1735"/>
      <c r="J32" s="1735"/>
      <c r="K32" s="1735"/>
      <c r="L32" s="1735"/>
      <c r="M32" s="1735"/>
      <c r="N32" s="1735"/>
      <c r="O32" s="1735"/>
      <c r="P32" s="1735"/>
      <c r="Q32" s="1735"/>
      <c r="R32" s="1735"/>
      <c r="S32" s="1735"/>
      <c r="T32" s="1735"/>
      <c r="U32" s="102"/>
      <c r="V32" s="1735"/>
      <c r="W32" s="1735"/>
    </row>
    <row r="33" spans="1:38" s="1818" customFormat="1" ht="15" customHeight="1">
      <c r="U33" s="103"/>
    </row>
    <row r="34" spans="1:38" s="1771" customFormat="1" ht="15" customHeight="1">
      <c r="A34"/>
      <c r="B34"/>
      <c r="C34" s="94"/>
      <c r="D34" s="1740"/>
      <c r="E34" s="1740"/>
      <c r="F34" s="1740"/>
      <c r="G34" s="1740"/>
      <c r="H34" s="1740"/>
      <c r="I34" s="1740"/>
      <c r="J34" s="1740"/>
      <c r="K34" s="1719" t="s">
        <v>100</v>
      </c>
      <c r="L34" s="1648" t="s">
        <v>95</v>
      </c>
      <c r="M34" s="725"/>
      <c r="N34" s="726"/>
      <c r="O34" s="524"/>
      <c r="P34" s="524"/>
      <c r="Q34" s="524"/>
      <c r="R34" s="524"/>
      <c r="S34" s="524"/>
      <c r="T34" s="524"/>
      <c r="U34" s="525"/>
      <c r="V34" s="524"/>
      <c r="W34" s="524"/>
      <c r="X34" s="516"/>
      <c r="Y34" s="516" t="s">
        <v>206</v>
      </c>
      <c r="Z34" s="516">
        <v>1705000</v>
      </c>
      <c r="AA34" s="516"/>
      <c r="AB34" s="516"/>
      <c r="AC34" s="516"/>
      <c r="AD34" s="516"/>
      <c r="AE34" s="516"/>
      <c r="AF34" s="516"/>
      <c r="AG34" s="516"/>
      <c r="AH34" s="516"/>
      <c r="AI34" s="516"/>
      <c r="AJ34" s="516"/>
      <c r="AK34" s="516"/>
      <c r="AL34" s="516"/>
    </row>
    <row r="35" spans="1:38" s="1818" customFormat="1" ht="15" customHeight="1">
      <c r="U35" s="103"/>
    </row>
    <row r="36" spans="1:38" s="1818" customFormat="1" ht="15" customHeight="1">
      <c r="U36" s="103"/>
    </row>
    <row r="37" spans="1:38" s="1735" customFormat="1" ht="11.25" customHeight="1">
      <c r="A37" s="1735" t="s">
        <v>1606</v>
      </c>
    </row>
    <row r="38" spans="1:38" ht="11.25" customHeight="1"/>
    <row r="39" spans="1:38" s="379" customFormat="1" ht="22.5" customHeight="1">
      <c r="A39" s="1711"/>
      <c r="B39" s="381"/>
      <c r="C39" s="773"/>
      <c r="D39" s="366"/>
      <c r="E39" s="774"/>
      <c r="F39" s="1732"/>
      <c r="G39" s="1741"/>
      <c r="H39" s="399"/>
    </row>
    <row r="40" spans="1:38" ht="11.25" customHeight="1"/>
    <row r="41" spans="1:38" s="1735" customFormat="1" ht="11.25" customHeight="1">
      <c r="A41" s="1735" t="s">
        <v>1607</v>
      </c>
    </row>
    <row r="42" spans="1:38" ht="11.25" customHeight="1"/>
    <row r="43" spans="1:38" s="379" customFormat="1" ht="22.5" customHeight="1">
      <c r="A43" s="381"/>
      <c r="B43" s="381"/>
      <c r="C43" s="381"/>
      <c r="D43" s="366"/>
      <c r="E43" s="774"/>
      <c r="F43" s="775"/>
      <c r="G43" s="1741"/>
      <c r="H43" s="399"/>
    </row>
    <row r="46" spans="1:38" s="1735" customFormat="1" ht="17.25" customHeight="1">
      <c r="A46" s="1735" t="s">
        <v>1608</v>
      </c>
    </row>
    <row r="48" spans="1:38" s="1533" customFormat="1" ht="18.75" customHeight="1">
      <c r="A48"/>
      <c r="B48" s="1742"/>
      <c r="C48" s="1742"/>
      <c r="D48" s="1743"/>
      <c r="E48" s="1729"/>
      <c r="F48" s="782">
        <v>13</v>
      </c>
      <c r="G48" s="781"/>
      <c r="H48" s="707"/>
      <c r="I48" s="705"/>
      <c r="J48" s="444" t="s">
        <v>63</v>
      </c>
      <c r="K48" s="1744" t="s">
        <v>24</v>
      </c>
      <c r="L48"/>
      <c r="M48" s="1556"/>
      <c r="N48" s="1556"/>
      <c r="O48" s="1556"/>
      <c r="P48" s="440" t="s">
        <v>857</v>
      </c>
      <c r="Q48" s="440" t="s">
        <v>858</v>
      </c>
      <c r="R48" s="441" t="s">
        <v>859</v>
      </c>
      <c r="S48" s="1556" t="s">
        <v>860</v>
      </c>
      <c r="T48" s="1556"/>
      <c r="U48" s="1556"/>
      <c r="V48" s="1556"/>
    </row>
    <row r="50" spans="1:45" s="1735" customFormat="1" ht="11.25" customHeight="1">
      <c r="A50" s="1735" t="s">
        <v>1609</v>
      </c>
    </row>
    <row r="52" spans="1:45" s="1555" customFormat="1" ht="14.25" customHeight="1">
      <c r="C52" s="1608"/>
      <c r="D52" s="1788"/>
      <c r="E52" s="1697" t="s">
        <v>24</v>
      </c>
      <c r="F52" s="1787"/>
      <c r="G52" s="770"/>
      <c r="H52" s="1698"/>
      <c r="I52" s="1698"/>
      <c r="J52" s="359"/>
      <c r="K52" s="1782"/>
      <c r="L52" s="358"/>
      <c r="M52" s="1782"/>
      <c r="N52" s="359"/>
      <c r="O52" s="1782"/>
      <c r="P52" s="359"/>
      <c r="Q52" s="1782"/>
      <c r="R52" s="359"/>
      <c r="S52" s="768"/>
      <c r="T52" s="1698"/>
      <c r="U52" s="359"/>
      <c r="V52" s="359"/>
      <c r="W52" s="1786"/>
      <c r="X52" s="1698"/>
      <c r="Y52" s="359"/>
      <c r="Z52" s="359"/>
      <c r="AA52" s="1786"/>
      <c r="AB52" s="1698"/>
      <c r="AC52" s="359"/>
      <c r="AD52" s="1786"/>
      <c r="AE52"/>
      <c r="AF52"/>
      <c r="AG52"/>
      <c r="AH52"/>
      <c r="AJ52" s="1556"/>
      <c r="AK52" s="1556"/>
      <c r="AL52" s="1556"/>
      <c r="AM52" s="1556"/>
      <c r="AN52" s="1556"/>
      <c r="AO52" s="1556"/>
      <c r="AP52" s="1544" t="s">
        <v>846</v>
      </c>
      <c r="AQ52" s="1544" t="s">
        <v>846</v>
      </c>
      <c r="AR52" s="1556"/>
      <c r="AS52" s="1556"/>
    </row>
    <row r="54" spans="1:45" s="1735" customFormat="1" ht="11.25" customHeight="1">
      <c r="A54" s="1735" t="s">
        <v>1610</v>
      </c>
    </row>
    <row r="56" spans="1:45" s="1742" customFormat="1" ht="15" customHeight="1">
      <c r="A56" s="65" t="s">
        <v>86</v>
      </c>
      <c r="B56" s="48" t="s">
        <v>24</v>
      </c>
      <c r="C56" s="1745"/>
      <c r="D56" s="51"/>
      <c r="E56" s="310"/>
      <c r="F56" s="310"/>
      <c r="G56" s="1723"/>
      <c r="H56" s="1744"/>
      <c r="I56" s="1724"/>
      <c r="K56" s="187"/>
      <c r="L56" s="188"/>
    </row>
    <row r="58" spans="1:45" s="1735" customFormat="1" ht="11.25" customHeight="1">
      <c r="A58" s="1735" t="s">
        <v>1611</v>
      </c>
    </row>
    <row r="60" spans="1:45" s="1555" customFormat="1" ht="14.25" customHeight="1">
      <c r="A60" s="264"/>
      <c r="B60" s="1065"/>
      <c r="C60" s="300"/>
      <c r="D60" s="1730"/>
      <c r="E60" s="800"/>
      <c r="F60" s="1744"/>
      <c r="G60"/>
      <c r="I60" s="1544"/>
      <c r="J60" s="1544"/>
    </row>
    <row r="62" spans="1:45" s="1735" customFormat="1" ht="11.25" customHeight="1">
      <c r="A62" s="1735" t="s">
        <v>1612</v>
      </c>
    </row>
    <row r="64" spans="1:45" s="1555" customFormat="1" ht="27" customHeight="1">
      <c r="A64" s="1071"/>
      <c r="B64" s="1071"/>
      <c r="C64" s="1071"/>
      <c r="D64" s="1065"/>
      <c r="E64" s="1746"/>
      <c r="F64" s="9117"/>
      <c r="G64" s="9118"/>
      <c r="H64" s="9119" t="s">
        <v>63</v>
      </c>
      <c r="I64" s="9121"/>
      <c r="J64" s="9095"/>
      <c r="K64" s="9123"/>
      <c r="L64" s="9097"/>
      <c r="M64" s="9097"/>
      <c r="N64" s="9098"/>
      <c r="O64" s="9098"/>
      <c r="P64" s="9099" t="e">
        <f>DATEDIF(DATEVALUE(N64),DATEVALUE(O64),"y")&amp;"г. "&amp;DATEDIF(DATEVALUE(N64),DATEVALUE(O64),"ym")&amp;"мес. "&amp;DATEVALUE(O64)-DATE(YEAR(DATEVALUE(O64)),MONTH(DATEVALUE(O64)),1)&amp;"дн. "</f>
        <v>#VALUE!</v>
      </c>
      <c r="Q64" s="9094"/>
      <c r="R64" s="9094"/>
      <c r="S64" s="9094"/>
      <c r="T64" s="9095"/>
      <c r="U64" s="9094"/>
      <c r="V64" s="9094"/>
      <c r="W64" s="9094"/>
      <c r="X64" s="9095"/>
      <c r="Y64" s="9092" t="s">
        <v>63</v>
      </c>
      <c r="Z64" s="1728"/>
      <c r="AA64" s="1712">
        <v>1</v>
      </c>
      <c r="AB64" s="1156"/>
      <c r="AD64" s="1556" t="s">
        <v>1613</v>
      </c>
    </row>
    <row r="65" spans="1:58" s="1555" customFormat="1" ht="10.5" customHeight="1">
      <c r="A65" s="1071"/>
      <c r="B65" s="1071"/>
      <c r="C65" s="1071"/>
      <c r="D65" s="1065"/>
      <c r="E65" s="858"/>
      <c r="F65" s="9117"/>
      <c r="G65" s="9118"/>
      <c r="H65" s="9120"/>
      <c r="I65" s="9122"/>
      <c r="J65" s="9096"/>
      <c r="K65" s="9123"/>
      <c r="L65" s="9097"/>
      <c r="M65" s="9097"/>
      <c r="N65" s="9098"/>
      <c r="O65" s="9098"/>
      <c r="P65" s="9099"/>
      <c r="Q65" s="9094"/>
      <c r="R65" s="9094"/>
      <c r="S65" s="9094"/>
      <c r="T65" s="9096"/>
      <c r="U65" s="9094"/>
      <c r="V65" s="9094"/>
      <c r="W65" s="9094"/>
      <c r="X65" s="9096"/>
      <c r="Y65" s="9093"/>
      <c r="Z65" s="268"/>
      <c r="AA65" s="495"/>
      <c r="AB65" s="570" t="s">
        <v>1614</v>
      </c>
    </row>
    <row r="67" spans="1:58" s="1735" customFormat="1" ht="11.25" customHeight="1">
      <c r="A67" s="1735" t="s">
        <v>1615</v>
      </c>
    </row>
    <row r="69" spans="1:58" s="1555" customFormat="1" ht="27" customHeight="1">
      <c r="A69" s="1071"/>
      <c r="B69" s="1071"/>
      <c r="C69" s="1071"/>
      <c r="D69" s="1065"/>
      <c r="E69" s="1746"/>
      <c r="F69" s="1717"/>
      <c r="G69" s="1666"/>
      <c r="H69" s="1667"/>
      <c r="I69" s="1668"/>
      <c r="J69" s="1669"/>
      <c r="K69" s="1670"/>
      <c r="L69" s="1671"/>
      <c r="M69" s="1671"/>
      <c r="N69" s="1672"/>
      <c r="O69" s="1672"/>
      <c r="P69" s="1673"/>
      <c r="Q69" s="1674"/>
      <c r="R69" s="1674"/>
      <c r="S69" s="1674"/>
      <c r="T69" s="1669"/>
      <c r="U69" s="1674"/>
      <c r="V69" s="1674"/>
      <c r="W69" s="1674"/>
      <c r="X69" s="1669"/>
      <c r="Y69" s="1667"/>
      <c r="Z69" s="1728"/>
      <c r="AA69" s="1712">
        <v>1</v>
      </c>
      <c r="AB69" s="1156"/>
      <c r="AD69" s="1556" t="s">
        <v>1613</v>
      </c>
    </row>
    <row r="71" spans="1:58" s="1735" customFormat="1" ht="11.25" customHeight="1">
      <c r="A71" s="1735" t="s">
        <v>1616</v>
      </c>
    </row>
    <row r="72" spans="1:58" ht="17.25" customHeight="1"/>
    <row r="73" spans="1:58" s="1555" customFormat="1" ht="21" customHeight="1">
      <c r="A73" s="1072"/>
      <c r="B73" s="1071"/>
      <c r="C73" s="1071"/>
      <c r="D73" s="1065"/>
      <c r="E73" s="1075"/>
      <c r="F73" s="1030" t="e">
        <f>INDEX(IP_MAIN_LIST_NAME_IP,MATCH(A73,IP_MAIN_LIST_IP_ID,0))&amp;" ("&amp;INDEX(IP_MAIN_START_DATE,MATCH(A73,IP_MAIN_LIST_IP_ID,0))&amp;"-"&amp;INDEX(IP_MAIN_END_DATE,MATCH(A73,IP_MAIN_LIST_IP_ID,0))&amp;")"</f>
        <v>#N/A</v>
      </c>
      <c r="G73" s="1031"/>
      <c r="H73" s="1031"/>
      <c r="I73" s="1092"/>
      <c r="J73" s="1092"/>
      <c r="K73" s="1093"/>
      <c r="L73" s="1093"/>
      <c r="M73" s="1093"/>
      <c r="N73" s="1094"/>
      <c r="O73" s="1094"/>
      <c r="P73" s="1094"/>
      <c r="Q73" s="1094"/>
      <c r="R73" s="1094"/>
      <c r="S73" s="1094"/>
      <c r="T73" s="1094"/>
      <c r="U73" s="1094"/>
      <c r="V73" s="1094"/>
      <c r="W73" s="1094"/>
      <c r="X73" s="1094"/>
      <c r="Y73" s="1094"/>
      <c r="Z73" s="1094"/>
      <c r="AA73" s="1094"/>
      <c r="AB73" s="1094"/>
      <c r="AC73" s="1094"/>
      <c r="AD73" s="1094"/>
      <c r="AE73" s="1095"/>
      <c r="AF73" s="1093"/>
      <c r="AG73" s="1093"/>
      <c r="AH73" s="1093"/>
      <c r="AI73" s="1093"/>
      <c r="AJ73" s="1093"/>
      <c r="AK73" s="1093"/>
      <c r="AL73" s="1076"/>
      <c r="AM73" s="1742"/>
      <c r="AN73" s="1742"/>
      <c r="AO73" s="1742"/>
      <c r="AP73" s="1742"/>
      <c r="AQ73" s="1742"/>
      <c r="AR73" s="1742"/>
      <c r="AS73" s="1742"/>
      <c r="AT73" s="1742"/>
      <c r="AU73" s="1742"/>
      <c r="AV73" s="1742"/>
      <c r="AW73" s="1742"/>
      <c r="AX73" s="1742"/>
      <c r="AY73" s="1742"/>
      <c r="AZ73" s="1742"/>
      <c r="BA73" s="1742"/>
      <c r="BB73" s="1742"/>
      <c r="BC73" s="1742"/>
      <c r="BD73" s="1742"/>
      <c r="BE73" s="1742"/>
      <c r="BF73" s="1742"/>
    </row>
    <row r="74" spans="1:58" s="1555" customFormat="1" ht="11.25" customHeight="1">
      <c r="A74" s="1071"/>
      <c r="B74" s="1071"/>
      <c r="C74" s="1071"/>
      <c r="D74" s="1065"/>
      <c r="E74" s="1075"/>
      <c r="F74" s="9090"/>
      <c r="G74" s="9003"/>
      <c r="H74" s="9003" t="s">
        <v>95</v>
      </c>
      <c r="I74" s="9076"/>
      <c r="J74" s="9065"/>
      <c r="K74" s="9077"/>
      <c r="L74" s="9069" t="s">
        <v>53</v>
      </c>
      <c r="M74" s="8735"/>
      <c r="N74" s="1084"/>
      <c r="O74" s="1083" t="s">
        <v>841</v>
      </c>
      <c r="P74" s="1084"/>
      <c r="Q74" s="1084"/>
      <c r="R74" s="1084"/>
      <c r="S74" s="1084"/>
      <c r="T74" s="1084"/>
      <c r="U74" s="1084"/>
      <c r="V74" s="1084"/>
      <c r="W74" s="1084"/>
      <c r="X74" s="1084"/>
      <c r="Y74" s="1084"/>
      <c r="Z74" s="1084"/>
      <c r="AA74" s="1084"/>
      <c r="AB74" s="1084"/>
      <c r="AC74" s="1084"/>
      <c r="AD74" s="1084"/>
      <c r="AE74" s="1084"/>
      <c r="AF74" s="9068"/>
      <c r="AG74" s="9069"/>
      <c r="AH74" s="9069"/>
      <c r="AI74" s="9068"/>
      <c r="AJ74" s="9069"/>
      <c r="AK74" s="9069"/>
      <c r="AL74" s="1078"/>
      <c r="AM74" s="1742"/>
      <c r="AN74" s="1742"/>
      <c r="AO74" s="1742"/>
      <c r="AP74" s="1742"/>
      <c r="AQ74" s="1742"/>
      <c r="AR74" s="1742"/>
      <c r="AS74" s="1742"/>
      <c r="AT74" s="1742"/>
      <c r="AU74" s="1742"/>
      <c r="AV74" s="1742"/>
      <c r="AW74" s="1742"/>
      <c r="AX74" s="1742"/>
      <c r="AY74" s="1742"/>
      <c r="AZ74" s="1742"/>
      <c r="BA74" s="1742"/>
      <c r="BB74" s="1742"/>
      <c r="BC74" s="1742"/>
      <c r="BD74" s="1742"/>
      <c r="BE74" s="1742"/>
      <c r="BF74" s="1742"/>
    </row>
    <row r="75" spans="1:58" s="1555" customFormat="1" ht="11.25" customHeight="1">
      <c r="A75" s="1071"/>
      <c r="B75" s="1071"/>
      <c r="C75" s="1071"/>
      <c r="D75" s="1065"/>
      <c r="E75" s="1075"/>
      <c r="F75" s="9090"/>
      <c r="G75" s="9003"/>
      <c r="H75" s="9003"/>
      <c r="I75" s="9076"/>
      <c r="J75" s="9065"/>
      <c r="K75" s="9077"/>
      <c r="L75" s="9069"/>
      <c r="M75" s="8735"/>
      <c r="N75" s="9070"/>
      <c r="O75" s="9071">
        <v>1</v>
      </c>
      <c r="P75" s="9072" t="s">
        <v>53</v>
      </c>
      <c r="Q75" s="8985" t="s">
        <v>24</v>
      </c>
      <c r="R75" s="8985" t="s">
        <v>24</v>
      </c>
      <c r="S75" s="8985" t="s">
        <v>24</v>
      </c>
      <c r="T75" s="8985" t="s">
        <v>24</v>
      </c>
      <c r="U75" s="8985" t="s">
        <v>24</v>
      </c>
      <c r="V75" s="8985" t="s">
        <v>24</v>
      </c>
      <c r="W75" s="8985" t="s">
        <v>24</v>
      </c>
      <c r="X75" s="8985" t="s">
        <v>24</v>
      </c>
      <c r="Y75" s="8985"/>
      <c r="Z75" s="1081"/>
      <c r="AA75" s="1082"/>
      <c r="AB75" s="1082"/>
      <c r="AC75" s="1086"/>
      <c r="AD75" s="1086"/>
      <c r="AE75" s="1087"/>
      <c r="AF75" s="9068"/>
      <c r="AG75" s="9069"/>
      <c r="AH75" s="9069"/>
      <c r="AI75" s="9068"/>
      <c r="AJ75" s="9069"/>
      <c r="AK75" s="9069"/>
      <c r="AL75" s="1078"/>
      <c r="AM75" s="1742"/>
      <c r="AN75" s="1742"/>
      <c r="AO75" s="1742"/>
      <c r="AP75" s="1742"/>
      <c r="AQ75" s="1742"/>
      <c r="AR75" s="1742"/>
      <c r="AS75" s="1742"/>
      <c r="AT75" s="1742"/>
      <c r="AU75" s="1742"/>
      <c r="AV75" s="1742"/>
      <c r="AW75" s="1742"/>
      <c r="AX75" s="1742"/>
      <c r="AY75" s="1742"/>
      <c r="AZ75" s="1742"/>
      <c r="BA75" s="1742"/>
      <c r="BB75" s="1742"/>
      <c r="BC75" s="1742"/>
      <c r="BD75" s="1742"/>
      <c r="BE75" s="1742"/>
      <c r="BF75" s="1742"/>
    </row>
    <row r="76" spans="1:58" s="1555" customFormat="1" ht="11.25" customHeight="1">
      <c r="A76" s="1071"/>
      <c r="B76" s="1071"/>
      <c r="C76" s="1071"/>
      <c r="D76" s="1065"/>
      <c r="E76" s="1075"/>
      <c r="F76" s="9090"/>
      <c r="G76" s="9003"/>
      <c r="H76" s="9003"/>
      <c r="I76" s="9076"/>
      <c r="J76" s="9065"/>
      <c r="K76" s="9077"/>
      <c r="L76" s="9069"/>
      <c r="M76" s="8735"/>
      <c r="N76" s="9070"/>
      <c r="O76" s="9071"/>
      <c r="P76" s="9073"/>
      <c r="Q76" s="8985"/>
      <c r="R76" s="8985"/>
      <c r="S76" s="9075"/>
      <c r="T76" s="8985"/>
      <c r="U76" s="8985"/>
      <c r="V76" s="8985"/>
      <c r="W76" s="8985"/>
      <c r="X76" s="8985"/>
      <c r="Y76" s="8985"/>
      <c r="Z76" s="1747"/>
      <c r="AA76" s="1714">
        <v>1</v>
      </c>
      <c r="AB76" s="1085"/>
      <c r="AC76" s="1074"/>
      <c r="AD76" s="1085">
        <f>AB76</f>
        <v>0</v>
      </c>
      <c r="AE76" s="1074"/>
      <c r="AF76" s="9068"/>
      <c r="AG76" s="9069"/>
      <c r="AH76" s="9069"/>
      <c r="AI76" s="9068"/>
      <c r="AJ76" s="9069"/>
      <c r="AK76" s="9069"/>
      <c r="AL76" s="1078"/>
      <c r="AM76" s="1742"/>
      <c r="AN76" s="1742"/>
      <c r="AO76" s="1742"/>
      <c r="AP76" s="1742"/>
      <c r="AQ76" s="1742"/>
      <c r="AR76" s="1742"/>
      <c r="AS76" s="1742"/>
      <c r="AT76" s="1742"/>
      <c r="AU76" s="1742"/>
      <c r="AV76" s="1742"/>
      <c r="AW76" s="1742"/>
      <c r="AX76" s="1742"/>
      <c r="AY76" s="1742"/>
      <c r="AZ76" s="1742"/>
      <c r="BA76" s="1742"/>
      <c r="BB76" s="1742"/>
      <c r="BC76" s="1742"/>
      <c r="BD76" s="1742"/>
      <c r="BE76" s="1742"/>
      <c r="BF76" s="1742"/>
    </row>
    <row r="77" spans="1:58" s="1555" customFormat="1" ht="11.25" customHeight="1">
      <c r="A77" s="1071"/>
      <c r="B77" s="1071"/>
      <c r="C77" s="1071"/>
      <c r="D77" s="1065"/>
      <c r="E77" s="1075"/>
      <c r="F77" s="9090"/>
      <c r="G77" s="9003"/>
      <c r="H77" s="9003"/>
      <c r="I77" s="9076"/>
      <c r="J77" s="9065"/>
      <c r="K77" s="9077"/>
      <c r="L77" s="9069"/>
      <c r="M77" s="8735"/>
      <c r="N77" s="9070"/>
      <c r="O77" s="9071"/>
      <c r="P77" s="9074"/>
      <c r="Q77" s="8985"/>
      <c r="R77" s="8985"/>
      <c r="S77" s="9075"/>
      <c r="T77" s="8985"/>
      <c r="U77" s="8985"/>
      <c r="V77" s="8985"/>
      <c r="W77" s="8985"/>
      <c r="X77" s="8985"/>
      <c r="Y77" s="8985"/>
      <c r="Z77" s="1081"/>
      <c r="AA77" s="1082"/>
      <c r="AB77" s="1155" t="s">
        <v>1617</v>
      </c>
      <c r="AC77" s="1086"/>
      <c r="AD77" s="1086"/>
      <c r="AE77" s="1088"/>
      <c r="AF77" s="9068"/>
      <c r="AG77" s="9069"/>
      <c r="AH77" s="9069"/>
      <c r="AI77" s="9068"/>
      <c r="AJ77" s="9069"/>
      <c r="AK77" s="9069"/>
      <c r="AL77" s="1078"/>
      <c r="AM77" s="1742"/>
      <c r="AN77" s="1742"/>
      <c r="AO77" s="1742"/>
      <c r="AP77" s="1742"/>
      <c r="AQ77" s="1742"/>
      <c r="AR77" s="1742"/>
      <c r="AS77" s="1742"/>
      <c r="AT77" s="1742"/>
      <c r="AU77" s="1742"/>
      <c r="AV77" s="1742"/>
      <c r="AW77" s="1742"/>
      <c r="AX77" s="1742"/>
      <c r="AY77" s="1742"/>
      <c r="AZ77" s="1742"/>
      <c r="BA77" s="1742"/>
      <c r="BB77" s="1742"/>
      <c r="BC77" s="1742"/>
      <c r="BD77" s="1742"/>
      <c r="BE77" s="1742"/>
      <c r="BF77" s="1742"/>
    </row>
    <row r="78" spans="1:58" s="1555" customFormat="1" ht="11.25" customHeight="1">
      <c r="A78" s="1071"/>
      <c r="B78" s="1071"/>
      <c r="C78" s="1071"/>
      <c r="D78" s="1065"/>
      <c r="E78" s="1075"/>
      <c r="F78" s="9090"/>
      <c r="G78" s="9003"/>
      <c r="H78" s="9003"/>
      <c r="I78" s="9076"/>
      <c r="J78" s="9065"/>
      <c r="K78" s="9077"/>
      <c r="L78" s="9069"/>
      <c r="M78" s="8735"/>
      <c r="N78" s="1082"/>
      <c r="O78" s="1082"/>
      <c r="P78" s="1073" t="s">
        <v>1618</v>
      </c>
      <c r="Q78" s="1082"/>
      <c r="R78" s="1082"/>
      <c r="S78" s="1082"/>
      <c r="T78" s="1082"/>
      <c r="U78" s="1082"/>
      <c r="V78" s="1082"/>
      <c r="W78" s="1082"/>
      <c r="X78" s="1082"/>
      <c r="Y78" s="1082"/>
      <c r="Z78" s="1082"/>
      <c r="AA78" s="1082"/>
      <c r="AB78" s="1082"/>
      <c r="AC78" s="1082"/>
      <c r="AD78" s="1082"/>
      <c r="AE78" s="1089"/>
      <c r="AF78" s="9068"/>
      <c r="AG78" s="9069"/>
      <c r="AH78" s="9069"/>
      <c r="AI78" s="9068"/>
      <c r="AJ78" s="9069"/>
      <c r="AK78" s="9069"/>
      <c r="AL78" s="1078"/>
      <c r="AM78" s="1742"/>
      <c r="AN78" s="1742"/>
      <c r="AO78" s="1742"/>
      <c r="AP78" s="1742"/>
      <c r="AQ78" s="1742"/>
      <c r="AR78" s="1742"/>
      <c r="AS78" s="1742"/>
      <c r="AT78" s="1742"/>
      <c r="AU78" s="1742"/>
      <c r="AV78" s="1742"/>
      <c r="AW78" s="1742"/>
      <c r="AX78" s="1742"/>
      <c r="AY78" s="1742"/>
      <c r="AZ78" s="1742"/>
      <c r="BA78" s="1742"/>
      <c r="BB78" s="1742"/>
      <c r="BC78" s="1742"/>
      <c r="BD78" s="1742"/>
      <c r="BE78" s="1742"/>
      <c r="BF78" s="1742"/>
    </row>
    <row r="79" spans="1:58" s="1555" customFormat="1" ht="12" customHeight="1">
      <c r="A79" s="1071"/>
      <c r="B79" s="1071"/>
      <c r="C79" s="1071"/>
      <c r="D79" s="1065"/>
      <c r="E79" s="1075"/>
      <c r="F79" s="9091"/>
      <c r="G79" s="1097"/>
      <c r="H79" s="1097"/>
      <c r="I79" s="9089" t="s">
        <v>1619</v>
      </c>
      <c r="J79" s="9089"/>
      <c r="K79" s="9089"/>
      <c r="L79" s="1079"/>
      <c r="M79" s="1079"/>
      <c r="N79" s="1080"/>
      <c r="O79" s="1080"/>
      <c r="P79" s="1080"/>
      <c r="Q79" s="1080"/>
      <c r="R79" s="1080"/>
      <c r="S79" s="1080"/>
      <c r="T79" s="1080"/>
      <c r="U79" s="1080"/>
      <c r="V79" s="1080"/>
      <c r="W79" s="1080"/>
      <c r="X79" s="1080"/>
      <c r="Y79" s="1080"/>
      <c r="Z79" s="1080"/>
      <c r="AA79" s="1080"/>
      <c r="AB79" s="1080"/>
      <c r="AC79" s="1080"/>
      <c r="AD79" s="1080"/>
      <c r="AE79" s="1080"/>
      <c r="AF79" s="1080"/>
      <c r="AG79" s="1079"/>
      <c r="AH79" s="1079"/>
      <c r="AI79" s="1080"/>
      <c r="AJ79" s="1079"/>
      <c r="AK79" s="1090"/>
      <c r="AL79" s="1078"/>
      <c r="AM79" s="1742"/>
      <c r="AN79" s="1742"/>
      <c r="AO79" s="1742"/>
      <c r="AP79" s="1742"/>
      <c r="AQ79" s="1742"/>
      <c r="AR79" s="1742"/>
      <c r="AS79" s="1742"/>
      <c r="AT79" s="1742"/>
      <c r="AU79" s="1742"/>
      <c r="AV79" s="1742"/>
      <c r="AW79" s="1742"/>
      <c r="AX79" s="1742"/>
      <c r="AY79" s="1742"/>
      <c r="AZ79" s="1742"/>
      <c r="BA79" s="1742"/>
      <c r="BB79" s="1742"/>
      <c r="BC79" s="1742"/>
      <c r="BD79" s="1742"/>
      <c r="BE79" s="1742"/>
      <c r="BF79" s="1742"/>
    </row>
    <row r="81" spans="1:58" s="1735" customFormat="1" ht="11.25" customHeight="1">
      <c r="A81" s="1735" t="s">
        <v>1620</v>
      </c>
    </row>
    <row r="83" spans="1:58" s="1555" customFormat="1" ht="11.25" customHeight="1">
      <c r="A83" s="1071"/>
      <c r="B83" s="1071"/>
      <c r="C83" s="1071"/>
      <c r="D83" s="1065"/>
      <c r="E83" s="1075"/>
      <c r="F83" s="1748"/>
      <c r="G83" s="1749"/>
      <c r="H83" s="1749"/>
      <c r="I83" s="1683"/>
      <c r="J83" s="1683"/>
      <c r="K83" s="1750"/>
      <c r="L83" s="1683"/>
      <c r="M83" s="1749"/>
      <c r="N83" s="9116"/>
      <c r="O83" s="9071">
        <v>1</v>
      </c>
      <c r="P83" s="9072" t="s">
        <v>53</v>
      </c>
      <c r="Q83" s="8985" t="s">
        <v>24</v>
      </c>
      <c r="R83" s="8985" t="s">
        <v>24</v>
      </c>
      <c r="S83" s="8985" t="s">
        <v>24</v>
      </c>
      <c r="T83" s="8985" t="s">
        <v>24</v>
      </c>
      <c r="U83" s="8985" t="s">
        <v>24</v>
      </c>
      <c r="V83" s="8985" t="s">
        <v>24</v>
      </c>
      <c r="W83" s="8985" t="s">
        <v>24</v>
      </c>
      <c r="X83" s="8985" t="s">
        <v>24</v>
      </c>
      <c r="Y83" s="8985"/>
      <c r="Z83" s="1081"/>
      <c r="AA83" s="1082"/>
      <c r="AB83" s="1082"/>
      <c r="AC83" s="1086"/>
      <c r="AD83" s="1086"/>
      <c r="AE83" s="1086"/>
      <c r="AF83" s="1751"/>
      <c r="AG83" s="1678"/>
      <c r="AH83" s="1678"/>
      <c r="AI83" s="1751"/>
      <c r="AJ83" s="1678"/>
      <c r="AK83" s="1678"/>
      <c r="AL83" s="1078"/>
      <c r="AM83" s="1742"/>
      <c r="AN83" s="1742"/>
      <c r="AO83" s="1742"/>
      <c r="AP83" s="1742"/>
      <c r="AQ83" s="1742"/>
      <c r="AR83" s="1742"/>
      <c r="AS83" s="1742"/>
      <c r="AT83" s="1742"/>
      <c r="AU83" s="1742"/>
      <c r="AV83" s="1742"/>
      <c r="AW83" s="1742"/>
      <c r="AX83" s="1742"/>
      <c r="AY83" s="1742"/>
      <c r="AZ83" s="1742"/>
      <c r="BA83" s="1742"/>
      <c r="BB83" s="1742"/>
      <c r="BC83" s="1742"/>
      <c r="BD83" s="1742"/>
      <c r="BE83" s="1742"/>
      <c r="BF83" s="1742"/>
    </row>
    <row r="84" spans="1:58" s="1555" customFormat="1" ht="11.25" customHeight="1">
      <c r="A84" s="1071"/>
      <c r="B84" s="1071"/>
      <c r="C84" s="1071"/>
      <c r="D84" s="1065"/>
      <c r="E84" s="1075"/>
      <c r="F84" s="1748"/>
      <c r="G84" s="1749"/>
      <c r="H84" s="1749"/>
      <c r="I84" s="1684"/>
      <c r="J84" s="1684"/>
      <c r="K84" s="1750"/>
      <c r="L84" s="1684"/>
      <c r="M84" s="1749"/>
      <c r="N84" s="9116"/>
      <c r="O84" s="9071"/>
      <c r="P84" s="9073"/>
      <c r="Q84" s="8985"/>
      <c r="R84" s="8985"/>
      <c r="S84" s="9075"/>
      <c r="T84" s="8985"/>
      <c r="U84" s="8985"/>
      <c r="V84" s="8985"/>
      <c r="W84" s="8985"/>
      <c r="X84" s="8985"/>
      <c r="Y84" s="8985"/>
      <c r="Z84" s="1747"/>
      <c r="AA84" s="1714">
        <v>1</v>
      </c>
      <c r="AB84" s="1085"/>
      <c r="AC84" s="1074"/>
      <c r="AD84" s="1085">
        <f>AB84</f>
        <v>0</v>
      </c>
      <c r="AE84" s="641"/>
      <c r="AF84" s="1750"/>
      <c r="AG84" s="1678"/>
      <c r="AH84" s="1678"/>
      <c r="AI84" s="1750"/>
      <c r="AJ84" s="1678"/>
      <c r="AK84" s="1678"/>
      <c r="AL84" s="1078"/>
      <c r="AM84" s="1742"/>
      <c r="AN84" s="1742"/>
      <c r="AO84" s="1742"/>
      <c r="AP84" s="1742"/>
      <c r="AQ84" s="1742"/>
      <c r="AR84" s="1742"/>
      <c r="AS84" s="1742"/>
      <c r="AT84" s="1742"/>
      <c r="AU84" s="1742"/>
      <c r="AV84" s="1742"/>
      <c r="AW84" s="1742"/>
      <c r="AX84" s="1742"/>
      <c r="AY84" s="1742"/>
      <c r="AZ84" s="1742"/>
      <c r="BA84" s="1742"/>
      <c r="BB84" s="1742"/>
      <c r="BC84" s="1742"/>
      <c r="BD84" s="1742"/>
      <c r="BE84" s="1742"/>
      <c r="BF84" s="1742"/>
    </row>
    <row r="85" spans="1:58" s="1555" customFormat="1" ht="11.25" customHeight="1">
      <c r="A85" s="1071"/>
      <c r="B85" s="1071"/>
      <c r="C85" s="1071"/>
      <c r="D85" s="1065"/>
      <c r="E85" s="1075"/>
      <c r="F85" s="1748"/>
      <c r="G85" s="1749"/>
      <c r="H85" s="1749"/>
      <c r="I85" s="1685"/>
      <c r="J85" s="1685"/>
      <c r="K85" s="1750"/>
      <c r="L85" s="1685"/>
      <c r="M85" s="1749"/>
      <c r="N85" s="9116"/>
      <c r="O85" s="9071"/>
      <c r="P85" s="9074"/>
      <c r="Q85" s="8985"/>
      <c r="R85" s="8985"/>
      <c r="S85" s="9075"/>
      <c r="T85" s="8985"/>
      <c r="U85" s="8985"/>
      <c r="V85" s="8985"/>
      <c r="W85" s="8985"/>
      <c r="X85" s="8985"/>
      <c r="Y85" s="8985"/>
      <c r="Z85" s="1081"/>
      <c r="AA85" s="1082"/>
      <c r="AB85" s="1155" t="s">
        <v>1617</v>
      </c>
      <c r="AC85" s="1086"/>
      <c r="AD85" s="1086"/>
      <c r="AE85" s="1086"/>
      <c r="AF85" s="1752"/>
      <c r="AG85" s="1678"/>
      <c r="AH85" s="1678"/>
      <c r="AI85" s="1752"/>
      <c r="AJ85" s="1678"/>
      <c r="AK85" s="1678"/>
      <c r="AL85" s="1078"/>
      <c r="AM85" s="1742"/>
      <c r="AN85" s="1742"/>
      <c r="AO85" s="1742"/>
      <c r="AP85" s="1742"/>
      <c r="AQ85" s="1742"/>
      <c r="AR85" s="1742"/>
      <c r="AS85" s="1742"/>
      <c r="AT85" s="1742"/>
      <c r="AU85" s="1742"/>
      <c r="AV85" s="1742"/>
      <c r="AW85" s="1742"/>
      <c r="AX85" s="1742"/>
      <c r="AY85" s="1742"/>
      <c r="AZ85" s="1742"/>
      <c r="BA85" s="1742"/>
      <c r="BB85" s="1742"/>
      <c r="BC85" s="1742"/>
      <c r="BD85" s="1742"/>
      <c r="BE85" s="1742"/>
      <c r="BF85" s="1742"/>
    </row>
    <row r="87" spans="1:58" s="1735" customFormat="1" ht="11.25" customHeight="1">
      <c r="A87" s="1735" t="s">
        <v>1621</v>
      </c>
    </row>
    <row r="89" spans="1:58" s="1555" customFormat="1" ht="11.25" customHeight="1">
      <c r="A89" s="1071"/>
      <c r="B89" s="1071"/>
      <c r="C89" s="1071"/>
      <c r="D89" s="1065"/>
      <c r="E89" s="1075"/>
      <c r="F89" s="1749"/>
      <c r="G89" s="1749"/>
      <c r="H89" s="1749"/>
      <c r="I89" s="1749"/>
      <c r="J89" s="1749"/>
      <c r="K89" s="1749"/>
      <c r="L89" s="1749"/>
      <c r="M89" s="1749"/>
      <c r="N89" s="1749"/>
      <c r="O89" s="1749"/>
      <c r="P89" s="1749"/>
      <c r="Q89" s="1749"/>
      <c r="R89" s="1749"/>
      <c r="S89" s="1749"/>
      <c r="T89" s="1749"/>
      <c r="U89" s="1749"/>
      <c r="V89" s="1749"/>
      <c r="W89" s="1749"/>
      <c r="X89" s="1749"/>
      <c r="Y89" s="1749"/>
      <c r="Z89" s="1753"/>
      <c r="AA89" s="1734">
        <v>1</v>
      </c>
      <c r="AB89" s="1085"/>
      <c r="AC89" s="1074"/>
      <c r="AD89" s="1085">
        <f>AB89</f>
        <v>0</v>
      </c>
      <c r="AE89" s="1074"/>
      <c r="AF89" s="1750"/>
      <c r="AG89" s="1678"/>
      <c r="AH89" s="1678"/>
      <c r="AI89" s="1750"/>
      <c r="AJ89" s="1678"/>
      <c r="AK89" s="1678"/>
      <c r="AL89" s="1078"/>
      <c r="AM89" s="1742"/>
      <c r="AN89" s="1742"/>
      <c r="AO89" s="1742"/>
      <c r="AP89" s="1742"/>
      <c r="AQ89" s="1742"/>
      <c r="AR89" s="1742"/>
      <c r="AS89" s="1742"/>
      <c r="AT89" s="1742"/>
      <c r="AU89" s="1742"/>
      <c r="AV89" s="1742"/>
      <c r="AW89" s="1742"/>
      <c r="AX89" s="1742"/>
      <c r="AY89" s="1742"/>
      <c r="AZ89" s="1742"/>
      <c r="BA89" s="1742"/>
      <c r="BB89" s="1742"/>
      <c r="BC89" s="1742"/>
      <c r="BD89" s="1742"/>
      <c r="BE89" s="1742"/>
      <c r="BF89" s="1742"/>
    </row>
    <row r="91" spans="1:58" s="1735" customFormat="1" ht="11.25" customHeight="1">
      <c r="A91" s="1735" t="s">
        <v>1622</v>
      </c>
    </row>
    <row r="93" spans="1:58" s="1555" customFormat="1" ht="11.25" customHeight="1">
      <c r="A93" s="1071"/>
      <c r="B93" s="1071"/>
      <c r="C93" s="1071"/>
      <c r="D93" s="1065"/>
      <c r="E93" s="1075"/>
      <c r="F93" s="1748"/>
      <c r="G93" s="1749"/>
      <c r="H93" s="9003" t="s">
        <v>95</v>
      </c>
      <c r="I93" s="9076"/>
      <c r="J93" s="9065"/>
      <c r="K93" s="9077"/>
      <c r="L93" s="9069" t="s">
        <v>53</v>
      </c>
      <c r="M93" s="8735"/>
      <c r="N93" s="1084"/>
      <c r="O93" s="1083" t="s">
        <v>841</v>
      </c>
      <c r="P93" s="1084"/>
      <c r="Q93" s="1084"/>
      <c r="R93" s="1084"/>
      <c r="S93" s="1084"/>
      <c r="T93" s="1084"/>
      <c r="U93" s="1084"/>
      <c r="V93" s="1084"/>
      <c r="W93" s="1084"/>
      <c r="X93" s="1084"/>
      <c r="Y93" s="1084"/>
      <c r="Z93" s="1084"/>
      <c r="AA93" s="1084"/>
      <c r="AB93" s="1084"/>
      <c r="AC93" s="1084"/>
      <c r="AD93" s="1084"/>
      <c r="AE93" s="1084"/>
      <c r="AF93" s="9068"/>
      <c r="AG93" s="9069"/>
      <c r="AH93" s="9069"/>
      <c r="AI93" s="9068"/>
      <c r="AJ93" s="9069"/>
      <c r="AK93" s="9069"/>
      <c r="AL93" s="1078"/>
      <c r="AM93" s="1742"/>
      <c r="AN93" s="1742"/>
      <c r="AO93" s="1742"/>
      <c r="AP93" s="1742"/>
      <c r="AQ93" s="1742"/>
      <c r="AR93" s="1742"/>
      <c r="AS93" s="1742"/>
      <c r="AT93" s="1742"/>
      <c r="AU93" s="1742"/>
      <c r="AV93" s="1742"/>
      <c r="AW93" s="1742"/>
      <c r="AX93" s="1742"/>
      <c r="AY93" s="1742"/>
      <c r="AZ93" s="1742"/>
      <c r="BA93" s="1742"/>
      <c r="BB93" s="1742"/>
      <c r="BC93" s="1742"/>
      <c r="BD93" s="1742"/>
      <c r="BE93" s="1742"/>
      <c r="BF93" s="1742"/>
    </row>
    <row r="94" spans="1:58" s="1555" customFormat="1" ht="11.25" customHeight="1">
      <c r="A94" s="1071"/>
      <c r="B94" s="1071"/>
      <c r="C94" s="1071"/>
      <c r="D94" s="1065"/>
      <c r="E94" s="1075"/>
      <c r="F94" s="1748"/>
      <c r="G94" s="1749"/>
      <c r="H94" s="9003"/>
      <c r="I94" s="9076"/>
      <c r="J94" s="9065"/>
      <c r="K94" s="9077"/>
      <c r="L94" s="9069"/>
      <c r="M94" s="8735"/>
      <c r="N94" s="9070"/>
      <c r="O94" s="9071">
        <v>1</v>
      </c>
      <c r="P94" s="9072" t="s">
        <v>53</v>
      </c>
      <c r="Q94" s="8985" t="s">
        <v>24</v>
      </c>
      <c r="R94" s="8985" t="s">
        <v>24</v>
      </c>
      <c r="S94" s="8985" t="s">
        <v>24</v>
      </c>
      <c r="T94" s="8985" t="s">
        <v>24</v>
      </c>
      <c r="U94" s="8985" t="s">
        <v>24</v>
      </c>
      <c r="V94" s="8985" t="s">
        <v>24</v>
      </c>
      <c r="W94" s="8985" t="s">
        <v>24</v>
      </c>
      <c r="X94" s="8985" t="s">
        <v>24</v>
      </c>
      <c r="Y94" s="8985"/>
      <c r="Z94" s="1081"/>
      <c r="AA94" s="1082"/>
      <c r="AB94" s="1082"/>
      <c r="AC94" s="1086"/>
      <c r="AD94" s="1086"/>
      <c r="AE94" s="1087"/>
      <c r="AF94" s="9068"/>
      <c r="AG94" s="9069"/>
      <c r="AH94" s="9069"/>
      <c r="AI94" s="9068"/>
      <c r="AJ94" s="9069"/>
      <c r="AK94" s="9069"/>
      <c r="AL94" s="1078"/>
      <c r="AM94" s="1742"/>
      <c r="AN94" s="1742"/>
      <c r="AO94" s="1742"/>
      <c r="AP94" s="1742"/>
      <c r="AQ94" s="1742"/>
      <c r="AR94" s="1742"/>
      <c r="AS94" s="1742"/>
      <c r="AT94" s="1742"/>
      <c r="AU94" s="1742"/>
      <c r="AV94" s="1742"/>
      <c r="AW94" s="1742"/>
      <c r="AX94" s="1742"/>
      <c r="AY94" s="1742"/>
      <c r="AZ94" s="1742"/>
      <c r="BA94" s="1742"/>
      <c r="BB94" s="1742"/>
      <c r="BC94" s="1742"/>
      <c r="BD94" s="1742"/>
      <c r="BE94" s="1742"/>
      <c r="BF94" s="1742"/>
    </row>
    <row r="95" spans="1:58" s="1555" customFormat="1" ht="11.25" customHeight="1">
      <c r="A95" s="1071"/>
      <c r="B95" s="1071"/>
      <c r="C95" s="1071"/>
      <c r="D95" s="1065"/>
      <c r="E95" s="1075"/>
      <c r="F95" s="1748"/>
      <c r="G95" s="1749"/>
      <c r="H95" s="9003"/>
      <c r="I95" s="9076"/>
      <c r="J95" s="9065"/>
      <c r="K95" s="9077"/>
      <c r="L95" s="9069"/>
      <c r="M95" s="8735"/>
      <c r="N95" s="9070"/>
      <c r="O95" s="9071"/>
      <c r="P95" s="9073"/>
      <c r="Q95" s="8985"/>
      <c r="R95" s="8985"/>
      <c r="S95" s="9075"/>
      <c r="T95" s="8985"/>
      <c r="U95" s="8985"/>
      <c r="V95" s="8985"/>
      <c r="W95" s="8985"/>
      <c r="X95" s="8985"/>
      <c r="Y95" s="8985"/>
      <c r="Z95" s="1747"/>
      <c r="AA95" s="1714">
        <v>1</v>
      </c>
      <c r="AB95" s="1085"/>
      <c r="AC95" s="1074"/>
      <c r="AD95" s="1085">
        <f>AB95</f>
        <v>0</v>
      </c>
      <c r="AE95" s="1074"/>
      <c r="AF95" s="9068"/>
      <c r="AG95" s="9069"/>
      <c r="AH95" s="9069"/>
      <c r="AI95" s="9068"/>
      <c r="AJ95" s="9069"/>
      <c r="AK95" s="9069"/>
      <c r="AL95" s="1078"/>
      <c r="AM95" s="1742"/>
      <c r="AN95" s="1742"/>
      <c r="AO95" s="1742"/>
      <c r="AP95" s="1742"/>
      <c r="AQ95" s="1742"/>
      <c r="AR95" s="1742"/>
      <c r="AS95" s="1742"/>
      <c r="AT95" s="1742"/>
      <c r="AU95" s="1742"/>
      <c r="AV95" s="1742"/>
      <c r="AW95" s="1742"/>
      <c r="AX95" s="1742"/>
      <c r="AY95" s="1742"/>
      <c r="AZ95" s="1742"/>
      <c r="BA95" s="1742"/>
      <c r="BB95" s="1742"/>
      <c r="BC95" s="1742"/>
      <c r="BD95" s="1742"/>
      <c r="BE95" s="1742"/>
      <c r="BF95" s="1742"/>
    </row>
    <row r="96" spans="1:58" s="1555" customFormat="1" ht="11.25" customHeight="1">
      <c r="A96" s="1071"/>
      <c r="B96" s="1071"/>
      <c r="C96" s="1071"/>
      <c r="D96" s="1065"/>
      <c r="E96" s="1075"/>
      <c r="F96" s="1748"/>
      <c r="G96" s="1749"/>
      <c r="H96" s="9003"/>
      <c r="I96" s="9076"/>
      <c r="J96" s="9065"/>
      <c r="K96" s="9077"/>
      <c r="L96" s="9069"/>
      <c r="M96" s="8735"/>
      <c r="N96" s="9070"/>
      <c r="O96" s="9071"/>
      <c r="P96" s="9074"/>
      <c r="Q96" s="8985"/>
      <c r="R96" s="8985"/>
      <c r="S96" s="9075"/>
      <c r="T96" s="8985"/>
      <c r="U96" s="8985"/>
      <c r="V96" s="8985"/>
      <c r="W96" s="8985"/>
      <c r="X96" s="8985"/>
      <c r="Y96" s="8985"/>
      <c r="Z96" s="1081"/>
      <c r="AA96" s="1082"/>
      <c r="AB96" s="1155" t="s">
        <v>1617</v>
      </c>
      <c r="AC96" s="1086"/>
      <c r="AD96" s="1086"/>
      <c r="AE96" s="1088"/>
      <c r="AF96" s="9068"/>
      <c r="AG96" s="9069"/>
      <c r="AH96" s="9069"/>
      <c r="AI96" s="9068"/>
      <c r="AJ96" s="9069"/>
      <c r="AK96" s="9069"/>
      <c r="AL96" s="1078"/>
      <c r="AM96" s="1742"/>
      <c r="AN96" s="1742"/>
      <c r="AO96" s="1742"/>
      <c r="AP96" s="1742"/>
      <c r="AQ96" s="1742"/>
      <c r="AR96" s="1742"/>
      <c r="AS96" s="1742"/>
      <c r="AT96" s="1742"/>
      <c r="AU96" s="1742"/>
      <c r="AV96" s="1742"/>
      <c r="AW96" s="1742"/>
      <c r="AX96" s="1742"/>
      <c r="AY96" s="1742"/>
      <c r="AZ96" s="1742"/>
      <c r="BA96" s="1742"/>
      <c r="BB96" s="1742"/>
      <c r="BC96" s="1742"/>
      <c r="BD96" s="1742"/>
      <c r="BE96" s="1742"/>
      <c r="BF96" s="1742"/>
    </row>
    <row r="97" spans="1:184" s="1555" customFormat="1" ht="11.25" customHeight="1">
      <c r="A97" s="1071"/>
      <c r="B97" s="1071"/>
      <c r="C97" s="1071"/>
      <c r="D97" s="1065"/>
      <c r="E97" s="1075"/>
      <c r="F97" s="1748"/>
      <c r="G97" s="1749"/>
      <c r="H97" s="9003"/>
      <c r="I97" s="9076"/>
      <c r="J97" s="9065"/>
      <c r="K97" s="9077"/>
      <c r="L97" s="9069"/>
      <c r="M97" s="8735"/>
      <c r="N97" s="1082"/>
      <c r="O97" s="1082"/>
      <c r="P97" s="1073" t="s">
        <v>1618</v>
      </c>
      <c r="Q97" s="1082"/>
      <c r="R97" s="1082"/>
      <c r="S97" s="1082"/>
      <c r="T97" s="1082"/>
      <c r="U97" s="1082"/>
      <c r="V97" s="1082"/>
      <c r="W97" s="1082"/>
      <c r="X97" s="1082"/>
      <c r="Y97" s="1082"/>
      <c r="Z97" s="1082"/>
      <c r="AA97" s="1082"/>
      <c r="AB97" s="1082"/>
      <c r="AC97" s="1082"/>
      <c r="AD97" s="1082"/>
      <c r="AE97" s="1089"/>
      <c r="AF97" s="9068"/>
      <c r="AG97" s="9069"/>
      <c r="AH97" s="9069"/>
      <c r="AI97" s="9068"/>
      <c r="AJ97" s="9069"/>
      <c r="AK97" s="9069"/>
      <c r="AL97" s="1078"/>
      <c r="AM97" s="1742"/>
      <c r="AN97" s="1742"/>
      <c r="AO97" s="1742"/>
      <c r="AP97" s="1742"/>
      <c r="AQ97" s="1742"/>
      <c r="AR97" s="1742"/>
      <c r="AS97" s="1742"/>
      <c r="AT97" s="1742"/>
      <c r="AU97" s="1742"/>
      <c r="AV97" s="1742"/>
      <c r="AW97" s="1742"/>
      <c r="AX97" s="1742"/>
      <c r="AY97" s="1742"/>
      <c r="AZ97" s="1742"/>
      <c r="BA97" s="1742"/>
      <c r="BB97" s="1742"/>
      <c r="BC97" s="1742"/>
      <c r="BD97" s="1742"/>
      <c r="BE97" s="1742"/>
      <c r="BF97" s="1742"/>
    </row>
    <row r="99" spans="1:184" s="1735" customFormat="1" ht="11.25" customHeight="1">
      <c r="A99" s="1735" t="s">
        <v>1623</v>
      </c>
    </row>
    <row r="100" spans="1:184" ht="17.25" customHeight="1"/>
    <row r="101" spans="1:184" s="838" customFormat="1" ht="21" customHeight="1">
      <c r="A101" s="1072"/>
      <c r="B101" s="851"/>
      <c r="D101" s="837"/>
      <c r="E101" s="850" t="s">
        <v>24</v>
      </c>
      <c r="F101" s="1029" t="e">
        <f>INDEX(IP_MAIN_LIST_NAME_IP,MATCH(A101,IP_MAIN_LIST_IP_ID,0))&amp;" ("&amp;INDEX(IP_MAIN_START_DATE,MATCH(A101,IP_MAIN_LIST_IP_ID,0))&amp;"-"&amp;INDEX(IP_MAIN_END_DATE,MATCH(A101,IP_MAIN_LIST_IP_ID,0))&amp;")"</f>
        <v>#N/A</v>
      </c>
      <c r="G101" s="1110"/>
      <c r="H101" s="1111"/>
      <c r="I101" s="1111"/>
      <c r="J101" s="1111"/>
      <c r="K101" s="1111"/>
      <c r="L101" s="1111"/>
      <c r="M101" s="1111"/>
      <c r="N101" s="1111"/>
      <c r="O101" s="1110"/>
      <c r="P101" s="1110"/>
      <c r="Q101" s="1110"/>
      <c r="R101" s="1110"/>
      <c r="S101" s="1110"/>
      <c r="T101" s="1110"/>
      <c r="U101" s="1112"/>
      <c r="V101" s="1112"/>
      <c r="W101" s="1112"/>
      <c r="X101" s="1112"/>
      <c r="Y101" s="1112"/>
      <c r="Z101" s="1112"/>
      <c r="AA101" s="1112"/>
      <c r="AB101" s="1110"/>
      <c r="AC101" s="1111"/>
      <c r="AD101" s="1111"/>
      <c r="AE101" s="1111"/>
      <c r="AF101" s="1111"/>
      <c r="AG101" s="1111"/>
      <c r="AH101" s="1111"/>
      <c r="AI101" s="1111"/>
      <c r="AJ101" s="1111"/>
      <c r="AK101" s="1111"/>
      <c r="AL101" s="1111"/>
      <c r="AM101" s="1111"/>
      <c r="AN101" s="1111"/>
      <c r="AO101" s="1111"/>
      <c r="AP101" s="1111"/>
      <c r="AQ101" s="1111"/>
      <c r="AR101" s="1111"/>
      <c r="AS101" s="1111"/>
      <c r="AT101" s="1111"/>
      <c r="AU101" s="1111"/>
      <c r="AV101" s="1111"/>
      <c r="AW101" s="1111"/>
      <c r="AX101" s="1111"/>
      <c r="AY101" s="1111"/>
      <c r="AZ101" s="1111"/>
      <c r="BA101" s="1111"/>
      <c r="BB101" s="1111"/>
      <c r="BC101" s="1111"/>
      <c r="BD101" s="1111"/>
      <c r="BE101" s="1111"/>
      <c r="BF101" s="1111"/>
      <c r="BG101" s="1111"/>
      <c r="BH101" s="1111"/>
      <c r="BI101" s="1111"/>
      <c r="BJ101" s="1111"/>
      <c r="BK101" s="1111"/>
      <c r="BL101" s="1111"/>
      <c r="BM101" s="1111"/>
      <c r="BN101" s="1111"/>
      <c r="BO101" s="1111"/>
      <c r="BP101" s="1111"/>
      <c r="BQ101" s="1111"/>
      <c r="BR101" s="1111"/>
      <c r="BS101" s="1111"/>
      <c r="BT101" s="1111"/>
      <c r="BU101" s="1111"/>
      <c r="BV101" s="1111"/>
      <c r="BW101" s="1111"/>
      <c r="BX101" s="1111"/>
      <c r="BY101" s="1111"/>
      <c r="BZ101" s="1111"/>
      <c r="CA101" s="1111"/>
      <c r="CB101" s="1111"/>
      <c r="CC101" s="1111"/>
      <c r="CD101" s="1111"/>
      <c r="CE101" s="1111"/>
      <c r="CF101" s="1111"/>
      <c r="CG101" s="1111"/>
      <c r="CH101" s="1111"/>
      <c r="CI101" s="1111"/>
      <c r="CJ101" s="1111"/>
      <c r="CK101" s="1111"/>
      <c r="CL101" s="1113"/>
      <c r="CM101" s="1113"/>
      <c r="CN101" s="1113"/>
      <c r="CO101" s="1113"/>
      <c r="CP101" s="1113"/>
      <c r="CQ101" s="1113"/>
      <c r="CR101" s="1113"/>
      <c r="CS101" s="1113"/>
      <c r="CT101" s="1113"/>
      <c r="CU101" s="1113"/>
      <c r="CV101" s="1113"/>
      <c r="CW101" s="1113"/>
      <c r="CX101" s="1113"/>
      <c r="CY101" s="1113"/>
      <c r="CZ101" s="1113"/>
      <c r="DA101" s="1113"/>
      <c r="DB101" s="1113"/>
      <c r="DC101" s="1113"/>
      <c r="DD101" s="1113"/>
      <c r="DE101" s="1113"/>
      <c r="DF101" s="1113"/>
      <c r="DG101" s="1113"/>
      <c r="DH101" s="1113"/>
      <c r="DI101" s="1113"/>
      <c r="DJ101" s="1113"/>
      <c r="DK101" s="1113"/>
      <c r="DL101" s="1113"/>
      <c r="DM101" s="1113"/>
      <c r="DN101" s="1113"/>
      <c r="DO101" s="1113"/>
      <c r="DP101" s="1113"/>
      <c r="DQ101" s="1113"/>
      <c r="DR101" s="1113"/>
      <c r="DS101" s="1113"/>
      <c r="DT101" s="1113"/>
      <c r="DU101" s="1113"/>
      <c r="DV101" s="1113"/>
      <c r="DW101" s="1113"/>
      <c r="DX101" s="1113"/>
      <c r="DY101" s="1113"/>
      <c r="DZ101" s="1113"/>
      <c r="EA101" s="1113"/>
      <c r="EB101" s="1113"/>
      <c r="EC101" s="1113"/>
      <c r="ED101" s="1113"/>
      <c r="EE101" s="1113"/>
      <c r="EF101" s="1113"/>
      <c r="EG101" s="1113"/>
      <c r="EH101" s="1113"/>
      <c r="EI101" s="1113"/>
      <c r="EJ101" s="1113"/>
      <c r="EK101" s="1113"/>
      <c r="EL101" s="1113"/>
      <c r="EM101" s="1113"/>
      <c r="EN101" s="1113"/>
      <c r="EO101" s="1113"/>
      <c r="EP101" s="1113"/>
      <c r="EQ101" s="1113"/>
      <c r="ER101" s="1113"/>
      <c r="ES101" s="1113"/>
      <c r="ET101" s="1113"/>
      <c r="EU101" s="1113"/>
      <c r="EV101" s="1113"/>
      <c r="EW101" s="1113"/>
      <c r="EX101" s="1113"/>
      <c r="EY101" s="1113"/>
      <c r="EZ101" s="1113"/>
      <c r="FA101" s="1113"/>
      <c r="FB101" s="1113"/>
      <c r="FC101" s="1113"/>
      <c r="FD101" s="1113"/>
      <c r="FE101" s="1113"/>
      <c r="FF101" s="1113"/>
      <c r="FG101" s="1113"/>
      <c r="FH101" s="1113"/>
      <c r="FI101" s="1113"/>
      <c r="FJ101" s="1113"/>
      <c r="FK101" s="1113"/>
      <c r="FL101" s="1113"/>
      <c r="FM101" s="1113"/>
      <c r="FN101" s="1113"/>
      <c r="FO101" s="1113"/>
      <c r="FP101" s="1113"/>
      <c r="FQ101" s="1113"/>
      <c r="FR101" s="1113"/>
      <c r="FS101" s="1113"/>
      <c r="FT101" s="1113"/>
      <c r="FU101" s="1113"/>
      <c r="FV101" s="1114"/>
      <c r="FW101" s="1108"/>
      <c r="FX101" s="1109"/>
    </row>
    <row r="102" spans="1:184" s="838" customFormat="1" ht="24.75" customHeight="1">
      <c r="B102" s="836"/>
      <c r="C102" s="837"/>
      <c r="D102" s="837"/>
      <c r="E102"/>
      <c r="F102" s="1115">
        <v>1</v>
      </c>
      <c r="G102" s="1116"/>
      <c r="H102" s="1117"/>
      <c r="I102" s="1125"/>
      <c r="J102" s="1118"/>
      <c r="K102" s="1118"/>
      <c r="L102" s="1118"/>
      <c r="M102" s="1118"/>
      <c r="N102" s="1118"/>
      <c r="O102" s="1119"/>
      <c r="P102" s="1119"/>
      <c r="Q102" s="1119"/>
      <c r="R102" s="1119"/>
      <c r="S102" s="1119"/>
      <c r="T102" s="1119"/>
      <c r="U102" s="1119"/>
      <c r="V102" s="1119"/>
      <c r="W102" s="1119"/>
      <c r="X102" s="1119"/>
      <c r="Y102" s="1119"/>
      <c r="Z102" s="1119"/>
      <c r="AA102" s="1119"/>
      <c r="AB102" s="1119"/>
      <c r="AC102" s="1118"/>
      <c r="AD102" s="1118"/>
      <c r="AE102" s="1118"/>
      <c r="AF102" s="1118"/>
      <c r="AG102" s="1118"/>
      <c r="AH102" s="1118"/>
      <c r="AI102" s="1118"/>
      <c r="AJ102" s="1118"/>
      <c r="AK102" s="1118"/>
      <c r="AL102" s="1118"/>
      <c r="AM102" s="1118"/>
      <c r="AN102" s="1118"/>
      <c r="AO102" s="1118"/>
      <c r="AP102" s="1118"/>
      <c r="AQ102" s="1118"/>
      <c r="AR102" s="1118"/>
      <c r="AS102" s="1118"/>
      <c r="AT102" s="1118"/>
      <c r="AU102" s="1118"/>
      <c r="AV102" s="1118"/>
      <c r="AW102" s="1118"/>
      <c r="AX102" s="1118"/>
      <c r="AY102" s="1118"/>
      <c r="AZ102" s="1118"/>
      <c r="BA102" s="1118"/>
      <c r="BB102" s="1118"/>
      <c r="BC102" s="1118"/>
      <c r="BD102" s="1118"/>
      <c r="BE102" s="1118"/>
      <c r="BF102" s="1118"/>
      <c r="BG102" s="1118"/>
      <c r="BH102" s="1118"/>
      <c r="BI102" s="1118"/>
      <c r="BJ102" s="1118"/>
      <c r="BK102" s="1118"/>
      <c r="BL102" s="1118"/>
      <c r="BM102" s="1118"/>
      <c r="BN102" s="1118"/>
      <c r="BO102" s="1118"/>
      <c r="BP102" s="1118"/>
      <c r="BQ102" s="1118"/>
      <c r="BR102" s="1118"/>
      <c r="BS102" s="1118"/>
      <c r="BT102" s="1120"/>
      <c r="BU102" s="1120"/>
      <c r="BV102" s="1120"/>
      <c r="BW102" s="1120"/>
      <c r="BX102" s="1120"/>
      <c r="BY102" s="1120"/>
      <c r="BZ102" s="1120"/>
      <c r="CA102" s="1120"/>
      <c r="CB102" s="1120"/>
      <c r="CC102" s="1120"/>
      <c r="CD102" s="1120"/>
      <c r="CE102" s="1120"/>
      <c r="CF102" s="1120"/>
      <c r="CG102" s="1120"/>
      <c r="CH102" s="1120"/>
      <c r="CI102" s="1120"/>
      <c r="CJ102" s="1120"/>
      <c r="CK102" s="1120"/>
      <c r="CL102" s="1118"/>
      <c r="CM102" s="1118"/>
      <c r="CN102" s="1118"/>
      <c r="CO102" s="1118"/>
      <c r="CP102" s="1118"/>
      <c r="CQ102" s="1118"/>
      <c r="CR102" s="1118"/>
      <c r="CS102" s="1118"/>
      <c r="CT102" s="1118"/>
      <c r="CU102" s="1118"/>
      <c r="CV102" s="1118"/>
      <c r="CW102" s="1118"/>
      <c r="CX102" s="1118"/>
      <c r="CY102" s="1119"/>
      <c r="CZ102" s="1119"/>
      <c r="DA102" s="1119"/>
      <c r="DB102" s="1119"/>
      <c r="DC102" s="1119"/>
      <c r="DD102" s="1119"/>
      <c r="DE102" s="1119"/>
      <c r="DF102" s="1119"/>
      <c r="DG102" s="1119"/>
      <c r="DH102" s="1119"/>
      <c r="DI102" s="1119"/>
      <c r="DJ102" s="1119"/>
      <c r="DK102" s="1118"/>
      <c r="DL102" s="1118"/>
      <c r="DM102" s="1118"/>
      <c r="DN102" s="1118"/>
      <c r="DO102" s="1118"/>
      <c r="DP102" s="1118"/>
      <c r="DQ102" s="1118"/>
      <c r="DR102" s="1118"/>
      <c r="DS102" s="1118"/>
      <c r="DT102" s="1118"/>
      <c r="DU102" s="1118"/>
      <c r="DV102" s="1118"/>
      <c r="DW102" s="1118"/>
      <c r="DX102" s="1118"/>
      <c r="DY102" s="1118"/>
      <c r="DZ102" s="1118"/>
      <c r="EA102" s="1118"/>
      <c r="EB102" s="1118"/>
      <c r="EC102" s="1118"/>
      <c r="ED102" s="1118"/>
      <c r="EE102" s="1118"/>
      <c r="EF102" s="1118"/>
      <c r="EG102" s="1118"/>
      <c r="EH102" s="1118"/>
      <c r="EI102" s="1118"/>
      <c r="EJ102" s="1118"/>
      <c r="EK102" s="1118"/>
      <c r="EL102" s="1118"/>
      <c r="EM102" s="1118"/>
      <c r="EN102" s="1118"/>
      <c r="EO102" s="1118"/>
      <c r="EP102" s="1118"/>
      <c r="EQ102" s="1118"/>
      <c r="ER102" s="1118"/>
      <c r="ES102" s="1118"/>
      <c r="ET102" s="1118"/>
      <c r="EU102" s="1118"/>
      <c r="EV102" s="1118"/>
      <c r="EW102" s="1118"/>
      <c r="EX102" s="1118"/>
      <c r="EY102" s="1118"/>
      <c r="EZ102" s="1118"/>
      <c r="FA102" s="1118"/>
      <c r="FB102" s="1118"/>
      <c r="FC102" s="1118"/>
      <c r="FD102" s="1118"/>
      <c r="FE102" s="1118"/>
      <c r="FF102" s="1118"/>
      <c r="FG102" s="1118"/>
      <c r="FH102" s="1118"/>
      <c r="FI102" s="1118"/>
      <c r="FJ102" s="1118"/>
      <c r="FK102" s="1118"/>
      <c r="FL102" s="1118"/>
      <c r="FM102" s="1118"/>
      <c r="FN102" s="1118"/>
      <c r="FO102" s="1118"/>
      <c r="FP102" s="1118"/>
      <c r="FQ102" s="1118"/>
      <c r="FR102" s="1118"/>
      <c r="FS102" s="1118"/>
      <c r="FT102" s="1118"/>
      <c r="FU102" s="1118"/>
      <c r="FV102" s="1118"/>
      <c r="FW102" s="1118"/>
      <c r="FX102" s="1109"/>
    </row>
    <row r="103" spans="1:184" s="838" customFormat="1" ht="12" customHeight="1">
      <c r="A103" s="837"/>
      <c r="B103" s="836"/>
      <c r="C103" s="837"/>
      <c r="D103" s="837"/>
      <c r="E103" s="837"/>
      <c r="F103" s="1121"/>
      <c r="G103" s="1720" t="s">
        <v>1624</v>
      </c>
      <c r="H103" s="1122"/>
      <c r="I103" s="1122"/>
      <c r="J103" s="1122"/>
      <c r="K103" s="1122"/>
      <c r="L103" s="1122"/>
      <c r="M103" s="1122"/>
      <c r="N103" s="1122"/>
      <c r="O103" s="1122"/>
      <c r="P103" s="1122"/>
      <c r="Q103" s="1122"/>
      <c r="R103" s="1122"/>
      <c r="S103" s="1122"/>
      <c r="T103" s="1122"/>
      <c r="U103" s="1122"/>
      <c r="V103" s="1122"/>
      <c r="W103" s="1122"/>
      <c r="X103" s="1122"/>
      <c r="Y103" s="1122"/>
      <c r="Z103" s="1122"/>
      <c r="AA103" s="1122"/>
      <c r="AB103" s="1122"/>
      <c r="AC103" s="1122"/>
      <c r="AD103" s="1122"/>
      <c r="AE103" s="1122"/>
      <c r="AF103" s="1122"/>
      <c r="AG103" s="1122"/>
      <c r="AH103" s="1122"/>
      <c r="AI103" s="1122"/>
      <c r="AJ103" s="1122"/>
      <c r="AK103" s="1122"/>
      <c r="AL103" s="1122"/>
      <c r="AM103" s="1122"/>
      <c r="AN103" s="1122"/>
      <c r="AO103" s="1122"/>
      <c r="AP103" s="1122"/>
      <c r="AQ103" s="1122"/>
      <c r="AR103" s="1122"/>
      <c r="AS103" s="1122"/>
      <c r="AT103" s="1122"/>
      <c r="AU103" s="1122"/>
      <c r="AV103" s="1122"/>
      <c r="AW103" s="1122"/>
      <c r="AX103" s="1122"/>
      <c r="AY103" s="1122"/>
      <c r="AZ103" s="1122"/>
      <c r="BA103" s="1122"/>
      <c r="BB103" s="1122"/>
      <c r="BC103" s="1122"/>
      <c r="BD103" s="1122"/>
      <c r="BE103" s="1122"/>
      <c r="BF103" s="1122"/>
      <c r="BG103" s="1122"/>
      <c r="BH103" s="1122"/>
      <c r="BI103" s="1122"/>
      <c r="BJ103" s="1122"/>
      <c r="BK103" s="1122"/>
      <c r="BL103" s="1122"/>
      <c r="BM103" s="1122"/>
      <c r="BN103" s="1122"/>
      <c r="BO103" s="1122"/>
      <c r="BP103" s="1122"/>
      <c r="BQ103" s="1122"/>
      <c r="BR103" s="1122"/>
      <c r="BS103" s="1122"/>
      <c r="BT103" s="1122"/>
      <c r="BU103" s="1122"/>
      <c r="BV103" s="1122"/>
      <c r="BW103" s="1122"/>
      <c r="BX103" s="1122"/>
      <c r="BY103" s="1122"/>
      <c r="BZ103" s="1122"/>
      <c r="CA103" s="1122"/>
      <c r="CB103" s="1122"/>
      <c r="CC103" s="1122"/>
      <c r="CD103" s="1122"/>
      <c r="CE103" s="1122"/>
      <c r="CF103" s="1122"/>
      <c r="CG103" s="1122"/>
      <c r="CH103" s="1122"/>
      <c r="CI103" s="1122"/>
      <c r="CJ103" s="1122"/>
      <c r="CK103" s="1122"/>
      <c r="CL103" s="1122"/>
      <c r="CM103" s="1122"/>
      <c r="CN103" s="1122"/>
      <c r="CO103" s="1122"/>
      <c r="CP103" s="1122"/>
      <c r="CQ103" s="1122"/>
      <c r="CR103" s="1122"/>
      <c r="CS103" s="1122"/>
      <c r="CT103" s="1122"/>
      <c r="CU103" s="1122"/>
      <c r="CV103" s="1122"/>
      <c r="CW103" s="1122"/>
      <c r="CX103" s="1122"/>
      <c r="CY103" s="1122"/>
      <c r="CZ103" s="1122"/>
      <c r="DA103" s="1122"/>
      <c r="DB103" s="1122"/>
      <c r="DC103" s="1122"/>
      <c r="DD103" s="1122"/>
      <c r="DE103" s="1122"/>
      <c r="DF103" s="1122"/>
      <c r="DG103" s="1122"/>
      <c r="DH103" s="1122"/>
      <c r="DI103" s="1122"/>
      <c r="DJ103" s="1122"/>
      <c r="DK103" s="1122"/>
      <c r="DL103" s="1122"/>
      <c r="DM103" s="1122"/>
      <c r="DN103" s="1122"/>
      <c r="DO103" s="1122"/>
      <c r="DP103" s="1122"/>
      <c r="DQ103" s="1122"/>
      <c r="DR103" s="1122"/>
      <c r="DS103" s="1122"/>
      <c r="DT103" s="1122"/>
      <c r="DU103" s="1122"/>
      <c r="DV103" s="1122"/>
      <c r="DW103" s="1122"/>
      <c r="DX103" s="1122"/>
      <c r="DY103" s="1122"/>
      <c r="DZ103" s="1122"/>
      <c r="EA103" s="1122"/>
      <c r="EB103" s="1122"/>
      <c r="EC103" s="1122"/>
      <c r="ED103" s="1122"/>
      <c r="EE103" s="1122"/>
      <c r="EF103" s="1122"/>
      <c r="EG103" s="1122"/>
      <c r="EH103" s="1122"/>
      <c r="EI103" s="1122"/>
      <c r="EJ103" s="1122"/>
      <c r="EK103" s="1122"/>
      <c r="EL103" s="1122"/>
      <c r="EM103" s="1122"/>
      <c r="EN103" s="1122"/>
      <c r="EO103" s="1122"/>
      <c r="EP103" s="1122"/>
      <c r="EQ103" s="1122"/>
      <c r="ER103" s="1122"/>
      <c r="ES103" s="1122"/>
      <c r="ET103" s="1122"/>
      <c r="EU103" s="1122"/>
      <c r="EV103" s="1122"/>
      <c r="EW103" s="1122"/>
      <c r="EX103" s="1122"/>
      <c r="EY103" s="1122"/>
      <c r="EZ103" s="1122"/>
      <c r="FA103" s="1122"/>
      <c r="FB103" s="1122"/>
      <c r="FC103" s="1122"/>
      <c r="FD103" s="1122"/>
      <c r="FE103" s="1122"/>
      <c r="FF103" s="1122"/>
      <c r="FG103" s="1122"/>
      <c r="FH103" s="1122"/>
      <c r="FI103" s="1122"/>
      <c r="FJ103" s="1122"/>
      <c r="FK103" s="1122"/>
      <c r="FL103" s="1122"/>
      <c r="FM103" s="1122"/>
      <c r="FN103" s="1122"/>
      <c r="FO103" s="1122"/>
      <c r="FP103" s="1122"/>
      <c r="FQ103" s="1122"/>
      <c r="FR103" s="1122"/>
      <c r="FS103" s="1122"/>
      <c r="FT103" s="1122"/>
      <c r="FU103" s="1122"/>
      <c r="FV103" s="1122"/>
      <c r="FW103" s="1123"/>
      <c r="FX103" s="1124"/>
      <c r="FY103" s="852"/>
      <c r="FZ103" s="852"/>
      <c r="GA103" s="852"/>
      <c r="GB103" s="852"/>
    </row>
    <row r="105" spans="1:184" s="1735" customFormat="1" ht="11.25" customHeight="1">
      <c r="A105" s="1735" t="s">
        <v>1625</v>
      </c>
    </row>
    <row r="107" spans="1:184" s="1818" customFormat="1" ht="15" customHeight="1">
      <c r="A107" s="542"/>
      <c r="B107"/>
      <c r="C107"/>
      <c r="D107" s="9113" t="s">
        <v>95</v>
      </c>
      <c r="E107" s="8966" t="s">
        <v>197</v>
      </c>
      <c r="F107" s="8967"/>
      <c r="G107" s="8968"/>
      <c r="H107" s="8972" t="str">
        <f>IF(A107="","",INDEX(DIFFERENTIATION_UNMERGE_VD,MATCH(A107,DIFFERENTIATION_ID_DIFF,0)))</f>
        <v/>
      </c>
      <c r="I107" s="8972"/>
      <c r="J107" s="8972"/>
      <c r="K107" s="8972"/>
      <c r="L107" s="8972"/>
      <c r="M107" s="8972"/>
      <c r="N107" s="8972"/>
      <c r="O107" s="8972"/>
      <c r="P107" s="8972"/>
      <c r="Q107" s="8972"/>
      <c r="R107" s="8972"/>
      <c r="S107" s="636"/>
      <c r="T107" s="633"/>
      <c r="U107" s="543"/>
      <c r="V107" s="543"/>
      <c r="W107" s="544"/>
      <c r="X107" s="544"/>
      <c r="Y107" s="544"/>
      <c r="Z107" s="544"/>
      <c r="AA107" s="545"/>
      <c r="AB107" s="546"/>
      <c r="AC107" s="8964"/>
      <c r="AD107" s="547"/>
      <c r="AE107" s="548" t="s">
        <v>24</v>
      </c>
      <c r="AF107" s="548"/>
      <c r="AG107" s="549" t="s">
        <v>1067</v>
      </c>
      <c r="AH107" s="550">
        <v>3</v>
      </c>
      <c r="AI107" s="543"/>
      <c r="AJ107" s="543"/>
      <c r="AK107" s="543"/>
      <c r="AL107" s="543"/>
      <c r="AM107" s="543"/>
      <c r="AN107" s="543"/>
      <c r="AO107" s="543"/>
      <c r="AP107" s="543"/>
      <c r="AQ107" s="543"/>
      <c r="AR107" s="543"/>
      <c r="AS107" s="543"/>
      <c r="AT107" s="543"/>
      <c r="AU107" s="543"/>
      <c r="AV107" s="543"/>
      <c r="AW107" s="543"/>
      <c r="AX107" s="543"/>
      <c r="AY107" s="543"/>
      <c r="AZ107" s="543"/>
      <c r="BA107" s="543"/>
      <c r="BB107" s="543"/>
      <c r="BC107" s="543"/>
      <c r="BD107" s="543"/>
      <c r="BE107" s="543"/>
      <c r="BF107" s="543"/>
      <c r="BG107" s="543"/>
      <c r="BH107" s="543"/>
      <c r="BI107" s="543"/>
      <c r="BJ107" s="543"/>
      <c r="BK107" s="543"/>
      <c r="BL107" s="543"/>
      <c r="BM107" s="543"/>
      <c r="BN107" s="543"/>
      <c r="BO107" s="543"/>
      <c r="BP107" s="543"/>
      <c r="BQ107" s="543"/>
      <c r="BR107" s="543"/>
      <c r="BS107" s="543"/>
      <c r="BT107" s="543"/>
      <c r="BU107" s="543"/>
      <c r="BV107" s="544"/>
      <c r="BW107" s="544"/>
      <c r="BX107" s="544"/>
      <c r="BY107" s="544"/>
      <c r="BZ107" s="544"/>
      <c r="CA107" s="544"/>
      <c r="CB107" s="544"/>
      <c r="CC107" s="544"/>
      <c r="CD107" s="544"/>
      <c r="CE107" s="544"/>
    </row>
    <row r="108" spans="1:184" s="1818" customFormat="1" ht="15" customHeight="1">
      <c r="A108" s="542"/>
      <c r="B108"/>
      <c r="C108"/>
      <c r="D108" s="9114"/>
      <c r="E108" s="8966" t="s">
        <v>1022</v>
      </c>
      <c r="F108" s="8967"/>
      <c r="G108" s="8968"/>
      <c r="H108" s="8972" t="str">
        <f>IF(A107="","",INDEX(DIFFERENTIATION_UNMERGE_AREA,MATCH(A107,DIFFERENTIATION_ID_DIFF,0)))</f>
        <v/>
      </c>
      <c r="I108" s="8972"/>
      <c r="J108" s="8972"/>
      <c r="K108" s="8972"/>
      <c r="L108" s="8972"/>
      <c r="M108" s="8972"/>
      <c r="N108" s="8972"/>
      <c r="O108" s="8972"/>
      <c r="P108" s="8972"/>
      <c r="Q108" s="8972"/>
      <c r="R108" s="8972"/>
      <c r="S108" s="636"/>
      <c r="T108" s="633"/>
      <c r="U108" s="543"/>
      <c r="V108" s="543"/>
      <c r="W108" s="544"/>
      <c r="X108" s="544"/>
      <c r="Y108" s="544"/>
      <c r="Z108" s="544"/>
      <c r="AA108" s="545"/>
      <c r="AB108" s="546"/>
      <c r="AC108" s="8964"/>
      <c r="AD108" s="547"/>
      <c r="AE108" s="548"/>
      <c r="AF108" s="548"/>
      <c r="AG108" s="549"/>
      <c r="AH108" s="550"/>
      <c r="AI108" s="543"/>
      <c r="AJ108" s="543"/>
      <c r="AK108" s="543"/>
      <c r="AL108" s="543"/>
      <c r="AM108" s="543"/>
      <c r="AN108" s="543"/>
      <c r="AO108" s="543"/>
      <c r="AP108" s="543"/>
      <c r="AQ108" s="543"/>
      <c r="AR108" s="543"/>
      <c r="AS108" s="543"/>
      <c r="AT108" s="543"/>
      <c r="AU108" s="543"/>
      <c r="AV108" s="543"/>
      <c r="AW108" s="543"/>
      <c r="AX108" s="543"/>
      <c r="AY108" s="543"/>
      <c r="AZ108" s="543"/>
      <c r="BA108" s="543"/>
      <c r="BB108" s="543"/>
      <c r="BC108" s="543"/>
      <c r="BD108" s="543"/>
      <c r="BE108" s="543"/>
      <c r="BF108" s="543"/>
      <c r="BG108" s="543"/>
      <c r="BH108" s="543"/>
      <c r="BI108" s="543"/>
      <c r="BJ108" s="543"/>
      <c r="BK108" s="543"/>
      <c r="BL108" s="543"/>
      <c r="BM108" s="543"/>
      <c r="BN108" s="543"/>
      <c r="BO108" s="543"/>
      <c r="BP108" s="543"/>
      <c r="BQ108" s="543"/>
      <c r="BR108" s="543"/>
      <c r="BS108" s="543"/>
      <c r="BT108" s="543"/>
      <c r="BU108" s="543"/>
      <c r="BV108" s="544"/>
      <c r="BW108" s="544"/>
      <c r="BX108" s="544"/>
      <c r="BY108" s="544"/>
      <c r="BZ108" s="544"/>
      <c r="CA108" s="544"/>
      <c r="CB108" s="544"/>
      <c r="CC108" s="544"/>
      <c r="CD108" s="544"/>
      <c r="CE108" s="544"/>
    </row>
    <row r="109" spans="1:184" s="1818" customFormat="1" ht="15" customHeight="1">
      <c r="A109" s="542"/>
      <c r="B109"/>
      <c r="C109"/>
      <c r="D109" s="9114"/>
      <c r="E109" s="8966" t="s">
        <v>1023</v>
      </c>
      <c r="F109" s="8967"/>
      <c r="G109" s="8968"/>
      <c r="H109" s="8972" t="str">
        <f>IF(A107="","",INDEX(DIFFERENTIATION_UNMERGE_SYSTEM,MATCH(A107,DIFFERENTIATION_ID_DIFF,0)))</f>
        <v/>
      </c>
      <c r="I109" s="8972"/>
      <c r="J109" s="8972"/>
      <c r="K109" s="8972"/>
      <c r="L109" s="8972"/>
      <c r="M109" s="8972"/>
      <c r="N109" s="8972"/>
      <c r="O109" s="8972"/>
      <c r="P109" s="8972"/>
      <c r="Q109" s="8972"/>
      <c r="R109" s="8972"/>
      <c r="S109" s="636"/>
      <c r="T109" s="633"/>
      <c r="U109" s="543"/>
      <c r="V109" s="543"/>
      <c r="W109" s="544"/>
      <c r="X109" s="544"/>
      <c r="Y109" s="544"/>
      <c r="Z109" s="544"/>
      <c r="AA109" s="545"/>
      <c r="AB109" s="546"/>
      <c r="AC109" s="8964"/>
      <c r="AD109" s="547"/>
      <c r="AE109" s="548"/>
      <c r="AF109" s="548"/>
      <c r="AG109" s="549"/>
      <c r="AH109" s="550"/>
      <c r="AI109" s="543"/>
      <c r="AJ109" s="543"/>
      <c r="AK109" s="543"/>
      <c r="AL109" s="543"/>
      <c r="AM109" s="543"/>
      <c r="AN109" s="543"/>
      <c r="AO109" s="543"/>
      <c r="AP109" s="543"/>
      <c r="AQ109" s="543"/>
      <c r="AR109" s="543"/>
      <c r="AS109" s="543"/>
      <c r="AT109" s="543"/>
      <c r="AU109" s="543"/>
      <c r="AV109" s="543"/>
      <c r="AW109" s="543"/>
      <c r="AX109" s="543"/>
      <c r="AY109" s="543"/>
      <c r="AZ109" s="543"/>
      <c r="BA109" s="543"/>
      <c r="BB109" s="543"/>
      <c r="BC109" s="543"/>
      <c r="BD109" s="543"/>
      <c r="BE109" s="543"/>
      <c r="BF109" s="543"/>
      <c r="BG109" s="543"/>
      <c r="BH109" s="543"/>
      <c r="BI109" s="543"/>
      <c r="BJ109" s="543"/>
      <c r="BK109" s="543"/>
      <c r="BL109" s="543"/>
      <c r="BM109" s="543"/>
      <c r="BN109" s="543"/>
      <c r="BO109" s="543"/>
      <c r="BP109" s="543"/>
      <c r="BQ109" s="543"/>
      <c r="BR109" s="543"/>
      <c r="BS109" s="543"/>
      <c r="BT109" s="543"/>
      <c r="BU109" s="543"/>
      <c r="BV109" s="544"/>
      <c r="BW109" s="544"/>
      <c r="BX109" s="544"/>
      <c r="BY109" s="544"/>
      <c r="BZ109" s="544"/>
      <c r="CA109" s="544"/>
      <c r="CB109" s="544"/>
      <c r="CC109" s="544"/>
      <c r="CD109" s="544"/>
      <c r="CE109" s="544"/>
    </row>
    <row r="110" spans="1:184" s="1818" customFormat="1" ht="24.75" customHeight="1">
      <c r="A110" s="1726"/>
      <c r="B110" s="1065"/>
      <c r="C110" s="341"/>
      <c r="D110" s="9114"/>
      <c r="E110" s="8965" t="s">
        <v>1068</v>
      </c>
      <c r="F110" s="8965"/>
      <c r="G110" s="8965"/>
      <c r="H110" s="8965"/>
      <c r="I110" s="8965"/>
      <c r="J110" s="8965"/>
      <c r="K110" s="8965"/>
      <c r="L110" s="8965"/>
      <c r="M110" s="8965"/>
      <c r="N110" s="8965"/>
      <c r="O110" s="8965"/>
      <c r="P110" s="8965"/>
      <c r="Q110" s="481">
        <f>SUMIF(T111:T112,"i",Q111:Q112)</f>
        <v>0</v>
      </c>
      <c r="R110" s="928"/>
      <c r="S110" s="1718" t="s">
        <v>1069</v>
      </c>
      <c r="T110" s="634" t="s">
        <v>1070</v>
      </c>
      <c r="U110" s="8882">
        <v>1</v>
      </c>
      <c r="V110" s="8882" t="s">
        <v>1033</v>
      </c>
      <c r="W110" s="1065"/>
      <c r="X110" s="1065"/>
      <c r="Y110" s="1065"/>
      <c r="Z110" s="1065"/>
      <c r="AA110" s="1556"/>
      <c r="AB110" s="1065"/>
      <c r="AC110" s="8964"/>
      <c r="AD110" s="547"/>
      <c r="AE110" s="1065"/>
      <c r="AF110" s="1065"/>
      <c r="AG110" s="1556"/>
      <c r="AH110" s="1556"/>
      <c r="AI110" s="1556"/>
      <c r="AJ110" s="1556"/>
      <c r="AK110" s="1556"/>
      <c r="AL110" s="1556"/>
      <c r="AM110" s="1556"/>
      <c r="AN110" s="1556"/>
      <c r="AO110" s="1556"/>
      <c r="AP110" s="1556"/>
      <c r="AQ110" s="1556"/>
      <c r="AR110" s="1556"/>
      <c r="AS110" s="1556"/>
      <c r="AT110" s="1556"/>
      <c r="AU110" s="1556"/>
      <c r="AV110" s="1556"/>
      <c r="AW110" s="1556"/>
      <c r="AX110" s="1556"/>
      <c r="AY110" s="1556"/>
      <c r="AZ110" s="1556"/>
      <c r="BA110" s="1556"/>
      <c r="BB110" s="1556"/>
      <c r="BC110" s="1556"/>
      <c r="BD110" s="1556"/>
      <c r="BE110" s="1556"/>
      <c r="BF110" s="1556"/>
      <c r="BG110" s="1556"/>
      <c r="BH110" s="1556"/>
      <c r="BI110" s="1556"/>
      <c r="BJ110" s="1556"/>
      <c r="BK110" s="1556"/>
      <c r="BL110" s="1556"/>
      <c r="BM110" s="1556"/>
      <c r="BN110" s="1556"/>
      <c r="BO110" s="1556"/>
      <c r="BP110" s="1556"/>
      <c r="BQ110" s="1556"/>
      <c r="BR110" s="1556"/>
      <c r="BS110" s="1556"/>
      <c r="BT110" s="1556"/>
      <c r="BU110" s="1556"/>
      <c r="BV110" s="1065"/>
      <c r="BW110" s="1065"/>
      <c r="BX110" s="1065"/>
      <c r="BY110" s="1065"/>
      <c r="BZ110" s="1065"/>
      <c r="CA110" s="1065"/>
      <c r="CB110" s="1065"/>
      <c r="CC110" s="1065"/>
      <c r="CD110" s="1065"/>
      <c r="CE110" s="1065"/>
    </row>
    <row r="111" spans="1:184" s="1818" customFormat="1" ht="11.25" hidden="1" customHeight="1">
      <c r="A111" s="1713"/>
      <c r="B111" s="1556"/>
      <c r="C111" s="1556"/>
      <c r="D111" s="9114"/>
      <c r="E111" s="553"/>
      <c r="F111" s="553">
        <v>0</v>
      </c>
      <c r="G111" s="553"/>
      <c r="H111" s="553"/>
      <c r="I111" s="553"/>
      <c r="J111" s="553"/>
      <c r="K111" s="553"/>
      <c r="L111" s="553"/>
      <c r="M111" s="553"/>
      <c r="N111" s="553"/>
      <c r="O111" s="553"/>
      <c r="P111" s="553"/>
      <c r="Q111" s="553"/>
      <c r="R111" s="553"/>
      <c r="S111" s="554"/>
      <c r="T111" s="635"/>
      <c r="U111" s="8882"/>
      <c r="V111" s="8882"/>
      <c r="W111" s="1556"/>
      <c r="X111" s="1556"/>
      <c r="Y111" s="1556"/>
      <c r="Z111" s="1556"/>
      <c r="AA111" s="1556"/>
      <c r="AB111" s="1065"/>
      <c r="AC111" s="8964"/>
      <c r="AD111" s="547"/>
      <c r="AE111" s="1065"/>
      <c r="AF111" s="1065"/>
      <c r="AG111" s="1556"/>
      <c r="AH111" s="1556"/>
      <c r="AI111" s="1556"/>
      <c r="AJ111" s="1556"/>
      <c r="AK111" s="1556"/>
      <c r="AL111" s="1556"/>
      <c r="AM111" s="1556"/>
      <c r="AN111" s="1556"/>
      <c r="AO111" s="1556"/>
      <c r="AP111" s="1556"/>
      <c r="AQ111" s="1556"/>
      <c r="AR111" s="1556"/>
      <c r="AS111" s="1556"/>
      <c r="AT111" s="1556"/>
      <c r="AU111" s="1556"/>
      <c r="AV111" s="1556"/>
      <c r="AW111" s="1556"/>
      <c r="AX111" s="1556"/>
      <c r="AY111" s="1556"/>
      <c r="AZ111" s="1556"/>
      <c r="BA111" s="1556"/>
      <c r="BB111" s="1556"/>
      <c r="BC111" s="1556"/>
      <c r="BD111" s="1556"/>
      <c r="BE111" s="1556"/>
      <c r="BF111" s="1556"/>
      <c r="BG111" s="1556"/>
      <c r="BH111" s="1556"/>
      <c r="BI111" s="1556"/>
      <c r="BJ111" s="1556"/>
      <c r="BK111" s="1556"/>
      <c r="BL111" s="1556"/>
      <c r="BM111" s="1556"/>
      <c r="BN111" s="1556"/>
      <c r="BO111" s="1556"/>
      <c r="BP111" s="1556"/>
      <c r="BQ111" s="1556"/>
      <c r="BR111" s="1556"/>
      <c r="BS111" s="1556"/>
      <c r="BT111" s="1556"/>
      <c r="BU111" s="1556"/>
      <c r="BV111" s="1556"/>
      <c r="BW111" s="1556"/>
      <c r="BX111" s="1556"/>
      <c r="BY111" s="1556"/>
      <c r="BZ111" s="1556"/>
      <c r="CA111" s="1556"/>
      <c r="CB111" s="1556"/>
      <c r="CC111" s="1556"/>
      <c r="CD111" s="1556"/>
      <c r="CE111" s="1556"/>
    </row>
    <row r="112" spans="1:184" s="1818" customFormat="1" ht="11.25" customHeight="1">
      <c r="A112" s="1726"/>
      <c r="B112" s="1065"/>
      <c r="C112" s="341"/>
      <c r="D112" s="9114"/>
      <c r="E112" s="567" t="s">
        <v>24</v>
      </c>
      <c r="F112" s="1073" t="s">
        <v>24</v>
      </c>
      <c r="G112" s="1073" t="s">
        <v>1626</v>
      </c>
      <c r="H112" s="569" t="s">
        <v>24</v>
      </c>
      <c r="I112" s="569"/>
      <c r="J112" s="569"/>
      <c r="K112" s="569"/>
      <c r="L112" s="569"/>
      <c r="M112" s="569"/>
      <c r="N112" s="569"/>
      <c r="O112" s="569"/>
      <c r="P112" s="569"/>
      <c r="Q112" s="569"/>
      <c r="R112" s="570"/>
      <c r="S112" s="571"/>
      <c r="T112" s="635"/>
      <c r="U112" s="8882"/>
      <c r="V112" s="8882"/>
      <c r="W112" s="1065"/>
      <c r="X112" s="1065"/>
      <c r="Y112" s="1065"/>
      <c r="Z112" s="1065"/>
      <c r="AA112" s="1556"/>
      <c r="AB112" s="1065"/>
      <c r="AC112" s="8964"/>
      <c r="AD112" s="547"/>
      <c r="AE112" s="1065"/>
      <c r="AF112" s="1065"/>
      <c r="AG112" s="1556"/>
      <c r="AH112" s="1556"/>
      <c r="AI112" s="1556"/>
      <c r="AJ112" s="1556"/>
      <c r="AK112" s="1556"/>
      <c r="AL112" s="1556"/>
      <c r="AM112" s="1556"/>
      <c r="AN112" s="1556"/>
      <c r="AO112" s="1556"/>
      <c r="AP112" s="1556"/>
      <c r="AQ112" s="1556"/>
      <c r="AR112" s="1556"/>
      <c r="AS112" s="1556"/>
      <c r="AT112" s="1556"/>
      <c r="AU112" s="1556"/>
      <c r="AV112" s="1556"/>
      <c r="AW112" s="1556"/>
      <c r="AX112" s="1556"/>
      <c r="AY112" s="1556"/>
      <c r="AZ112" s="1556"/>
      <c r="BA112" s="1556"/>
      <c r="BB112" s="1556"/>
      <c r="BC112" s="1556"/>
      <c r="BD112" s="1556"/>
      <c r="BE112" s="1556"/>
      <c r="BF112" s="1556"/>
      <c r="BG112" s="1556"/>
      <c r="BH112" s="1556"/>
      <c r="BI112" s="1556"/>
      <c r="BJ112" s="1556"/>
      <c r="BK112" s="1556"/>
      <c r="BL112" s="1556"/>
      <c r="BM112" s="1556"/>
      <c r="BN112" s="1556"/>
      <c r="BO112" s="1556"/>
      <c r="BP112" s="1556"/>
      <c r="BQ112" s="1556"/>
      <c r="BR112" s="1556"/>
      <c r="BS112" s="1556"/>
      <c r="BT112" s="1556"/>
      <c r="BU112" s="1556"/>
      <c r="BV112" s="1065"/>
      <c r="BW112" s="1065"/>
      <c r="BX112" s="1065"/>
      <c r="BY112" s="1065"/>
      <c r="BZ112" s="1065"/>
      <c r="CA112" s="1065"/>
      <c r="CB112" s="1065"/>
      <c r="CC112" s="1065"/>
      <c r="CD112" s="1065"/>
      <c r="CE112" s="1065"/>
    </row>
    <row r="113" spans="1:83" s="1818" customFormat="1" ht="24.75" customHeight="1">
      <c r="A113" s="1726"/>
      <c r="B113" s="1065"/>
      <c r="C113" s="341"/>
      <c r="D113" s="9114"/>
      <c r="E113" s="8965" t="s">
        <v>1071</v>
      </c>
      <c r="F113" s="8965"/>
      <c r="G113" s="8965"/>
      <c r="H113" s="8965"/>
      <c r="I113" s="8965"/>
      <c r="J113" s="8965"/>
      <c r="K113" s="8965"/>
      <c r="L113" s="8965"/>
      <c r="M113" s="8965"/>
      <c r="N113" s="8965"/>
      <c r="O113" s="8965"/>
      <c r="P113" s="8965"/>
      <c r="Q113" s="481">
        <f>SUMIF(T114:T115,"i",Q114:Q115)</f>
        <v>0</v>
      </c>
      <c r="R113" s="928"/>
      <c r="S113" s="1718" t="s">
        <v>1072</v>
      </c>
      <c r="T113" s="634" t="s">
        <v>1070</v>
      </c>
      <c r="U113" s="8882">
        <v>1</v>
      </c>
      <c r="V113" s="8882" t="s">
        <v>1033</v>
      </c>
      <c r="W113" s="1065"/>
      <c r="X113" s="1065"/>
      <c r="Y113" s="1065"/>
      <c r="Z113" s="1065"/>
      <c r="AA113" s="1556"/>
      <c r="AB113" s="1065"/>
      <c r="AC113" s="1716"/>
      <c r="AD113" s="547"/>
      <c r="AE113" s="1065"/>
      <c r="AF113" s="1065"/>
      <c r="AG113" s="1556"/>
      <c r="AH113" s="1556"/>
      <c r="AI113" s="1556"/>
      <c r="AJ113" s="1556"/>
      <c r="AK113" s="1556"/>
      <c r="AL113" s="1556"/>
      <c r="AM113" s="1556"/>
      <c r="AN113" s="1556"/>
      <c r="AO113" s="1556"/>
      <c r="AP113" s="1556"/>
      <c r="AQ113" s="1556"/>
      <c r="AR113" s="1556"/>
      <c r="AS113" s="1556"/>
      <c r="AT113" s="1556"/>
      <c r="AU113" s="1556"/>
      <c r="AV113" s="1556"/>
      <c r="AW113" s="1556"/>
      <c r="AX113" s="1556"/>
      <c r="AY113" s="1556"/>
      <c r="AZ113" s="1556"/>
      <c r="BA113" s="1556"/>
      <c r="BB113" s="1556"/>
      <c r="BC113" s="1556"/>
      <c r="BD113" s="1556"/>
      <c r="BE113" s="1556"/>
      <c r="BF113" s="1556"/>
      <c r="BG113" s="1556"/>
      <c r="BH113" s="1556"/>
      <c r="BI113" s="1556"/>
      <c r="BJ113" s="1556"/>
      <c r="BK113" s="1556"/>
      <c r="BL113" s="1556"/>
      <c r="BM113" s="1556"/>
      <c r="BN113" s="1556"/>
      <c r="BO113" s="1556"/>
      <c r="BP113" s="1556"/>
      <c r="BQ113" s="1556"/>
      <c r="BR113" s="1556"/>
      <c r="BS113" s="1556"/>
      <c r="BT113" s="1556"/>
      <c r="BU113" s="1556"/>
      <c r="BV113" s="1065"/>
      <c r="BW113" s="1065"/>
      <c r="BX113" s="1065"/>
      <c r="BY113" s="1065"/>
      <c r="BZ113" s="1065"/>
      <c r="CA113" s="1065"/>
      <c r="CB113" s="1065"/>
      <c r="CC113" s="1065"/>
      <c r="CD113" s="1065"/>
      <c r="CE113" s="1065"/>
    </row>
    <row r="114" spans="1:83" s="1818" customFormat="1" ht="11.25" hidden="1" customHeight="1">
      <c r="A114" s="1713"/>
      <c r="B114" s="1556"/>
      <c r="C114" s="1556"/>
      <c r="D114" s="9114"/>
      <c r="E114" s="553"/>
      <c r="F114" s="553">
        <v>0</v>
      </c>
      <c r="G114" s="553"/>
      <c r="H114" s="553"/>
      <c r="I114" s="553"/>
      <c r="J114" s="553"/>
      <c r="K114" s="553"/>
      <c r="L114" s="553"/>
      <c r="M114" s="553"/>
      <c r="N114" s="553"/>
      <c r="O114" s="553"/>
      <c r="P114" s="553"/>
      <c r="Q114" s="553"/>
      <c r="R114" s="553"/>
      <c r="S114" s="554"/>
      <c r="T114" s="635"/>
      <c r="U114" s="8882"/>
      <c r="V114" s="8882"/>
      <c r="W114" s="1556"/>
      <c r="X114" s="1556"/>
      <c r="Y114" s="1556"/>
      <c r="Z114" s="1556"/>
      <c r="AA114" s="1556"/>
      <c r="AB114" s="1065"/>
      <c r="AC114" s="1716"/>
      <c r="AD114" s="547"/>
      <c r="AE114" s="1065"/>
      <c r="AF114" s="1065"/>
      <c r="AG114" s="1556"/>
      <c r="AH114" s="1556"/>
      <c r="AI114" s="1556"/>
      <c r="AJ114" s="1556"/>
      <c r="AK114" s="1556"/>
      <c r="AL114" s="1556"/>
      <c r="AM114" s="1556"/>
      <c r="AN114" s="1556"/>
      <c r="AO114" s="1556"/>
      <c r="AP114" s="1556"/>
      <c r="AQ114" s="1556"/>
      <c r="AR114" s="1556"/>
      <c r="AS114" s="1556"/>
      <c r="AT114" s="1556"/>
      <c r="AU114" s="1556"/>
      <c r="AV114" s="1556"/>
      <c r="AW114" s="1556"/>
      <c r="AX114" s="1556"/>
      <c r="AY114" s="1556"/>
      <c r="AZ114" s="1556"/>
      <c r="BA114" s="1556"/>
      <c r="BB114" s="1556"/>
      <c r="BC114" s="1556"/>
      <c r="BD114" s="1556"/>
      <c r="BE114" s="1556"/>
      <c r="BF114" s="1556"/>
      <c r="BG114" s="1556"/>
      <c r="BH114" s="1556"/>
      <c r="BI114" s="1556"/>
      <c r="BJ114" s="1556"/>
      <c r="BK114" s="1556"/>
      <c r="BL114" s="1556"/>
      <c r="BM114" s="1556"/>
      <c r="BN114" s="1556"/>
      <c r="BO114" s="1556"/>
      <c r="BP114" s="1556"/>
      <c r="BQ114" s="1556"/>
      <c r="BR114" s="1556"/>
      <c r="BS114" s="1556"/>
      <c r="BT114" s="1556"/>
      <c r="BU114" s="1556"/>
      <c r="BV114" s="1556"/>
      <c r="BW114" s="1556"/>
      <c r="BX114" s="1556"/>
      <c r="BY114" s="1556"/>
      <c r="BZ114" s="1556"/>
      <c r="CA114" s="1556"/>
      <c r="CB114" s="1556"/>
      <c r="CC114" s="1556"/>
      <c r="CD114" s="1556"/>
      <c r="CE114" s="1556"/>
    </row>
    <row r="115" spans="1:83" s="1818" customFormat="1" ht="11.25" customHeight="1">
      <c r="A115" s="1726"/>
      <c r="B115" s="1065"/>
      <c r="C115" s="341"/>
      <c r="D115" s="9115"/>
      <c r="E115" s="567" t="s">
        <v>24</v>
      </c>
      <c r="F115" s="1073" t="s">
        <v>24</v>
      </c>
      <c r="G115" s="1073" t="s">
        <v>1626</v>
      </c>
      <c r="H115" s="569" t="s">
        <v>24</v>
      </c>
      <c r="I115" s="569"/>
      <c r="J115" s="569"/>
      <c r="K115" s="569"/>
      <c r="L115" s="569"/>
      <c r="M115" s="569"/>
      <c r="N115" s="569"/>
      <c r="O115" s="569"/>
      <c r="P115" s="569"/>
      <c r="Q115" s="569"/>
      <c r="R115" s="570"/>
      <c r="S115" s="571"/>
      <c r="T115" s="635"/>
      <c r="U115" s="8882"/>
      <c r="V115" s="8882"/>
      <c r="W115" s="1065"/>
      <c r="X115" s="1065"/>
      <c r="Y115" s="1065"/>
      <c r="Z115" s="1065"/>
      <c r="AA115" s="1556"/>
      <c r="AB115" s="1065"/>
      <c r="AC115" s="1716"/>
      <c r="AD115" s="547"/>
      <c r="AE115" s="1065"/>
      <c r="AF115" s="1065"/>
      <c r="AG115" s="1556"/>
      <c r="AH115" s="1556"/>
      <c r="AI115" s="1556"/>
      <c r="AJ115" s="1556"/>
      <c r="AK115" s="1556"/>
      <c r="AL115" s="1556"/>
      <c r="AM115" s="1556"/>
      <c r="AN115" s="1556"/>
      <c r="AO115" s="1556"/>
      <c r="AP115" s="1556"/>
      <c r="AQ115" s="1556"/>
      <c r="AR115" s="1556"/>
      <c r="AS115" s="1556"/>
      <c r="AT115" s="1556"/>
      <c r="AU115" s="1556"/>
      <c r="AV115" s="1556"/>
      <c r="AW115" s="1556"/>
      <c r="AX115" s="1556"/>
      <c r="AY115" s="1556"/>
      <c r="AZ115" s="1556"/>
      <c r="BA115" s="1556"/>
      <c r="BB115" s="1556"/>
      <c r="BC115" s="1556"/>
      <c r="BD115" s="1556"/>
      <c r="BE115" s="1556"/>
      <c r="BF115" s="1556"/>
      <c r="BG115" s="1556"/>
      <c r="BH115" s="1556"/>
      <c r="BI115" s="1556"/>
      <c r="BJ115" s="1556"/>
      <c r="BK115" s="1556"/>
      <c r="BL115" s="1556"/>
      <c r="BM115" s="1556"/>
      <c r="BN115" s="1556"/>
      <c r="BO115" s="1556"/>
      <c r="BP115" s="1556"/>
      <c r="BQ115" s="1556"/>
      <c r="BR115" s="1556"/>
      <c r="BS115" s="1556"/>
      <c r="BT115" s="1556"/>
      <c r="BU115" s="1556"/>
      <c r="BV115" s="1065"/>
      <c r="BW115" s="1065"/>
      <c r="BX115" s="1065"/>
      <c r="BY115" s="1065"/>
      <c r="BZ115" s="1065"/>
      <c r="CA115" s="1065"/>
      <c r="CB115" s="1065"/>
      <c r="CC115" s="1065"/>
      <c r="CD115" s="1065"/>
      <c r="CE115" s="1065"/>
    </row>
    <row r="117" spans="1:83" s="1735" customFormat="1" ht="11.25" customHeight="1">
      <c r="A117" s="1735" t="s">
        <v>1627</v>
      </c>
    </row>
    <row r="119" spans="1:83" s="1818" customFormat="1" ht="15" customHeight="1">
      <c r="A119" s="542"/>
      <c r="B119"/>
      <c r="C119"/>
      <c r="D119" s="9113" t="s">
        <v>95</v>
      </c>
      <c r="E119" s="8966" t="s">
        <v>197</v>
      </c>
      <c r="F119" s="8967"/>
      <c r="G119" s="8968"/>
      <c r="H119" s="8972" t="str">
        <f>IF(A119="","",INDEX(DIFFERENTIATION_UNMERGE_VD,MATCH(A119,DIFFERENTIATION_ID_DIFF,0)))</f>
        <v/>
      </c>
      <c r="I119" s="8972"/>
      <c r="J119" s="8972"/>
      <c r="K119" s="8972"/>
      <c r="L119" s="8972"/>
      <c r="M119" s="8972"/>
      <c r="N119" s="8972"/>
      <c r="O119" s="8972"/>
      <c r="P119" s="8972"/>
      <c r="Q119" s="8972"/>
      <c r="R119" s="8972"/>
      <c r="S119" s="636"/>
      <c r="T119" s="633"/>
      <c r="U119" s="543"/>
      <c r="V119" s="543"/>
      <c r="W119" s="544"/>
      <c r="X119" s="544"/>
      <c r="Y119" s="544"/>
      <c r="Z119" s="544"/>
      <c r="AA119" s="545"/>
      <c r="AB119" s="546"/>
      <c r="AC119" s="8964"/>
      <c r="AD119" s="547"/>
      <c r="AE119" s="548" t="s">
        <v>24</v>
      </c>
      <c r="AF119" s="548"/>
      <c r="AG119" s="549" t="s">
        <v>1067</v>
      </c>
      <c r="AH119" s="550">
        <v>3</v>
      </c>
      <c r="AI119" s="543"/>
      <c r="AJ119" s="543"/>
      <c r="AK119" s="543"/>
      <c r="AL119" s="543"/>
      <c r="AM119" s="543"/>
      <c r="AN119" s="543"/>
      <c r="AO119" s="543"/>
      <c r="AP119" s="543"/>
      <c r="AQ119" s="543"/>
      <c r="AR119" s="543"/>
      <c r="AS119" s="543"/>
      <c r="AT119" s="543"/>
      <c r="AU119" s="543"/>
      <c r="AV119" s="543"/>
      <c r="AW119" s="543"/>
      <c r="AX119" s="543"/>
      <c r="AY119" s="543"/>
      <c r="AZ119" s="543"/>
      <c r="BA119" s="543"/>
      <c r="BB119" s="543"/>
      <c r="BC119" s="543"/>
      <c r="BD119" s="543"/>
      <c r="BE119" s="543"/>
      <c r="BF119" s="543"/>
      <c r="BG119" s="543"/>
      <c r="BH119" s="543"/>
      <c r="BI119" s="543"/>
      <c r="BJ119" s="543"/>
      <c r="BK119" s="543"/>
      <c r="BL119" s="543"/>
      <c r="BM119" s="543"/>
      <c r="BN119" s="543"/>
      <c r="BO119" s="543"/>
      <c r="BP119" s="543"/>
      <c r="BQ119" s="543"/>
      <c r="BR119" s="543"/>
      <c r="BS119" s="543"/>
      <c r="BT119" s="543"/>
      <c r="BU119" s="543"/>
      <c r="BV119" s="544"/>
      <c r="BW119" s="544"/>
      <c r="BX119" s="544"/>
      <c r="BY119" s="544"/>
      <c r="BZ119" s="544"/>
      <c r="CA119" s="544"/>
      <c r="CB119" s="544"/>
      <c r="CC119" s="544"/>
      <c r="CD119" s="544"/>
      <c r="CE119" s="544"/>
    </row>
    <row r="120" spans="1:83" s="1818" customFormat="1" ht="15" customHeight="1">
      <c r="A120" s="542"/>
      <c r="B120"/>
      <c r="C120"/>
      <c r="D120" s="9114"/>
      <c r="E120" s="8966" t="s">
        <v>1022</v>
      </c>
      <c r="F120" s="8967"/>
      <c r="G120" s="8968"/>
      <c r="H120" s="8972" t="str">
        <f>IF(A119="","",INDEX(DIFFERENTIATION_UNMERGE_AREA,MATCH(A119,DIFFERENTIATION_ID_DIFF,0)))</f>
        <v/>
      </c>
      <c r="I120" s="8972"/>
      <c r="J120" s="8972"/>
      <c r="K120" s="8972"/>
      <c r="L120" s="8972"/>
      <c r="M120" s="8972"/>
      <c r="N120" s="8972"/>
      <c r="O120" s="8972"/>
      <c r="P120" s="8972"/>
      <c r="Q120" s="8972"/>
      <c r="R120" s="8972"/>
      <c r="S120" s="636"/>
      <c r="T120" s="633"/>
      <c r="U120" s="543"/>
      <c r="V120" s="543"/>
      <c r="W120" s="544"/>
      <c r="X120" s="544"/>
      <c r="Y120" s="544"/>
      <c r="Z120" s="544"/>
      <c r="AA120" s="545"/>
      <c r="AB120" s="546"/>
      <c r="AC120" s="8964"/>
      <c r="AD120" s="547"/>
      <c r="AE120" s="548"/>
      <c r="AF120" s="548"/>
      <c r="AG120" s="549"/>
      <c r="AH120" s="550"/>
      <c r="AI120" s="543"/>
      <c r="AJ120" s="543"/>
      <c r="AK120" s="543"/>
      <c r="AL120" s="543"/>
      <c r="AM120" s="543"/>
      <c r="AN120" s="543"/>
      <c r="AO120" s="543"/>
      <c r="AP120" s="543"/>
      <c r="AQ120" s="543"/>
      <c r="AR120" s="543"/>
      <c r="AS120" s="543"/>
      <c r="AT120" s="543"/>
      <c r="AU120" s="543"/>
      <c r="AV120" s="543"/>
      <c r="AW120" s="543"/>
      <c r="AX120" s="543"/>
      <c r="AY120" s="543"/>
      <c r="AZ120" s="543"/>
      <c r="BA120" s="543"/>
      <c r="BB120" s="543"/>
      <c r="BC120" s="543"/>
      <c r="BD120" s="543"/>
      <c r="BE120" s="543"/>
      <c r="BF120" s="543"/>
      <c r="BG120" s="543"/>
      <c r="BH120" s="543"/>
      <c r="BI120" s="543"/>
      <c r="BJ120" s="543"/>
      <c r="BK120" s="543"/>
      <c r="BL120" s="543"/>
      <c r="BM120" s="543"/>
      <c r="BN120" s="543"/>
      <c r="BO120" s="543"/>
      <c r="BP120" s="543"/>
      <c r="BQ120" s="543"/>
      <c r="BR120" s="543"/>
      <c r="BS120" s="543"/>
      <c r="BT120" s="543"/>
      <c r="BU120" s="543"/>
      <c r="BV120" s="544"/>
      <c r="BW120" s="544"/>
      <c r="BX120" s="544"/>
      <c r="BY120" s="544"/>
      <c r="BZ120" s="544"/>
      <c r="CA120" s="544"/>
      <c r="CB120" s="544"/>
      <c r="CC120" s="544"/>
      <c r="CD120" s="544"/>
      <c r="CE120" s="544"/>
    </row>
    <row r="121" spans="1:83" s="1818" customFormat="1" ht="15" customHeight="1">
      <c r="A121" s="542"/>
      <c r="B121"/>
      <c r="C121"/>
      <c r="D121" s="9114"/>
      <c r="E121" s="8966" t="s">
        <v>1023</v>
      </c>
      <c r="F121" s="8967"/>
      <c r="G121" s="8968"/>
      <c r="H121" s="8972" t="str">
        <f>IF(A119="","",INDEX(DIFFERENTIATION_UNMERGE_SYSTEM,MATCH(A119,DIFFERENTIATION_ID_DIFF,0)))</f>
        <v/>
      </c>
      <c r="I121" s="8972"/>
      <c r="J121" s="8972"/>
      <c r="K121" s="8972"/>
      <c r="L121" s="8972"/>
      <c r="M121" s="8972"/>
      <c r="N121" s="8972"/>
      <c r="O121" s="8972"/>
      <c r="P121" s="8972"/>
      <c r="Q121" s="8972"/>
      <c r="R121" s="8972"/>
      <c r="S121" s="636"/>
      <c r="T121" s="633"/>
      <c r="U121" s="543"/>
      <c r="V121" s="543"/>
      <c r="W121" s="544"/>
      <c r="X121" s="544"/>
      <c r="Y121" s="544"/>
      <c r="Z121" s="544"/>
      <c r="AA121" s="545"/>
      <c r="AB121" s="546"/>
      <c r="AC121" s="8964"/>
      <c r="AD121" s="547"/>
      <c r="AE121" s="548"/>
      <c r="AF121" s="548"/>
      <c r="AG121" s="549"/>
      <c r="AH121" s="550"/>
      <c r="AI121" s="543"/>
      <c r="AJ121" s="543"/>
      <c r="AK121" s="543"/>
      <c r="AL121" s="543"/>
      <c r="AM121" s="543"/>
      <c r="AN121" s="543"/>
      <c r="AO121" s="543"/>
      <c r="AP121" s="543"/>
      <c r="AQ121" s="543"/>
      <c r="AR121" s="543"/>
      <c r="AS121" s="543"/>
      <c r="AT121" s="543"/>
      <c r="AU121" s="543"/>
      <c r="AV121" s="543"/>
      <c r="AW121" s="543"/>
      <c r="AX121" s="543"/>
      <c r="AY121" s="543"/>
      <c r="AZ121" s="543"/>
      <c r="BA121" s="543"/>
      <c r="BB121" s="543"/>
      <c r="BC121" s="543"/>
      <c r="BD121" s="543"/>
      <c r="BE121" s="543"/>
      <c r="BF121" s="543"/>
      <c r="BG121" s="543"/>
      <c r="BH121" s="543"/>
      <c r="BI121" s="543"/>
      <c r="BJ121" s="543"/>
      <c r="BK121" s="543"/>
      <c r="BL121" s="543"/>
      <c r="BM121" s="543"/>
      <c r="BN121" s="543"/>
      <c r="BO121" s="543"/>
      <c r="BP121" s="543"/>
      <c r="BQ121" s="543"/>
      <c r="BR121" s="543"/>
      <c r="BS121" s="543"/>
      <c r="BT121" s="543"/>
      <c r="BU121" s="543"/>
      <c r="BV121" s="544"/>
      <c r="BW121" s="544"/>
      <c r="BX121" s="544"/>
      <c r="BY121" s="544"/>
      <c r="BZ121" s="544"/>
      <c r="CA121" s="544"/>
      <c r="CB121" s="544"/>
      <c r="CC121" s="544"/>
      <c r="CD121" s="544"/>
      <c r="CE121" s="544"/>
    </row>
    <row r="122" spans="1:83" s="1818" customFormat="1" ht="24.75" customHeight="1">
      <c r="A122" s="1726"/>
      <c r="B122" s="1065"/>
      <c r="C122" s="341"/>
      <c r="D122" s="9114"/>
      <c r="E122" s="8965" t="s">
        <v>1068</v>
      </c>
      <c r="F122" s="8965"/>
      <c r="G122" s="8965"/>
      <c r="H122" s="8965"/>
      <c r="I122" s="8965"/>
      <c r="J122" s="8965"/>
      <c r="K122" s="8965"/>
      <c r="L122" s="8965"/>
      <c r="M122" s="8965"/>
      <c r="N122" s="8965"/>
      <c r="O122" s="8965"/>
      <c r="P122" s="8965"/>
      <c r="Q122" s="481">
        <f>SUMIF(T123:T124,"i",Q123:Q124)</f>
        <v>0</v>
      </c>
      <c r="R122" s="928"/>
      <c r="S122" s="1718" t="s">
        <v>1069</v>
      </c>
      <c r="T122" s="634" t="s">
        <v>1070</v>
      </c>
      <c r="U122" s="8882">
        <v>1</v>
      </c>
      <c r="V122" s="8882" t="s">
        <v>1033</v>
      </c>
      <c r="W122" s="1065"/>
      <c r="X122" s="1065"/>
      <c r="Y122" s="1065"/>
      <c r="Z122" s="1065"/>
      <c r="AA122" s="1556"/>
      <c r="AB122" s="1065"/>
      <c r="AC122" s="8964"/>
      <c r="AD122" s="547"/>
      <c r="AE122" s="1065"/>
      <c r="AF122" s="1065"/>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065"/>
      <c r="BW122" s="1065"/>
      <c r="BX122" s="1065"/>
      <c r="BY122" s="1065"/>
      <c r="BZ122" s="1065"/>
      <c r="CA122" s="1065"/>
      <c r="CB122" s="1065"/>
      <c r="CC122" s="1065"/>
      <c r="CD122" s="1065"/>
      <c r="CE122" s="1065"/>
    </row>
    <row r="123" spans="1:83" s="1818" customFormat="1" ht="11.25" hidden="1" customHeight="1">
      <c r="A123" s="1713"/>
      <c r="B123" s="1556"/>
      <c r="C123" s="1556"/>
      <c r="D123" s="9114"/>
      <c r="E123" s="553"/>
      <c r="F123" s="553">
        <v>0</v>
      </c>
      <c r="G123" s="553"/>
      <c r="H123" s="553"/>
      <c r="I123" s="553"/>
      <c r="J123" s="553"/>
      <c r="K123" s="553"/>
      <c r="L123" s="553"/>
      <c r="M123" s="553"/>
      <c r="N123" s="553"/>
      <c r="O123" s="553"/>
      <c r="P123" s="553"/>
      <c r="Q123" s="553"/>
      <c r="R123" s="553"/>
      <c r="S123" s="554"/>
      <c r="T123" s="635"/>
      <c r="U123" s="8882"/>
      <c r="V123" s="8882"/>
      <c r="W123" s="1556"/>
      <c r="X123" s="1556"/>
      <c r="Y123" s="1556"/>
      <c r="Z123" s="1556"/>
      <c r="AA123" s="1556"/>
      <c r="AB123" s="1065"/>
      <c r="AC123" s="8964"/>
      <c r="AD123" s="547"/>
      <c r="AE123" s="1065"/>
      <c r="AF123" s="1065"/>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556"/>
      <c r="BW123" s="1556"/>
      <c r="BX123" s="1556"/>
      <c r="BY123" s="1556"/>
      <c r="BZ123" s="1556"/>
      <c r="CA123" s="1556"/>
      <c r="CB123" s="1556"/>
      <c r="CC123" s="1556"/>
      <c r="CD123" s="1556"/>
      <c r="CE123" s="1556"/>
    </row>
    <row r="124" spans="1:83" s="1818" customFormat="1" ht="11.25" customHeight="1">
      <c r="A124" s="1726"/>
      <c r="B124" s="1065"/>
      <c r="C124" s="341"/>
      <c r="D124" s="9114"/>
      <c r="E124" s="567" t="s">
        <v>24</v>
      </c>
      <c r="F124" s="1073" t="s">
        <v>24</v>
      </c>
      <c r="G124" s="1073" t="s">
        <v>1626</v>
      </c>
      <c r="H124" s="569" t="s">
        <v>24</v>
      </c>
      <c r="I124" s="569"/>
      <c r="J124" s="569"/>
      <c r="K124" s="569"/>
      <c r="L124" s="569"/>
      <c r="M124" s="569"/>
      <c r="N124" s="569"/>
      <c r="O124" s="569"/>
      <c r="P124" s="569"/>
      <c r="Q124" s="569"/>
      <c r="R124" s="570"/>
      <c r="S124" s="571"/>
      <c r="T124" s="635"/>
      <c r="U124" s="8882"/>
      <c r="V124" s="8882"/>
      <c r="W124" s="1065"/>
      <c r="X124" s="1065"/>
      <c r="Y124" s="1065"/>
      <c r="Z124" s="1065"/>
      <c r="AA124" s="1556"/>
      <c r="AB124" s="1065"/>
      <c r="AC124" s="8964"/>
      <c r="AD124" s="547"/>
      <c r="AE124" s="1065"/>
      <c r="AF124" s="1065"/>
      <c r="AG124" s="1556"/>
      <c r="AH124" s="1556"/>
      <c r="AI124" s="1556"/>
      <c r="AJ124" s="1556"/>
      <c r="AK124" s="1556"/>
      <c r="AL124" s="1556"/>
      <c r="AM124" s="1556"/>
      <c r="AN124" s="1556"/>
      <c r="AO124" s="1556"/>
      <c r="AP124" s="1556"/>
      <c r="AQ124" s="1556"/>
      <c r="AR124" s="1556"/>
      <c r="AS124" s="1556"/>
      <c r="AT124" s="1556"/>
      <c r="AU124" s="1556"/>
      <c r="AV124" s="1556"/>
      <c r="AW124" s="1556"/>
      <c r="AX124" s="1556"/>
      <c r="AY124" s="1556"/>
      <c r="AZ124" s="1556"/>
      <c r="BA124" s="1556"/>
      <c r="BB124" s="1556"/>
      <c r="BC124" s="1556"/>
      <c r="BD124" s="1556"/>
      <c r="BE124" s="1556"/>
      <c r="BF124" s="1556"/>
      <c r="BG124" s="1556"/>
      <c r="BH124" s="1556"/>
      <c r="BI124" s="1556"/>
      <c r="BJ124" s="1556"/>
      <c r="BK124" s="1556"/>
      <c r="BL124" s="1556"/>
      <c r="BM124" s="1556"/>
      <c r="BN124" s="1556"/>
      <c r="BO124" s="1556"/>
      <c r="BP124" s="1556"/>
      <c r="BQ124" s="1556"/>
      <c r="BR124" s="1556"/>
      <c r="BS124" s="1556"/>
      <c r="BT124" s="1556"/>
      <c r="BU124" s="1556"/>
      <c r="BV124" s="1065"/>
      <c r="BW124" s="1065"/>
      <c r="BX124" s="1065"/>
      <c r="BY124" s="1065"/>
      <c r="BZ124" s="1065"/>
      <c r="CA124" s="1065"/>
      <c r="CB124" s="1065"/>
      <c r="CC124" s="1065"/>
      <c r="CD124" s="1065"/>
      <c r="CE124" s="1065"/>
    </row>
    <row r="125" spans="1:83" s="1239" customFormat="1" ht="5.25" hidden="1" customHeight="1">
      <c r="A125" s="1713"/>
      <c r="B125" s="1556"/>
      <c r="C125" s="1556"/>
      <c r="D125" s="9114"/>
      <c r="E125" s="950"/>
      <c r="F125" s="950"/>
      <c r="G125" s="950"/>
      <c r="H125" s="950"/>
      <c r="I125" s="950"/>
      <c r="J125" s="950"/>
      <c r="K125" s="950"/>
      <c r="L125" s="950"/>
      <c r="M125" s="950"/>
      <c r="N125" s="950"/>
      <c r="O125" s="950"/>
      <c r="P125" s="950"/>
      <c r="Q125" s="951"/>
      <c r="R125" s="952"/>
      <c r="S125" s="953"/>
      <c r="T125" s="634" t="s">
        <v>1070</v>
      </c>
      <c r="U125" s="8882">
        <v>1</v>
      </c>
      <c r="V125" s="8882" t="s">
        <v>1033</v>
      </c>
      <c r="W125" s="1556"/>
      <c r="X125" s="1556"/>
      <c r="Y125" s="1556"/>
      <c r="Z125" s="1556"/>
      <c r="AA125" s="1556"/>
      <c r="AB125" s="1556"/>
      <c r="AC125" s="948"/>
      <c r="AD125" s="949"/>
      <c r="AE125" s="1556"/>
      <c r="AF125" s="1556"/>
      <c r="AG125" s="1556"/>
      <c r="AH125" s="1556"/>
      <c r="AI125" s="1556"/>
      <c r="AJ125" s="1556"/>
      <c r="AK125" s="1556"/>
      <c r="AL125" s="1556"/>
      <c r="AM125" s="1556"/>
      <c r="AN125" s="1556"/>
      <c r="AO125" s="1556"/>
      <c r="AP125" s="1556"/>
      <c r="AQ125" s="1556"/>
      <c r="AR125" s="1556"/>
      <c r="AS125" s="1556"/>
      <c r="AT125" s="1556"/>
      <c r="AU125" s="1556"/>
      <c r="AV125" s="1556"/>
      <c r="AW125" s="1556"/>
      <c r="AX125" s="1556"/>
      <c r="AY125" s="1556"/>
      <c r="AZ125" s="1556"/>
      <c r="BA125" s="1556"/>
      <c r="BB125" s="1556"/>
      <c r="BC125" s="1556"/>
      <c r="BD125" s="1556"/>
      <c r="BE125" s="1556"/>
      <c r="BF125" s="1556"/>
      <c r="BG125" s="1556"/>
      <c r="BH125" s="1556"/>
      <c r="BI125" s="1556"/>
      <c r="BJ125" s="1556"/>
      <c r="BK125" s="1556"/>
      <c r="BL125" s="1556"/>
      <c r="BM125" s="1556"/>
      <c r="BN125" s="1556"/>
      <c r="BO125" s="1556"/>
      <c r="BP125" s="1556"/>
      <c r="BQ125" s="1556"/>
      <c r="BR125" s="1556"/>
      <c r="BS125" s="1556"/>
      <c r="BT125" s="1556"/>
      <c r="BU125" s="1556"/>
      <c r="BV125" s="1556"/>
      <c r="BW125" s="1556"/>
      <c r="BX125" s="1556"/>
      <c r="BY125" s="1556"/>
      <c r="BZ125" s="1556"/>
      <c r="CA125" s="1556"/>
      <c r="CB125" s="1556"/>
      <c r="CC125" s="1556"/>
      <c r="CD125" s="1556"/>
      <c r="CE125" s="1556"/>
    </row>
    <row r="126" spans="1:83" s="1239" customFormat="1" ht="5.25" hidden="1" customHeight="1">
      <c r="A126" s="1713"/>
      <c r="B126" s="1556"/>
      <c r="C126" s="1556"/>
      <c r="D126" s="9114"/>
      <c r="E126" s="553"/>
      <c r="F126" s="553"/>
      <c r="G126" s="553"/>
      <c r="H126" s="553"/>
      <c r="I126" s="553"/>
      <c r="J126" s="553"/>
      <c r="K126" s="553"/>
      <c r="L126" s="553"/>
      <c r="M126" s="553"/>
      <c r="N126" s="553"/>
      <c r="O126" s="553"/>
      <c r="P126" s="553"/>
      <c r="Q126" s="553"/>
      <c r="R126" s="553"/>
      <c r="S126" s="554"/>
      <c r="T126" s="635"/>
      <c r="U126" s="8882"/>
      <c r="V126" s="8882"/>
      <c r="W126" s="1556"/>
      <c r="X126" s="1556"/>
      <c r="Y126" s="1556"/>
      <c r="Z126" s="1556"/>
      <c r="AA126" s="1556"/>
      <c r="AB126" s="1556"/>
      <c r="AC126" s="948"/>
      <c r="AD126" s="949"/>
      <c r="AE126" s="1556"/>
      <c r="AF126" s="1556"/>
      <c r="AG126" s="1556"/>
      <c r="AH126" s="1556"/>
      <c r="AI126" s="1556"/>
      <c r="AJ126" s="1556"/>
      <c r="AK126" s="1556"/>
      <c r="AL126" s="1556"/>
      <c r="AM126" s="1556"/>
      <c r="AN126" s="1556"/>
      <c r="AO126" s="1556"/>
      <c r="AP126" s="1556"/>
      <c r="AQ126" s="1556"/>
      <c r="AR126" s="1556"/>
      <c r="AS126" s="1556"/>
      <c r="AT126" s="1556"/>
      <c r="AU126" s="1556"/>
      <c r="AV126" s="1556"/>
      <c r="AW126" s="1556"/>
      <c r="AX126" s="1556"/>
      <c r="AY126" s="1556"/>
      <c r="AZ126" s="1556"/>
      <c r="BA126" s="1556"/>
      <c r="BB126" s="1556"/>
      <c r="BC126" s="1556"/>
      <c r="BD126" s="1556"/>
      <c r="BE126" s="1556"/>
      <c r="BF126" s="1556"/>
      <c r="BG126" s="1556"/>
      <c r="BH126" s="1556"/>
      <c r="BI126" s="1556"/>
      <c r="BJ126" s="1556"/>
      <c r="BK126" s="1556"/>
      <c r="BL126" s="1556"/>
      <c r="BM126" s="1556"/>
      <c r="BN126" s="1556"/>
      <c r="BO126" s="1556"/>
      <c r="BP126" s="1556"/>
      <c r="BQ126" s="1556"/>
      <c r="BR126" s="1556"/>
      <c r="BS126" s="1556"/>
      <c r="BT126" s="1556"/>
      <c r="BU126" s="1556"/>
      <c r="BV126" s="1556"/>
      <c r="BW126" s="1556"/>
      <c r="BX126" s="1556"/>
      <c r="BY126" s="1556"/>
      <c r="BZ126" s="1556"/>
      <c r="CA126" s="1556"/>
      <c r="CB126" s="1556"/>
      <c r="CC126" s="1556"/>
      <c r="CD126" s="1556"/>
      <c r="CE126" s="1556"/>
    </row>
    <row r="127" spans="1:83" s="1239" customFormat="1" ht="5.25" hidden="1" customHeight="1">
      <c r="A127" s="1713"/>
      <c r="B127" s="1556"/>
      <c r="C127" s="1556"/>
      <c r="D127" s="9115"/>
      <c r="E127" s="954"/>
      <c r="F127" s="955"/>
      <c r="G127" s="955"/>
      <c r="H127" s="956"/>
      <c r="I127" s="956"/>
      <c r="J127" s="956"/>
      <c r="K127" s="956"/>
      <c r="L127" s="956"/>
      <c r="M127" s="956"/>
      <c r="N127" s="956"/>
      <c r="O127" s="956"/>
      <c r="P127" s="956"/>
      <c r="Q127" s="956"/>
      <c r="R127" s="857"/>
      <c r="S127" s="957"/>
      <c r="T127" s="635"/>
      <c r="U127" s="8882"/>
      <c r="V127" s="8882"/>
      <c r="W127" s="1556"/>
      <c r="X127" s="1556"/>
      <c r="Y127" s="1556"/>
      <c r="Z127" s="1556"/>
      <c r="AA127" s="1556"/>
      <c r="AB127" s="1556"/>
      <c r="AC127" s="948"/>
      <c r="AD127" s="949"/>
      <c r="AE127" s="1556"/>
      <c r="AF127" s="1556"/>
      <c r="AG127" s="1556"/>
      <c r="AH127" s="1556"/>
      <c r="AI127" s="1556"/>
      <c r="AJ127" s="1556"/>
      <c r="AK127" s="1556"/>
      <c r="AL127" s="1556"/>
      <c r="AM127" s="1556"/>
      <c r="AN127" s="1556"/>
      <c r="AO127" s="1556"/>
      <c r="AP127" s="1556"/>
      <c r="AQ127" s="1556"/>
      <c r="AR127" s="1556"/>
      <c r="AS127" s="1556"/>
      <c r="AT127" s="1556"/>
      <c r="AU127" s="1556"/>
      <c r="AV127" s="1556"/>
      <c r="AW127" s="1556"/>
      <c r="AX127" s="1556"/>
      <c r="AY127" s="1556"/>
      <c r="AZ127" s="1556"/>
      <c r="BA127" s="1556"/>
      <c r="BB127" s="1556"/>
      <c r="BC127" s="1556"/>
      <c r="BD127" s="1556"/>
      <c r="BE127" s="1556"/>
      <c r="BF127" s="1556"/>
      <c r="BG127" s="1556"/>
      <c r="BH127" s="1556"/>
      <c r="BI127" s="1556"/>
      <c r="BJ127" s="1556"/>
      <c r="BK127" s="1556"/>
      <c r="BL127" s="1556"/>
      <c r="BM127" s="1556"/>
      <c r="BN127" s="1556"/>
      <c r="BO127" s="1556"/>
      <c r="BP127" s="1556"/>
      <c r="BQ127" s="1556"/>
      <c r="BR127" s="1556"/>
      <c r="BS127" s="1556"/>
      <c r="BT127" s="1556"/>
      <c r="BU127" s="1556"/>
      <c r="BV127" s="1556"/>
      <c r="BW127" s="1556"/>
      <c r="BX127" s="1556"/>
      <c r="BY127" s="1556"/>
      <c r="BZ127" s="1556"/>
      <c r="CA127" s="1556"/>
      <c r="CB127" s="1556"/>
      <c r="CC127" s="1556"/>
      <c r="CD127" s="1556"/>
      <c r="CE127" s="1556"/>
    </row>
    <row r="128" spans="1:83" ht="17.25" customHeight="1">
      <c r="D128" s="1754"/>
    </row>
    <row r="129" spans="1:29" s="1735" customFormat="1" ht="11.25" customHeight="1">
      <c r="A129" s="1735" t="s">
        <v>1628</v>
      </c>
    </row>
    <row r="131" spans="1:29" s="1818" customFormat="1" ht="45" customHeight="1">
      <c r="A131" s="1726"/>
      <c r="B131" s="1065"/>
      <c r="C131" s="341"/>
      <c r="D131"/>
      <c r="E131" s="9106"/>
      <c r="F131" s="8735" t="s">
        <v>95</v>
      </c>
      <c r="G131" s="9109" t="s">
        <v>24</v>
      </c>
      <c r="H131" s="204"/>
      <c r="I131" s="555" t="s">
        <v>95</v>
      </c>
      <c r="J131" s="1727" t="s">
        <v>1629</v>
      </c>
      <c r="K131" s="556" t="s">
        <v>1004</v>
      </c>
      <c r="L131" s="8856" t="s">
        <v>1004</v>
      </c>
      <c r="M131" s="8786"/>
      <c r="N131" s="556" t="s">
        <v>1004</v>
      </c>
      <c r="O131" s="556" t="s">
        <v>1004</v>
      </c>
      <c r="P131" s="556" t="s">
        <v>1004</v>
      </c>
      <c r="Q131" s="557">
        <f>SUM(Q132:Q134)</f>
        <v>0</v>
      </c>
      <c r="R131" s="557">
        <f>IF(R128=0,0,(Q128/R128)*100)</f>
        <v>0</v>
      </c>
      <c r="S131" s="8817"/>
      <c r="T131" s="634" t="s">
        <v>1070</v>
      </c>
      <c r="U131"/>
      <c r="V131"/>
      <c r="AC131"/>
    </row>
    <row r="132" spans="1:29" s="1818" customFormat="1" ht="11.25" customHeight="1">
      <c r="A132" s="1726"/>
      <c r="B132" s="1065"/>
      <c r="C132" s="341"/>
      <c r="D132"/>
      <c r="E132" s="9107"/>
      <c r="F132" s="8735"/>
      <c r="G132" s="9109"/>
      <c r="H132" s="8753"/>
      <c r="I132" s="9003" t="s">
        <v>1394</v>
      </c>
      <c r="J132" s="9111"/>
      <c r="K132" s="9112"/>
      <c r="L132" s="558"/>
      <c r="M132" s="559" t="s">
        <v>95</v>
      </c>
      <c r="N132" s="1715"/>
      <c r="O132" s="560"/>
      <c r="P132" s="561"/>
      <c r="Q132" s="560"/>
      <c r="R132" s="562">
        <v>0</v>
      </c>
      <c r="S132" s="8817"/>
      <c r="T132" s="634"/>
      <c r="U132"/>
      <c r="V132"/>
      <c r="AC132"/>
    </row>
    <row r="133" spans="1:29" s="1818" customFormat="1" ht="11.25" customHeight="1">
      <c r="A133" s="1726"/>
      <c r="B133" s="1065"/>
      <c r="C133" s="341"/>
      <c r="D133"/>
      <c r="E133" s="9107"/>
      <c r="F133" s="8735"/>
      <c r="G133" s="9109"/>
      <c r="H133" s="8753"/>
      <c r="I133" s="9003"/>
      <c r="J133" s="9111"/>
      <c r="K133" s="9067"/>
      <c r="L133" s="563"/>
      <c r="M133" s="564"/>
      <c r="N133" s="565" t="s">
        <v>1630</v>
      </c>
      <c r="O133" s="565"/>
      <c r="P133" s="565"/>
      <c r="Q133" s="565"/>
      <c r="R133" s="566"/>
      <c r="S133" s="8817"/>
      <c r="T133" s="634"/>
      <c r="U133"/>
      <c r="V133"/>
      <c r="AC133"/>
    </row>
    <row r="134" spans="1:29" s="1818" customFormat="1" ht="11.25" customHeight="1">
      <c r="A134" s="1726"/>
      <c r="B134" s="1065"/>
      <c r="C134" s="341"/>
      <c r="D134"/>
      <c r="E134" s="9108"/>
      <c r="F134" s="8735"/>
      <c r="G134" s="9110"/>
      <c r="H134" s="563" t="s">
        <v>24</v>
      </c>
      <c r="I134" s="564"/>
      <c r="J134" s="565" t="s">
        <v>1631</v>
      </c>
      <c r="K134" s="565"/>
      <c r="L134" s="565"/>
      <c r="M134" s="565"/>
      <c r="N134" s="565"/>
      <c r="O134" s="565"/>
      <c r="P134" s="565"/>
      <c r="Q134" s="565"/>
      <c r="R134" s="566"/>
      <c r="S134" s="8817"/>
      <c r="T134" s="634"/>
      <c r="U134"/>
      <c r="V134"/>
      <c r="AC134"/>
    </row>
    <row r="139" spans="1:29" s="1818" customFormat="1" ht="11.25" customHeight="1">
      <c r="A139" s="1726"/>
      <c r="B139" s="1065"/>
      <c r="C139" s="341"/>
      <c r="D139"/>
      <c r="E139" s="1749"/>
      <c r="F139" s="1749"/>
      <c r="G139" s="1749"/>
      <c r="H139" s="8753"/>
      <c r="I139" s="9003" t="s">
        <v>1394</v>
      </c>
      <c r="J139" s="9111"/>
      <c r="K139" s="9112"/>
      <c r="L139" s="558"/>
      <c r="M139" s="559" t="s">
        <v>95</v>
      </c>
      <c r="N139" s="1715"/>
      <c r="O139" s="560"/>
      <c r="P139" s="561"/>
      <c r="Q139" s="560"/>
      <c r="R139" s="562">
        <v>0</v>
      </c>
      <c r="S139"/>
      <c r="T139" s="634"/>
      <c r="U139"/>
      <c r="V139"/>
      <c r="AC139"/>
    </row>
    <row r="140" spans="1:29" s="1818" customFormat="1" ht="11.25" customHeight="1">
      <c r="A140" s="1726"/>
      <c r="B140" s="1065"/>
      <c r="C140" s="341"/>
      <c r="D140"/>
      <c r="E140" s="1749"/>
      <c r="F140" s="1749"/>
      <c r="G140" s="1749"/>
      <c r="H140" s="8753"/>
      <c r="I140" s="9003"/>
      <c r="J140" s="9111"/>
      <c r="K140" s="9067"/>
      <c r="L140" s="563"/>
      <c r="M140" s="564"/>
      <c r="N140" s="565" t="s">
        <v>1630</v>
      </c>
      <c r="O140" s="565"/>
      <c r="P140" s="565"/>
      <c r="Q140" s="565"/>
      <c r="R140" s="566"/>
      <c r="S140"/>
      <c r="T140" s="634"/>
      <c r="U140"/>
      <c r="V140"/>
      <c r="AC140"/>
    </row>
    <row r="142" spans="1:29" s="1818" customFormat="1" ht="11.25" customHeight="1">
      <c r="A142" s="1726"/>
      <c r="B142" s="1065"/>
      <c r="C142" s="341"/>
      <c r="D142"/>
      <c r="E142" s="1755"/>
      <c r="F142"/>
      <c r="G142"/>
      <c r="H142" s="1756"/>
      <c r="I142" s="1749"/>
      <c r="J142" s="1750"/>
      <c r="K142" s="1750"/>
      <c r="L142" s="558"/>
      <c r="M142" s="559" t="s">
        <v>95</v>
      </c>
      <c r="N142" s="1715"/>
      <c r="O142" s="560"/>
      <c r="P142" s="561"/>
      <c r="Q142" s="560"/>
      <c r="R142" s="562">
        <v>0</v>
      </c>
      <c r="S142"/>
      <c r="T142" s="634"/>
      <c r="U142"/>
      <c r="V142"/>
      <c r="AC142"/>
    </row>
    <row r="144" spans="1:29" s="1735" customFormat="1" ht="17.25" customHeight="1">
      <c r="A144" s="1735" t="s">
        <v>1632</v>
      </c>
    </row>
    <row r="145" spans="1:43" ht="17.25" customHeight="1">
      <c r="G145" s="1757"/>
      <c r="H145" s="1757"/>
      <c r="I145" s="1757"/>
      <c r="M145"/>
    </row>
    <row r="146" spans="1:43" s="1771" customFormat="1" ht="17.25" customHeight="1">
      <c r="A146" s="1758"/>
      <c r="C146" s="1760"/>
      <c r="D146" s="8806"/>
      <c r="E146" s="8769"/>
      <c r="F146" s="8771"/>
      <c r="G146" s="8783"/>
      <c r="H146" s="8806"/>
      <c r="I146" s="8806">
        <v>1</v>
      </c>
      <c r="J146" s="8805"/>
      <c r="K146" s="8808" t="s">
        <v>63</v>
      </c>
      <c r="L146" s="8735"/>
      <c r="M146" s="8735" t="s">
        <v>95</v>
      </c>
      <c r="N146" s="8810" t="str">
        <f>IF(Z146="","",INDEX(TERRITORY_MR_LIST,MATCH(Z146,TERRITORY_LIST_ID,0)))</f>
        <v/>
      </c>
      <c r="O146" s="8808" t="s">
        <v>63</v>
      </c>
      <c r="P146" s="8735"/>
      <c r="Q146" s="8735" t="s">
        <v>95</v>
      </c>
      <c r="R146" s="9067" t="s">
        <v>24</v>
      </c>
      <c r="S146" s="8734" t="s">
        <v>63</v>
      </c>
      <c r="T146" s="1731"/>
      <c r="U146" s="1731" t="s">
        <v>95</v>
      </c>
      <c r="V146" s="1761" t="s">
        <v>24</v>
      </c>
      <c r="W146" s="1721"/>
      <c r="Y146" s="1191"/>
      <c r="Z146" s="1191"/>
      <c r="AA146" s="1191"/>
      <c r="AB146" s="1191"/>
      <c r="AC146" s="1191"/>
      <c r="AD146" s="1191"/>
      <c r="AE146" s="1191"/>
      <c r="AF146" s="1191"/>
      <c r="AG146" s="1191"/>
      <c r="AH146" s="1191"/>
      <c r="AI146" s="1191"/>
      <c r="AJ146" s="1191"/>
      <c r="AK146" s="1191"/>
      <c r="AL146" s="1762"/>
      <c r="AM146" s="1762"/>
      <c r="AN146" s="1191"/>
      <c r="AO146" s="1191"/>
      <c r="AP146" s="1191"/>
      <c r="AQ146" s="1191"/>
    </row>
    <row r="147" spans="1:43" s="1771" customFormat="1" ht="17.25" customHeight="1">
      <c r="A147" s="1758"/>
      <c r="C147" s="1763"/>
      <c r="D147" s="8806"/>
      <c r="E147" s="8769"/>
      <c r="F147" s="8772"/>
      <c r="G147" s="8783"/>
      <c r="H147" s="8806"/>
      <c r="I147" s="8806"/>
      <c r="J147" s="8805"/>
      <c r="K147" s="8809"/>
      <c r="L147" s="8735"/>
      <c r="M147" s="8735"/>
      <c r="N147" s="8810"/>
      <c r="O147" s="8809"/>
      <c r="P147" s="8735"/>
      <c r="Q147" s="8735"/>
      <c r="R147" s="9067"/>
      <c r="S147" s="8734"/>
      <c r="T147" s="236"/>
      <c r="U147" s="237"/>
      <c r="V147" s="237" t="s">
        <v>879</v>
      </c>
      <c r="W147" s="238"/>
      <c r="Y147" s="1184"/>
      <c r="Z147" s="1184"/>
      <c r="AA147" s="1184"/>
      <c r="AB147" s="1184"/>
      <c r="AC147" s="1184"/>
      <c r="AD147" s="1184"/>
      <c r="AE147" s="1184"/>
      <c r="AF147" s="1184"/>
      <c r="AG147" s="1184"/>
      <c r="AH147" s="1184"/>
      <c r="AI147" s="1184"/>
      <c r="AJ147" s="1184"/>
      <c r="AK147" s="1184"/>
    </row>
    <row r="148" spans="1:43" s="1771" customFormat="1" ht="17.25" customHeight="1">
      <c r="A148" s="1758"/>
      <c r="C148" s="1763"/>
      <c r="D148" s="8768"/>
      <c r="E148" s="8770"/>
      <c r="F148" s="8772"/>
      <c r="G148" s="8784"/>
      <c r="H148" s="8768"/>
      <c r="I148" s="8768"/>
      <c r="J148" s="8807"/>
      <c r="K148" s="8809"/>
      <c r="L148" s="8768"/>
      <c r="M148" s="8768"/>
      <c r="N148" s="8811"/>
      <c r="O148" s="8739"/>
      <c r="P148" s="236"/>
      <c r="Q148" s="237"/>
      <c r="R148" s="237" t="s">
        <v>314</v>
      </c>
      <c r="S148" s="1764"/>
      <c r="T148" s="1764"/>
      <c r="U148" s="1764"/>
      <c r="V148" s="1764"/>
      <c r="W148" s="238"/>
      <c r="Y148" s="1184"/>
      <c r="Z148" s="1184"/>
      <c r="AA148" s="1184"/>
      <c r="AB148" s="1184"/>
      <c r="AC148" s="1184"/>
      <c r="AD148" s="1184"/>
      <c r="AE148" s="1184"/>
      <c r="AF148" s="1184"/>
      <c r="AG148" s="1184"/>
      <c r="AH148" s="1184"/>
      <c r="AI148" s="1184"/>
      <c r="AJ148" s="1184"/>
      <c r="AK148" s="1184"/>
    </row>
    <row r="149" spans="1:43" s="1771" customFormat="1" ht="17.25" customHeight="1">
      <c r="A149" s="1758"/>
      <c r="C149" s="1763"/>
      <c r="D149" s="8768"/>
      <c r="E149" s="8770"/>
      <c r="F149" s="8772"/>
      <c r="G149" s="8784"/>
      <c r="H149" s="8768"/>
      <c r="I149" s="8768"/>
      <c r="J149" s="8807"/>
      <c r="K149" s="8739"/>
      <c r="L149" s="236"/>
      <c r="M149" s="237"/>
      <c r="N149" s="237" t="s">
        <v>315</v>
      </c>
      <c r="O149" s="237"/>
      <c r="P149" s="237"/>
      <c r="Q149" s="237"/>
      <c r="R149" s="237"/>
      <c r="S149" s="1764"/>
      <c r="T149" s="1764"/>
      <c r="U149" s="1764"/>
      <c r="V149" s="1764"/>
      <c r="W149" s="238"/>
      <c r="Y149" s="1184"/>
      <c r="Z149" s="1184"/>
      <c r="AA149" s="1184"/>
      <c r="AB149" s="1184"/>
      <c r="AC149" s="1184"/>
      <c r="AD149" s="1184"/>
      <c r="AE149" s="1184"/>
      <c r="AF149" s="1184"/>
      <c r="AG149" s="1184"/>
      <c r="AH149" s="1184"/>
      <c r="AI149" s="1184"/>
      <c r="AJ149" s="1184"/>
      <c r="AK149" s="1184"/>
    </row>
    <row r="150" spans="1:43" s="1771" customFormat="1" ht="17.25" customHeight="1">
      <c r="A150" s="1758"/>
      <c r="C150" s="1763"/>
      <c r="D150" s="8768"/>
      <c r="E150" s="8770"/>
      <c r="F150" s="8773"/>
      <c r="G150" s="8784"/>
      <c r="H150" s="236"/>
      <c r="I150" s="237"/>
      <c r="J150" s="237" t="s">
        <v>706</v>
      </c>
      <c r="K150" s="237"/>
      <c r="L150" s="237"/>
      <c r="M150" s="237"/>
      <c r="N150" s="237"/>
      <c r="O150" s="237"/>
      <c r="P150" s="237"/>
      <c r="Q150" s="237"/>
      <c r="R150" s="237"/>
      <c r="S150" s="1764"/>
      <c r="T150" s="1764"/>
      <c r="U150" s="1764"/>
      <c r="V150" s="1764"/>
      <c r="W150" s="238"/>
      <c r="Y150" s="1184"/>
      <c r="Z150" s="1184"/>
      <c r="AA150" s="1184"/>
      <c r="AB150" s="1184"/>
      <c r="AC150" s="1184"/>
      <c r="AD150" s="1184"/>
      <c r="AE150" s="1184"/>
      <c r="AF150" s="1184"/>
      <c r="AG150" s="1184"/>
      <c r="AH150" s="1184"/>
      <c r="AI150" s="1184"/>
      <c r="AJ150" s="1184"/>
      <c r="AK150" s="1184"/>
    </row>
    <row r="151" spans="1:43" ht="17.25" customHeight="1">
      <c r="G151" s="1757"/>
      <c r="H151" s="1757"/>
      <c r="I151" s="1757"/>
      <c r="M151"/>
    </row>
    <row r="152" spans="1:43" s="1771" customFormat="1" ht="17.25" customHeight="1">
      <c r="A152" s="1758"/>
      <c r="C152" s="1760"/>
      <c r="D152" s="1749"/>
      <c r="E152" s="1765"/>
      <c r="F152" s="1704"/>
      <c r="G152" s="1766"/>
      <c r="H152" s="8806"/>
      <c r="I152" s="8806">
        <v>1</v>
      </c>
      <c r="J152" s="8805"/>
      <c r="K152" s="8808" t="s">
        <v>63</v>
      </c>
      <c r="L152" s="8735"/>
      <c r="M152" s="8735" t="s">
        <v>95</v>
      </c>
      <c r="N152" s="8810" t="str">
        <f>IF(Z152="","",INDEX(TERRITORY_MR_LIST,MATCH(Z152,TERRITORY_LIST_ID,0)))</f>
        <v/>
      </c>
      <c r="O152" s="8808" t="s">
        <v>63</v>
      </c>
      <c r="P152" s="8735"/>
      <c r="Q152" s="8735" t="s">
        <v>95</v>
      </c>
      <c r="R152" s="9067" t="s">
        <v>24</v>
      </c>
      <c r="S152" s="8734" t="s">
        <v>63</v>
      </c>
      <c r="T152" s="1731"/>
      <c r="U152" s="1731" t="s">
        <v>95</v>
      </c>
      <c r="V152" s="1761" t="s">
        <v>24</v>
      </c>
      <c r="W152" s="1721"/>
      <c r="Y152" s="1191"/>
      <c r="Z152" s="1191"/>
      <c r="AA152" s="1191"/>
      <c r="AB152" s="1191"/>
      <c r="AC152" s="1191"/>
      <c r="AD152" s="1191"/>
      <c r="AE152" s="1191"/>
      <c r="AF152" s="1191"/>
      <c r="AG152" s="1191"/>
      <c r="AH152" s="1191"/>
      <c r="AI152" s="1191"/>
      <c r="AJ152" s="1191"/>
      <c r="AK152" s="1191"/>
      <c r="AL152" s="1762"/>
      <c r="AM152" s="1762"/>
      <c r="AN152" s="1191"/>
      <c r="AO152" s="1191"/>
      <c r="AP152" s="1191"/>
      <c r="AQ152" s="1191"/>
    </row>
    <row r="153" spans="1:43" s="1771" customFormat="1" ht="17.25" customHeight="1">
      <c r="A153" s="1758"/>
      <c r="C153" s="1763"/>
      <c r="D153" s="1749"/>
      <c r="E153" s="1765"/>
      <c r="F153" s="1704"/>
      <c r="G153" s="1766"/>
      <c r="H153" s="8806"/>
      <c r="I153" s="8806"/>
      <c r="J153" s="8805"/>
      <c r="K153" s="8809"/>
      <c r="L153" s="8735"/>
      <c r="M153" s="8735"/>
      <c r="N153" s="8810"/>
      <c r="O153" s="8809"/>
      <c r="P153" s="8735"/>
      <c r="Q153" s="8735"/>
      <c r="R153" s="9067"/>
      <c r="S153" s="8734"/>
      <c r="T153" s="236"/>
      <c r="U153" s="237"/>
      <c r="V153" s="237" t="s">
        <v>879</v>
      </c>
      <c r="W153" s="238"/>
      <c r="Y153" s="1184"/>
      <c r="Z153" s="1184"/>
      <c r="AA153" s="1184"/>
      <c r="AB153" s="1184"/>
      <c r="AC153" s="1184"/>
      <c r="AD153" s="1184"/>
      <c r="AE153" s="1184"/>
      <c r="AF153" s="1184"/>
      <c r="AG153" s="1184"/>
      <c r="AH153" s="1184"/>
      <c r="AI153" s="1184"/>
      <c r="AJ153" s="1184"/>
      <c r="AK153" s="1184"/>
    </row>
    <row r="154" spans="1:43" s="1771" customFormat="1" ht="17.25" customHeight="1">
      <c r="A154" s="1758"/>
      <c r="C154" s="1763"/>
      <c r="D154" s="1749"/>
      <c r="E154" s="1765"/>
      <c r="F154" s="1704"/>
      <c r="G154" s="1766"/>
      <c r="H154" s="8768"/>
      <c r="I154" s="8768"/>
      <c r="J154" s="8807"/>
      <c r="K154" s="8809"/>
      <c r="L154" s="8768"/>
      <c r="M154" s="8768"/>
      <c r="N154" s="8811"/>
      <c r="O154" s="8739"/>
      <c r="P154" s="236"/>
      <c r="Q154" s="237"/>
      <c r="R154" s="237" t="s">
        <v>314</v>
      </c>
      <c r="S154" s="1764"/>
      <c r="T154" s="1764"/>
      <c r="U154" s="1764"/>
      <c r="V154" s="1764"/>
      <c r="W154" s="238"/>
      <c r="Y154" s="1184"/>
      <c r="Z154" s="1184"/>
      <c r="AA154" s="1184"/>
      <c r="AB154" s="1184"/>
      <c r="AC154" s="1184"/>
      <c r="AD154" s="1184"/>
      <c r="AE154" s="1184"/>
      <c r="AF154" s="1184"/>
      <c r="AG154" s="1184"/>
      <c r="AH154" s="1184"/>
      <c r="AI154" s="1184"/>
      <c r="AJ154" s="1184"/>
      <c r="AK154" s="1184"/>
    </row>
    <row r="155" spans="1:43" s="1771" customFormat="1" ht="17.25" customHeight="1">
      <c r="A155" s="1758"/>
      <c r="C155" s="1763"/>
      <c r="D155" s="1749"/>
      <c r="E155" s="1765"/>
      <c r="F155" s="1704"/>
      <c r="G155" s="1766"/>
      <c r="H155" s="8768"/>
      <c r="I155" s="8768"/>
      <c r="J155" s="8807"/>
      <c r="K155" s="8739"/>
      <c r="L155" s="236"/>
      <c r="M155" s="237"/>
      <c r="N155" s="237" t="s">
        <v>315</v>
      </c>
      <c r="O155" s="237"/>
      <c r="P155" s="237"/>
      <c r="Q155" s="237"/>
      <c r="R155" s="237"/>
      <c r="S155" s="1764"/>
      <c r="T155" s="1764"/>
      <c r="U155" s="1764"/>
      <c r="V155" s="1764"/>
      <c r="W155" s="238"/>
      <c r="Y155" s="1184"/>
      <c r="Z155" s="1184"/>
      <c r="AA155" s="1184"/>
      <c r="AB155" s="1184"/>
      <c r="AC155" s="1184"/>
      <c r="AD155" s="1184"/>
      <c r="AE155" s="1184"/>
      <c r="AF155" s="1184"/>
      <c r="AG155" s="1184"/>
      <c r="AH155" s="1184"/>
      <c r="AI155" s="1184"/>
      <c r="AJ155" s="1184"/>
      <c r="AK155" s="1184"/>
    </row>
    <row r="156" spans="1:43" ht="17.25" customHeight="1">
      <c r="G156" s="1757"/>
      <c r="H156" s="1757"/>
      <c r="I156" s="1757"/>
      <c r="M156"/>
    </row>
    <row r="157" spans="1:43" s="1771" customFormat="1" ht="17.25" customHeight="1">
      <c r="A157" s="1758"/>
      <c r="C157" s="1760"/>
      <c r="D157" s="1749"/>
      <c r="E157" s="1765"/>
      <c r="F157" s="1704"/>
      <c r="G157" s="1766"/>
      <c r="H157" s="1749"/>
      <c r="I157" s="1749"/>
      <c r="J157" s="1767"/>
      <c r="K157" s="1679"/>
      <c r="L157" s="8735"/>
      <c r="M157" s="8735" t="s">
        <v>95</v>
      </c>
      <c r="N157" s="8810" t="str">
        <f>IF(Z157="","",INDEX(TERRITORY_MR_LIST,MATCH(Z157,TERRITORY_LIST_ID,0)))</f>
        <v/>
      </c>
      <c r="O157" s="8808" t="s">
        <v>63</v>
      </c>
      <c r="P157" s="8735"/>
      <c r="Q157" s="8735" t="s">
        <v>95</v>
      </c>
      <c r="R157" s="9067" t="s">
        <v>24</v>
      </c>
      <c r="S157" s="8734" t="s">
        <v>63</v>
      </c>
      <c r="T157" s="1731"/>
      <c r="U157" s="1731" t="s">
        <v>95</v>
      </c>
      <c r="V157" s="1761" t="s">
        <v>24</v>
      </c>
      <c r="W157" s="1721"/>
      <c r="Y157" s="1191"/>
      <c r="Z157" s="1191"/>
      <c r="AA157" s="1191"/>
      <c r="AB157" s="1191"/>
      <c r="AC157" s="1191"/>
      <c r="AD157" s="1191"/>
      <c r="AE157" s="1191"/>
      <c r="AF157" s="1191"/>
      <c r="AG157" s="1191"/>
      <c r="AH157" s="1191"/>
      <c r="AI157" s="1191"/>
      <c r="AJ157" s="1191"/>
      <c r="AK157" s="1191"/>
      <c r="AL157" s="1762"/>
      <c r="AM157" s="1762"/>
      <c r="AN157" s="1191"/>
      <c r="AO157" s="1191"/>
      <c r="AP157" s="1191"/>
      <c r="AQ157" s="1191"/>
    </row>
    <row r="158" spans="1:43" s="1771" customFormat="1" ht="17.25" customHeight="1">
      <c r="A158" s="1758"/>
      <c r="C158" s="1763"/>
      <c r="D158" s="1749"/>
      <c r="E158" s="1765"/>
      <c r="F158" s="1704"/>
      <c r="G158" s="1766"/>
      <c r="H158" s="1749"/>
      <c r="I158" s="1749"/>
      <c r="J158" s="1767"/>
      <c r="K158" s="1679"/>
      <c r="L158" s="8735"/>
      <c r="M158" s="8735"/>
      <c r="N158" s="8810"/>
      <c r="O158" s="8809"/>
      <c r="P158" s="8735"/>
      <c r="Q158" s="8735"/>
      <c r="R158" s="9067"/>
      <c r="S158" s="8734"/>
      <c r="T158" s="236"/>
      <c r="U158" s="237"/>
      <c r="V158" s="237" t="s">
        <v>879</v>
      </c>
      <c r="W158" s="238"/>
      <c r="Y158" s="1184"/>
      <c r="Z158" s="1184"/>
      <c r="AA158" s="1184"/>
      <c r="AB158" s="1184"/>
      <c r="AC158" s="1184"/>
      <c r="AD158" s="1184"/>
      <c r="AE158" s="1184"/>
      <c r="AF158" s="1184"/>
      <c r="AG158" s="1184"/>
      <c r="AH158" s="1184"/>
      <c r="AI158" s="1184"/>
      <c r="AJ158" s="1184"/>
      <c r="AK158" s="1184"/>
    </row>
    <row r="159" spans="1:43" s="1771" customFormat="1" ht="17.25" customHeight="1">
      <c r="A159" s="1758"/>
      <c r="C159" s="1763"/>
      <c r="D159" s="1749"/>
      <c r="E159" s="1765"/>
      <c r="F159" s="1704"/>
      <c r="G159" s="1766"/>
      <c r="H159" s="1749"/>
      <c r="I159" s="1749"/>
      <c r="J159" s="1767"/>
      <c r="K159" s="1679"/>
      <c r="L159" s="8768"/>
      <c r="M159" s="8768"/>
      <c r="N159" s="8811"/>
      <c r="O159" s="8739"/>
      <c r="P159" s="236"/>
      <c r="Q159" s="237"/>
      <c r="R159" s="237" t="s">
        <v>314</v>
      </c>
      <c r="S159" s="1764"/>
      <c r="T159" s="1764"/>
      <c r="U159" s="1764"/>
      <c r="V159" s="1764"/>
      <c r="W159" s="238"/>
      <c r="Y159" s="1184"/>
      <c r="Z159" s="1184"/>
      <c r="AA159" s="1184"/>
      <c r="AB159" s="1184"/>
      <c r="AC159" s="1184"/>
      <c r="AD159" s="1184"/>
      <c r="AE159" s="1184"/>
      <c r="AF159" s="1184"/>
      <c r="AG159" s="1184"/>
      <c r="AH159" s="1184"/>
      <c r="AI159" s="1184"/>
      <c r="AJ159" s="1184"/>
      <c r="AK159" s="1184"/>
    </row>
    <row r="160" spans="1:43" ht="17.25" customHeight="1">
      <c r="G160" s="1757"/>
      <c r="H160" s="1757"/>
      <c r="I160" s="1757"/>
      <c r="M160"/>
    </row>
    <row r="161" spans="1:43" s="1771" customFormat="1" ht="17.25" customHeight="1">
      <c r="A161" s="1758"/>
      <c r="C161" s="1760"/>
      <c r="D161" s="1749"/>
      <c r="E161" s="1765"/>
      <c r="F161" s="1704"/>
      <c r="G161" s="1766"/>
      <c r="H161" s="1749"/>
      <c r="I161" s="1749"/>
      <c r="J161" s="1767"/>
      <c r="K161" s="1679"/>
      <c r="L161" s="1675"/>
      <c r="M161" s="1675"/>
      <c r="N161" s="1768"/>
      <c r="O161" s="1707"/>
      <c r="P161" s="8735"/>
      <c r="Q161" s="8735" t="s">
        <v>95</v>
      </c>
      <c r="R161" s="9067" t="s">
        <v>24</v>
      </c>
      <c r="S161" s="8734" t="s">
        <v>63</v>
      </c>
      <c r="T161" s="1731"/>
      <c r="U161" s="1731" t="s">
        <v>95</v>
      </c>
      <c r="V161" s="1761" t="s">
        <v>24</v>
      </c>
      <c r="W161" s="1721"/>
      <c r="Y161" s="1191"/>
      <c r="Z161" s="1191"/>
      <c r="AA161" s="1191"/>
      <c r="AB161" s="1191"/>
      <c r="AC161" s="1191"/>
      <c r="AD161" s="1191"/>
      <c r="AE161" s="1191"/>
      <c r="AF161" s="1191"/>
      <c r="AG161" s="1191"/>
      <c r="AH161" s="1191"/>
      <c r="AI161" s="1191"/>
      <c r="AJ161" s="1191"/>
      <c r="AK161" s="1191"/>
      <c r="AL161" s="1762"/>
      <c r="AM161" s="1762"/>
      <c r="AN161" s="1191"/>
      <c r="AO161" s="1191"/>
      <c r="AP161" s="1191"/>
      <c r="AQ161" s="1191"/>
    </row>
    <row r="162" spans="1:43" s="1771" customFormat="1" ht="17.25" customHeight="1">
      <c r="A162" s="1758"/>
      <c r="C162" s="1763"/>
      <c r="D162" s="1749"/>
      <c r="E162" s="1765"/>
      <c r="F162" s="1704"/>
      <c r="G162" s="1766"/>
      <c r="H162" s="1749"/>
      <c r="I162" s="1749"/>
      <c r="J162" s="1767"/>
      <c r="K162" s="1679"/>
      <c r="L162" s="1675"/>
      <c r="M162" s="1675"/>
      <c r="N162" s="1768"/>
      <c r="O162" s="1707"/>
      <c r="P162" s="8735"/>
      <c r="Q162" s="8735"/>
      <c r="R162" s="9067"/>
      <c r="S162" s="8734"/>
      <c r="T162" s="236"/>
      <c r="U162" s="237"/>
      <c r="V162" s="237" t="s">
        <v>879</v>
      </c>
      <c r="W162" s="238"/>
      <c r="Y162" s="1184"/>
      <c r="Z162" s="1184"/>
      <c r="AA162" s="1184"/>
      <c r="AB162" s="1184"/>
      <c r="AC162" s="1184"/>
      <c r="AD162" s="1184"/>
      <c r="AE162" s="1184"/>
      <c r="AF162" s="1184"/>
      <c r="AG162" s="1184"/>
      <c r="AH162" s="1184"/>
      <c r="AI162" s="1184"/>
      <c r="AJ162" s="1184"/>
      <c r="AK162" s="1184"/>
    </row>
    <row r="163" spans="1:43" ht="17.25" customHeight="1">
      <c r="G163" s="1757"/>
      <c r="H163" s="1757"/>
      <c r="I163" s="1757"/>
      <c r="M163"/>
    </row>
    <row r="164" spans="1:43" s="1771" customFormat="1" ht="17.25" customHeight="1">
      <c r="A164" s="1758"/>
      <c r="C164" s="1760"/>
      <c r="D164" s="1749"/>
      <c r="E164" s="1765"/>
      <c r="F164" s="1704"/>
      <c r="G164" s="1766"/>
      <c r="H164" s="1675"/>
      <c r="I164" s="1675"/>
      <c r="J164" s="1676"/>
      <c r="K164" s="1766"/>
      <c r="L164" s="1675"/>
      <c r="M164" s="1675"/>
      <c r="N164" s="1766"/>
      <c r="O164" s="1766"/>
      <c r="P164" s="1675"/>
      <c r="Q164" s="1675"/>
      <c r="R164" s="1677"/>
      <c r="S164" s="1766"/>
      <c r="T164" s="1731"/>
      <c r="U164" s="1731" t="s">
        <v>95</v>
      </c>
      <c r="V164" s="1761" t="s">
        <v>24</v>
      </c>
      <c r="W164" s="1721"/>
      <c r="Y164" s="1191"/>
      <c r="Z164" s="1191"/>
      <c r="AA164" s="1191"/>
      <c r="AB164" s="1191"/>
      <c r="AC164" s="1191"/>
      <c r="AD164" s="1191"/>
      <c r="AE164" s="1191"/>
      <c r="AF164" s="1191"/>
      <c r="AG164" s="1191"/>
      <c r="AH164" s="1191"/>
      <c r="AI164" s="1191"/>
      <c r="AJ164" s="1191"/>
      <c r="AK164" s="1191"/>
      <c r="AL164" s="1762"/>
      <c r="AM164" s="1762"/>
      <c r="AN164" s="1191"/>
      <c r="AO164" s="1191"/>
      <c r="AP164" s="1191"/>
      <c r="AQ164" s="1191"/>
    </row>
    <row r="166" spans="1:43" s="1735" customFormat="1" ht="17.25" customHeight="1">
      <c r="A166" s="1735" t="s">
        <v>1633</v>
      </c>
    </row>
    <row r="167" spans="1:43" ht="17.25" customHeight="1">
      <c r="G167" s="1757"/>
      <c r="H167" s="1757"/>
      <c r="I167" s="1757"/>
      <c r="M167"/>
    </row>
    <row r="168" spans="1:43" s="1771" customFormat="1" ht="17.25" customHeight="1">
      <c r="A168" s="1758"/>
      <c r="C168" s="1760"/>
      <c r="D168" s="8806"/>
      <c r="E168" s="8769"/>
      <c r="F168" s="8771"/>
      <c r="G168" s="8783"/>
      <c r="H168" s="8806"/>
      <c r="I168" s="8806">
        <v>1</v>
      </c>
      <c r="J168" s="8805"/>
      <c r="K168" s="8808" t="s">
        <v>63</v>
      </c>
      <c r="L168" s="8735"/>
      <c r="M168" s="8735" t="s">
        <v>95</v>
      </c>
      <c r="N168" s="8810" t="str">
        <f>IF(Z168="","",INDEX(TERRITORY_MR_LIST,MATCH(Z168,TERRITORY_LIST_ID,0)))</f>
        <v/>
      </c>
      <c r="O168" s="8808" t="s">
        <v>63</v>
      </c>
      <c r="P168" s="8735"/>
      <c r="Q168" s="8735" t="s">
        <v>95</v>
      </c>
      <c r="R168" s="9067" t="s">
        <v>24</v>
      </c>
      <c r="S168" s="8804" t="s">
        <v>53</v>
      </c>
      <c r="T168" s="1722"/>
      <c r="U168" s="1722" t="s">
        <v>95</v>
      </c>
      <c r="V168" s="1354"/>
      <c r="W168" s="8805"/>
      <c r="Y168" s="1191"/>
      <c r="Z168" s="1191"/>
      <c r="AA168" s="1191"/>
      <c r="AB168" s="1191"/>
      <c r="AC168" s="1191"/>
      <c r="AD168" s="1191"/>
      <c r="AE168" s="1191"/>
      <c r="AF168" s="1191"/>
      <c r="AG168" s="1191"/>
      <c r="AH168" s="1191"/>
      <c r="AI168" s="1191"/>
      <c r="AJ168" s="1191"/>
      <c r="AK168" s="1191"/>
      <c r="AL168" s="1762"/>
      <c r="AM168" s="1762"/>
      <c r="AN168" s="1191"/>
      <c r="AO168" s="1191"/>
      <c r="AP168" s="1191"/>
      <c r="AQ168" s="1191"/>
    </row>
    <row r="169" spans="1:43" s="1771" customFormat="1" ht="17.25" customHeight="1">
      <c r="A169" s="1758"/>
      <c r="C169" s="1763"/>
      <c r="D169" s="8806"/>
      <c r="E169" s="8769"/>
      <c r="F169" s="8772"/>
      <c r="G169" s="8783"/>
      <c r="H169" s="8806"/>
      <c r="I169" s="8806"/>
      <c r="J169" s="8805"/>
      <c r="K169" s="8809"/>
      <c r="L169" s="8735"/>
      <c r="M169" s="8735"/>
      <c r="N169" s="8810"/>
      <c r="O169" s="8809"/>
      <c r="P169" s="8735"/>
      <c r="Q169" s="8735"/>
      <c r="R169" s="9067"/>
      <c r="S169" s="8804"/>
      <c r="T169" s="1355"/>
      <c r="U169" s="1356"/>
      <c r="V169" s="1356"/>
      <c r="W169" s="8805"/>
      <c r="Y169" s="1184"/>
      <c r="Z169" s="1184"/>
      <c r="AA169" s="1184"/>
      <c r="AB169" s="1184"/>
      <c r="AC169" s="1184"/>
      <c r="AD169" s="1184"/>
      <c r="AE169" s="1184"/>
      <c r="AF169" s="1184"/>
      <c r="AG169" s="1184"/>
      <c r="AH169" s="1184"/>
      <c r="AI169" s="1184"/>
      <c r="AJ169" s="1184"/>
      <c r="AK169" s="1184"/>
    </row>
    <row r="170" spans="1:43" s="1771" customFormat="1" ht="17.25" customHeight="1">
      <c r="A170" s="1758"/>
      <c r="C170" s="1763"/>
      <c r="D170" s="8768"/>
      <c r="E170" s="8770"/>
      <c r="F170" s="8772"/>
      <c r="G170" s="8784"/>
      <c r="H170" s="8768"/>
      <c r="I170" s="8768"/>
      <c r="J170" s="8807"/>
      <c r="K170" s="8809"/>
      <c r="L170" s="8768"/>
      <c r="M170" s="8768"/>
      <c r="N170" s="8811"/>
      <c r="O170" s="8739"/>
      <c r="P170" s="236"/>
      <c r="Q170" s="237"/>
      <c r="R170" s="237" t="s">
        <v>314</v>
      </c>
      <c r="S170" s="1764"/>
      <c r="T170" s="1764"/>
      <c r="U170" s="1764"/>
      <c r="V170" s="1764"/>
      <c r="W170" s="1353"/>
      <c r="Y170" s="1184"/>
      <c r="Z170" s="1184"/>
      <c r="AA170" s="1184"/>
      <c r="AB170" s="1184"/>
      <c r="AC170" s="1184"/>
      <c r="AD170" s="1184"/>
      <c r="AE170" s="1184"/>
      <c r="AF170" s="1184"/>
      <c r="AG170" s="1184"/>
      <c r="AH170" s="1184"/>
      <c r="AI170" s="1184"/>
      <c r="AJ170" s="1184"/>
      <c r="AK170" s="1184"/>
    </row>
    <row r="171" spans="1:43" s="1771" customFormat="1" ht="17.25" customHeight="1">
      <c r="A171" s="1758"/>
      <c r="C171" s="1763"/>
      <c r="D171" s="8768"/>
      <c r="E171" s="8770"/>
      <c r="F171" s="8772"/>
      <c r="G171" s="8784"/>
      <c r="H171" s="8768"/>
      <c r="I171" s="8768"/>
      <c r="J171" s="8807"/>
      <c r="K171" s="8739"/>
      <c r="L171" s="236"/>
      <c r="M171" s="237"/>
      <c r="N171" s="237" t="s">
        <v>315</v>
      </c>
      <c r="O171" s="237"/>
      <c r="P171" s="237"/>
      <c r="Q171" s="237"/>
      <c r="R171" s="237"/>
      <c r="S171" s="1764"/>
      <c r="T171" s="1764"/>
      <c r="U171" s="1764"/>
      <c r="V171" s="1764"/>
      <c r="W171" s="238"/>
      <c r="Y171" s="1184"/>
      <c r="Z171" s="1184"/>
      <c r="AA171" s="1184"/>
      <c r="AB171" s="1184"/>
      <c r="AC171" s="1184"/>
      <c r="AD171" s="1184"/>
      <c r="AE171" s="1184"/>
      <c r="AF171" s="1184"/>
      <c r="AG171" s="1184"/>
      <c r="AH171" s="1184"/>
      <c r="AI171" s="1184"/>
      <c r="AJ171" s="1184"/>
      <c r="AK171" s="1184"/>
    </row>
    <row r="172" spans="1:43" s="1771" customFormat="1" ht="17.25" customHeight="1">
      <c r="A172" s="1758"/>
      <c r="C172" s="1763"/>
      <c r="D172" s="8768"/>
      <c r="E172" s="8770"/>
      <c r="F172" s="8773"/>
      <c r="G172" s="8784"/>
      <c r="H172" s="236"/>
      <c r="I172" s="237"/>
      <c r="J172" s="237" t="s">
        <v>706</v>
      </c>
      <c r="K172" s="237"/>
      <c r="L172" s="237"/>
      <c r="M172" s="237"/>
      <c r="N172" s="237"/>
      <c r="O172" s="237"/>
      <c r="P172" s="237"/>
      <c r="Q172" s="237"/>
      <c r="R172" s="237"/>
      <c r="S172" s="1764"/>
      <c r="T172" s="1764"/>
      <c r="U172" s="1764"/>
      <c r="V172" s="1764"/>
      <c r="W172" s="238"/>
      <c r="Y172" s="1184"/>
      <c r="Z172" s="1184"/>
      <c r="AA172" s="1184"/>
      <c r="AB172" s="1184"/>
      <c r="AC172" s="1184"/>
      <c r="AD172" s="1184"/>
      <c r="AE172" s="1184"/>
      <c r="AF172" s="1184"/>
      <c r="AG172" s="1184"/>
      <c r="AH172" s="1184"/>
      <c r="AI172" s="1184"/>
      <c r="AJ172" s="1184"/>
      <c r="AK172" s="1184"/>
    </row>
    <row r="173" spans="1:43" ht="17.25" customHeight="1">
      <c r="A173"/>
    </row>
    <row r="174" spans="1:43" s="1771" customFormat="1" ht="17.25" customHeight="1">
      <c r="A174" s="1758"/>
      <c r="C174" s="1760"/>
      <c r="D174" s="1749"/>
      <c r="E174" s="1765"/>
      <c r="F174" s="1704"/>
      <c r="G174" s="1766"/>
      <c r="H174" s="8806"/>
      <c r="I174" s="8806">
        <v>1</v>
      </c>
      <c r="J174" s="8805"/>
      <c r="K174" s="8808" t="s">
        <v>63</v>
      </c>
      <c r="L174" s="8735"/>
      <c r="M174" s="8735" t="s">
        <v>95</v>
      </c>
      <c r="N174" s="8810" t="str">
        <f>IF(Z174="","",INDEX(TERRITORY_MR_LIST,MATCH(Z174,TERRITORY_LIST_ID,0)))</f>
        <v/>
      </c>
      <c r="O174" s="8808" t="s">
        <v>63</v>
      </c>
      <c r="P174" s="8735"/>
      <c r="Q174" s="8735" t="s">
        <v>95</v>
      </c>
      <c r="R174" s="9067" t="s">
        <v>24</v>
      </c>
      <c r="S174" s="8804" t="s">
        <v>53</v>
      </c>
      <c r="T174" s="1722"/>
      <c r="U174" s="1722" t="s">
        <v>95</v>
      </c>
      <c r="V174" s="1354"/>
      <c r="W174" s="8805"/>
      <c r="Y174" s="1191"/>
      <c r="Z174" s="1191"/>
      <c r="AA174" s="1191"/>
      <c r="AB174" s="1191"/>
      <c r="AC174" s="1191"/>
      <c r="AD174" s="1191"/>
      <c r="AE174" s="1191"/>
      <c r="AF174" s="1191"/>
      <c r="AG174" s="1191"/>
      <c r="AH174" s="1191"/>
      <c r="AI174" s="1191"/>
      <c r="AJ174" s="1191"/>
      <c r="AK174" s="1191"/>
      <c r="AL174" s="1762"/>
      <c r="AM174" s="1762"/>
      <c r="AN174" s="1191"/>
      <c r="AO174" s="1191"/>
      <c r="AP174" s="1191"/>
      <c r="AQ174" s="1191"/>
    </row>
    <row r="175" spans="1:43" s="1771" customFormat="1" ht="17.25" customHeight="1">
      <c r="A175" s="1758"/>
      <c r="C175" s="1763"/>
      <c r="D175" s="1749"/>
      <c r="E175" s="1765"/>
      <c r="F175" s="1704"/>
      <c r="G175" s="1766"/>
      <c r="H175" s="8806"/>
      <c r="I175" s="8806"/>
      <c r="J175" s="8805"/>
      <c r="K175" s="8809"/>
      <c r="L175" s="8735"/>
      <c r="M175" s="8735"/>
      <c r="N175" s="8810"/>
      <c r="O175" s="8809"/>
      <c r="P175" s="8735"/>
      <c r="Q175" s="8735"/>
      <c r="R175" s="9067"/>
      <c r="S175" s="8804"/>
      <c r="T175" s="1355"/>
      <c r="U175" s="1356"/>
      <c r="V175" s="1356"/>
      <c r="W175" s="8805"/>
      <c r="Y175" s="1184"/>
      <c r="Z175" s="1184"/>
      <c r="AA175" s="1184"/>
      <c r="AB175" s="1184"/>
      <c r="AC175" s="1184"/>
      <c r="AD175" s="1184"/>
      <c r="AE175" s="1184"/>
      <c r="AF175" s="1184"/>
      <c r="AG175" s="1184"/>
      <c r="AH175" s="1184"/>
      <c r="AI175" s="1184"/>
      <c r="AJ175" s="1184"/>
      <c r="AK175" s="1184"/>
    </row>
    <row r="176" spans="1:43" s="1771" customFormat="1" ht="17.25" customHeight="1">
      <c r="A176" s="1758"/>
      <c r="C176" s="1763"/>
      <c r="D176" s="1749"/>
      <c r="E176" s="1765"/>
      <c r="F176" s="1704"/>
      <c r="G176" s="1766"/>
      <c r="H176" s="8768"/>
      <c r="I176" s="8768"/>
      <c r="J176" s="8807"/>
      <c r="K176" s="8809"/>
      <c r="L176" s="8768"/>
      <c r="M176" s="8768"/>
      <c r="N176" s="8811"/>
      <c r="O176" s="8739"/>
      <c r="P176" s="236"/>
      <c r="Q176" s="237"/>
      <c r="R176" s="237" t="s">
        <v>314</v>
      </c>
      <c r="S176" s="1764"/>
      <c r="T176" s="1764"/>
      <c r="U176" s="1764"/>
      <c r="V176" s="1764"/>
      <c r="W176" s="1353"/>
      <c r="Y176" s="1184"/>
      <c r="Z176" s="1184"/>
      <c r="AA176" s="1184"/>
      <c r="AB176" s="1184"/>
      <c r="AC176" s="1184"/>
      <c r="AD176" s="1184"/>
      <c r="AE176" s="1184"/>
      <c r="AF176" s="1184"/>
      <c r="AG176" s="1184"/>
      <c r="AH176" s="1184"/>
      <c r="AI176" s="1184"/>
      <c r="AJ176" s="1184"/>
      <c r="AK176" s="1184"/>
    </row>
    <row r="177" spans="1:43" s="1771" customFormat="1" ht="17.25" customHeight="1">
      <c r="A177" s="1758"/>
      <c r="C177" s="1763"/>
      <c r="D177" s="1749"/>
      <c r="E177" s="1765"/>
      <c r="F177" s="1704"/>
      <c r="G177" s="1766"/>
      <c r="H177" s="8768"/>
      <c r="I177" s="8768"/>
      <c r="J177" s="8807"/>
      <c r="K177" s="8739"/>
      <c r="L177" s="236"/>
      <c r="M177" s="237"/>
      <c r="N177" s="237" t="s">
        <v>315</v>
      </c>
      <c r="O177" s="237"/>
      <c r="P177" s="237"/>
      <c r="Q177" s="237"/>
      <c r="R177" s="237"/>
      <c r="S177" s="1764"/>
      <c r="T177" s="1764"/>
      <c r="U177" s="1764"/>
      <c r="V177" s="1764"/>
      <c r="W177" s="238"/>
      <c r="Y177" s="1184"/>
      <c r="Z177" s="1184"/>
      <c r="AA177" s="1184"/>
      <c r="AB177" s="1184"/>
      <c r="AC177" s="1184"/>
      <c r="AD177" s="1184"/>
      <c r="AE177" s="1184"/>
      <c r="AF177" s="1184"/>
      <c r="AG177" s="1184"/>
      <c r="AH177" s="1184"/>
      <c r="AI177" s="1184"/>
      <c r="AJ177" s="1184"/>
      <c r="AK177" s="1184"/>
    </row>
    <row r="178" spans="1:43" ht="17.25" customHeight="1">
      <c r="A178"/>
    </row>
    <row r="179" spans="1:43" s="1771" customFormat="1" ht="17.25" customHeight="1">
      <c r="A179" s="1758"/>
      <c r="C179" s="1760"/>
      <c r="D179" s="1749"/>
      <c r="E179" s="1765"/>
      <c r="F179" s="1704"/>
      <c r="G179" s="1766"/>
      <c r="H179" s="1749"/>
      <c r="I179" s="1749"/>
      <c r="J179" s="1769"/>
      <c r="K179" s="1766"/>
      <c r="L179" s="8735"/>
      <c r="M179" s="8735" t="s">
        <v>95</v>
      </c>
      <c r="N179" s="8810" t="str">
        <f>IF(Z179="","",INDEX(TERRITORY_MR_LIST,MATCH(Z179,TERRITORY_LIST_ID,0)))</f>
        <v/>
      </c>
      <c r="O179" s="8808" t="s">
        <v>63</v>
      </c>
      <c r="P179" s="8735"/>
      <c r="Q179" s="8735" t="s">
        <v>95</v>
      </c>
      <c r="R179" s="9067" t="s">
        <v>24</v>
      </c>
      <c r="S179" s="8804" t="s">
        <v>53</v>
      </c>
      <c r="T179" s="1722"/>
      <c r="U179" s="1722" t="s">
        <v>95</v>
      </c>
      <c r="V179" s="1354"/>
      <c r="W179" s="8805"/>
      <c r="Y179" s="1191"/>
      <c r="Z179" s="1191"/>
      <c r="AA179" s="1191"/>
      <c r="AB179" s="1191"/>
      <c r="AC179" s="1191"/>
      <c r="AD179" s="1191"/>
      <c r="AE179" s="1191"/>
      <c r="AF179" s="1191"/>
      <c r="AG179" s="1191"/>
      <c r="AH179" s="1191"/>
      <c r="AI179" s="1191"/>
      <c r="AJ179" s="1191"/>
      <c r="AK179" s="1191"/>
      <c r="AL179" s="1762"/>
      <c r="AM179" s="1762"/>
      <c r="AN179" s="1191"/>
      <c r="AO179" s="1191"/>
      <c r="AP179" s="1191"/>
      <c r="AQ179" s="1191"/>
    </row>
    <row r="180" spans="1:43" s="1771" customFormat="1" ht="17.25" customHeight="1">
      <c r="A180" s="1758"/>
      <c r="C180" s="1763"/>
      <c r="D180" s="1749"/>
      <c r="E180" s="1765"/>
      <c r="F180" s="1704"/>
      <c r="G180" s="1766"/>
      <c r="H180" s="1749"/>
      <c r="I180" s="1749"/>
      <c r="J180" s="1769"/>
      <c r="K180" s="1766"/>
      <c r="L180" s="8735"/>
      <c r="M180" s="8735"/>
      <c r="N180" s="8810"/>
      <c r="O180" s="8809"/>
      <c r="P180" s="8735"/>
      <c r="Q180" s="8735"/>
      <c r="R180" s="9067"/>
      <c r="S180" s="8804"/>
      <c r="T180" s="1355"/>
      <c r="U180" s="1356"/>
      <c r="V180" s="1356"/>
      <c r="W180" s="8805"/>
      <c r="Y180" s="1184"/>
      <c r="Z180" s="1184"/>
      <c r="AA180" s="1184"/>
      <c r="AB180" s="1184"/>
      <c r="AC180" s="1184"/>
      <c r="AD180" s="1184"/>
      <c r="AE180" s="1184"/>
      <c r="AF180" s="1184"/>
      <c r="AG180" s="1184"/>
      <c r="AH180" s="1184"/>
      <c r="AI180" s="1184"/>
      <c r="AJ180" s="1184"/>
      <c r="AK180" s="1184"/>
    </row>
    <row r="181" spans="1:43" s="1771" customFormat="1" ht="17.25" customHeight="1">
      <c r="A181" s="1758"/>
      <c r="C181" s="1763"/>
      <c r="D181" s="1749"/>
      <c r="E181" s="1765"/>
      <c r="F181" s="1704"/>
      <c r="G181" s="1766"/>
      <c r="H181" s="1749"/>
      <c r="I181" s="1749"/>
      <c r="J181" s="1769"/>
      <c r="K181" s="1766"/>
      <c r="L181" s="8768"/>
      <c r="M181" s="8768"/>
      <c r="N181" s="8811"/>
      <c r="O181" s="8739"/>
      <c r="P181" s="236"/>
      <c r="Q181" s="237"/>
      <c r="R181" s="237" t="s">
        <v>314</v>
      </c>
      <c r="S181" s="1764"/>
      <c r="T181" s="1764"/>
      <c r="U181" s="1764"/>
      <c r="V181" s="1764"/>
      <c r="W181" s="1353"/>
      <c r="Y181" s="1184"/>
      <c r="Z181" s="1184"/>
      <c r="AA181" s="1184"/>
      <c r="AB181" s="1184"/>
      <c r="AC181" s="1184"/>
      <c r="AD181" s="1184"/>
      <c r="AE181" s="1184"/>
      <c r="AF181" s="1184"/>
      <c r="AG181" s="1184"/>
      <c r="AH181" s="1184"/>
      <c r="AI181" s="1184"/>
      <c r="AJ181" s="1184"/>
      <c r="AK181" s="1184"/>
    </row>
    <row r="182" spans="1:43" ht="17.25" customHeight="1">
      <c r="A182"/>
    </row>
    <row r="183" spans="1:43" s="1771" customFormat="1" ht="17.25" customHeight="1">
      <c r="A183" s="1758"/>
      <c r="C183" s="1760"/>
      <c r="D183" s="1749"/>
      <c r="E183" s="1765"/>
      <c r="F183" s="1704"/>
      <c r="G183" s="1766"/>
      <c r="H183" s="1749"/>
      <c r="I183" s="1749"/>
      <c r="J183" s="1769"/>
      <c r="K183" s="1766"/>
      <c r="L183" s="1749"/>
      <c r="M183" s="1749"/>
      <c r="N183" s="1768"/>
      <c r="O183" s="1707"/>
      <c r="P183" s="8735"/>
      <c r="Q183" s="8735" t="s">
        <v>95</v>
      </c>
      <c r="R183" s="9067" t="s">
        <v>24</v>
      </c>
      <c r="S183" s="8804" t="s">
        <v>53</v>
      </c>
      <c r="T183" s="1722"/>
      <c r="U183" s="1722" t="s">
        <v>95</v>
      </c>
      <c r="V183" s="1354"/>
      <c r="W183" s="8805"/>
      <c r="Y183" s="1191"/>
      <c r="Z183" s="1191"/>
      <c r="AA183" s="1191"/>
      <c r="AB183" s="1191"/>
      <c r="AC183" s="1191"/>
      <c r="AD183" s="1191"/>
      <c r="AE183" s="1191"/>
      <c r="AF183" s="1191"/>
      <c r="AG183" s="1191"/>
      <c r="AH183" s="1191"/>
      <c r="AI183" s="1191"/>
      <c r="AJ183" s="1191"/>
      <c r="AK183" s="1191"/>
      <c r="AL183" s="1762"/>
      <c r="AM183" s="1762"/>
      <c r="AN183" s="1191"/>
      <c r="AO183" s="1191"/>
      <c r="AP183" s="1191"/>
      <c r="AQ183" s="1191"/>
    </row>
    <row r="184" spans="1:43" s="1771" customFormat="1" ht="17.25" customHeight="1">
      <c r="A184" s="1758"/>
      <c r="C184" s="1763"/>
      <c r="D184" s="1749"/>
      <c r="E184" s="1765"/>
      <c r="F184" s="1704"/>
      <c r="G184" s="1766"/>
      <c r="H184" s="1749"/>
      <c r="I184" s="1749"/>
      <c r="J184" s="1769"/>
      <c r="K184" s="1766"/>
      <c r="L184" s="1749"/>
      <c r="M184" s="1749"/>
      <c r="N184" s="1768"/>
      <c r="O184" s="1707"/>
      <c r="P184" s="8735"/>
      <c r="Q184" s="8735"/>
      <c r="R184" s="9067"/>
      <c r="S184" s="8804"/>
      <c r="T184" s="1355"/>
      <c r="U184" s="1356"/>
      <c r="V184" s="1356"/>
      <c r="W184" s="8805"/>
      <c r="Y184" s="1184"/>
      <c r="Z184" s="1184"/>
      <c r="AA184" s="1184"/>
      <c r="AB184" s="1184"/>
      <c r="AC184" s="1184"/>
      <c r="AD184" s="1184"/>
      <c r="AE184" s="1184"/>
      <c r="AF184" s="1184"/>
      <c r="AG184" s="1184"/>
      <c r="AH184" s="1184"/>
      <c r="AI184" s="1184"/>
      <c r="AJ184" s="1184"/>
      <c r="AK184" s="1184"/>
    </row>
    <row r="185" spans="1:43" ht="17.25" customHeight="1">
      <c r="A185"/>
    </row>
    <row r="186" spans="1:43" ht="16.5" customHeight="1">
      <c r="A186" s="1758"/>
      <c r="B186" s="1759"/>
      <c r="C186" s="1763"/>
      <c r="D186" s="8806"/>
      <c r="E186" s="8817"/>
      <c r="F186" s="8817"/>
      <c r="G186" s="8753"/>
      <c r="H186" s="8774"/>
      <c r="I186" s="8776"/>
      <c r="J186" s="8778"/>
      <c r="K186" s="8761"/>
      <c r="L186" s="8761"/>
      <c r="M186" s="8761"/>
      <c r="N186" s="8763"/>
      <c r="O186" s="8761"/>
      <c r="P186" s="8761"/>
      <c r="Q186" s="8761"/>
      <c r="R186" s="8766"/>
      <c r="S186" s="8761"/>
      <c r="T186" s="1703"/>
      <c r="U186" s="1703"/>
      <c r="V186" s="1770"/>
      <c r="W186" s="1220"/>
    </row>
    <row r="187" spans="1:43" ht="16.5" customHeight="1">
      <c r="A187" s="1758"/>
      <c r="B187" s="1759"/>
      <c r="C187" s="1763"/>
      <c r="D187" s="8806"/>
      <c r="E187" s="8817"/>
      <c r="F187" s="8817"/>
      <c r="G187" s="8753"/>
      <c r="H187" s="8775"/>
      <c r="I187" s="8777"/>
      <c r="J187" s="8779"/>
      <c r="K187" s="8762"/>
      <c r="L187" s="8762"/>
      <c r="M187" s="8762"/>
      <c r="N187" s="8764"/>
      <c r="O187" s="8762"/>
      <c r="P187" s="8762"/>
      <c r="Q187" s="8762"/>
      <c r="R187" s="8765"/>
      <c r="S187" s="8762"/>
      <c r="T187" s="1221"/>
      <c r="U187" s="1221"/>
      <c r="V187" s="1221"/>
      <c r="W187" s="1222"/>
    </row>
    <row r="188" spans="1:43" ht="17.25" customHeight="1">
      <c r="A188" s="1758"/>
      <c r="B188" s="1759"/>
      <c r="C188" s="1763"/>
      <c r="D188" s="8806"/>
      <c r="E188" s="8817"/>
      <c r="F188" s="8817"/>
      <c r="G188" s="8753"/>
      <c r="H188" s="8775"/>
      <c r="I188" s="8777"/>
      <c r="J188" s="8780"/>
      <c r="K188" s="8762"/>
      <c r="L188" s="8762"/>
      <c r="M188" s="8762"/>
      <c r="N188" s="8765"/>
      <c r="O188" s="8762"/>
      <c r="P188" s="1706"/>
      <c r="Q188" s="1221"/>
      <c r="R188" s="1221"/>
      <c r="S188" s="1771"/>
      <c r="T188" s="1771"/>
      <c r="U188" s="1771"/>
      <c r="V188" s="1771"/>
      <c r="W188" s="1222"/>
    </row>
    <row r="189" spans="1:43" ht="17.25" customHeight="1">
      <c r="A189" s="1758"/>
      <c r="B189" s="1759"/>
      <c r="C189" s="1763"/>
      <c r="D189" s="8806"/>
      <c r="E189" s="8817"/>
      <c r="F189" s="8817"/>
      <c r="G189" s="8753"/>
      <c r="H189" s="8775"/>
      <c r="I189" s="8777"/>
      <c r="J189" s="8780"/>
      <c r="K189" s="8762"/>
      <c r="L189" s="1221"/>
      <c r="M189" s="1221"/>
      <c r="N189" s="1221"/>
      <c r="O189" s="1221"/>
      <c r="P189" s="1221"/>
      <c r="Q189" s="1221"/>
      <c r="R189" s="1221"/>
      <c r="S189" s="1771"/>
      <c r="T189" s="1771"/>
      <c r="U189" s="1771"/>
      <c r="V189" s="1771"/>
      <c r="W189" s="1222"/>
    </row>
    <row r="190" spans="1:43" ht="17.25" customHeight="1">
      <c r="A190" s="1758"/>
      <c r="B190" s="1759"/>
      <c r="C190" s="1763"/>
      <c r="D190" s="8806"/>
      <c r="E190" s="8817"/>
      <c r="F190" s="8817"/>
      <c r="G190" s="8753"/>
      <c r="H190" s="1223"/>
      <c r="I190" s="1224"/>
      <c r="J190" s="1224"/>
      <c r="K190" s="1224"/>
      <c r="L190" s="1224"/>
      <c r="M190" s="1224"/>
      <c r="N190" s="1224"/>
      <c r="O190" s="1224"/>
      <c r="P190" s="1224"/>
      <c r="Q190" s="1224"/>
      <c r="R190" s="1224"/>
      <c r="S190" s="1772"/>
      <c r="T190" s="1772"/>
      <c r="U190" s="1772"/>
      <c r="V190" s="1772"/>
      <c r="W190" s="1226"/>
    </row>
    <row r="192" spans="1:43" s="1735" customFormat="1" ht="17.25" customHeight="1">
      <c r="A192" s="1735" t="s">
        <v>1634</v>
      </c>
    </row>
    <row r="193" spans="1:63" ht="17.25" customHeight="1">
      <c r="G193" s="1757"/>
      <c r="H193" s="1757"/>
      <c r="I193" s="1757"/>
      <c r="M193"/>
    </row>
    <row r="194" spans="1:63" s="1818" customFormat="1" ht="15" customHeight="1">
      <c r="D194" s="9083"/>
      <c r="E194" s="8832"/>
      <c r="F194" s="8832"/>
      <c r="G194" s="8808"/>
      <c r="H194" s="1489"/>
      <c r="I194" s="9087">
        <v>1</v>
      </c>
      <c r="J194" s="8805"/>
      <c r="K194" s="1503"/>
      <c r="L194" s="8808" t="s">
        <v>63</v>
      </c>
      <c r="M194" s="8808" t="s">
        <v>63</v>
      </c>
      <c r="N194" s="1489"/>
      <c r="O194" s="8735" t="s">
        <v>95</v>
      </c>
      <c r="P194" s="9077"/>
      <c r="Q194" s="1504"/>
      <c r="R194" s="8808" t="s">
        <v>63</v>
      </c>
      <c r="S194" s="8808" t="s">
        <v>63</v>
      </c>
      <c r="T194" s="1773"/>
      <c r="U194" s="8735" t="s">
        <v>95</v>
      </c>
      <c r="V194" s="9084" t="str">
        <f>IF(AK194="","",INDEX(TERRITORY_MR_LIST,MATCH(AK194,TERRITORY_LIST_ID,0)))</f>
        <v/>
      </c>
      <c r="W194" s="1505"/>
      <c r="X194" s="8808" t="s">
        <v>63</v>
      </c>
      <c r="Y194" s="8808" t="s">
        <v>53</v>
      </c>
      <c r="Z194" s="1489"/>
      <c r="AA194" s="8735" t="s">
        <v>95</v>
      </c>
      <c r="AB194" s="9086"/>
      <c r="AC194" s="1506"/>
      <c r="AD194" s="8808" t="s">
        <v>63</v>
      </c>
      <c r="AE194" s="8808" t="s">
        <v>53</v>
      </c>
      <c r="AF194" s="1487"/>
      <c r="AG194" s="1731" t="s">
        <v>95</v>
      </c>
      <c r="AH194" s="1497"/>
      <c r="AI194" s="1721"/>
    </row>
    <row r="195" spans="1:63" s="1818" customFormat="1" ht="15" customHeight="1">
      <c r="D195" s="9083"/>
      <c r="E195" s="8832"/>
      <c r="F195" s="8832"/>
      <c r="G195" s="8809"/>
      <c r="H195" s="1489"/>
      <c r="I195" s="9087"/>
      <c r="J195" s="8805"/>
      <c r="K195" s="1488"/>
      <c r="L195" s="8809"/>
      <c r="M195" s="8809"/>
      <c r="N195" s="1489"/>
      <c r="O195" s="8735"/>
      <c r="P195" s="9077"/>
      <c r="Q195" s="1485"/>
      <c r="R195" s="8809"/>
      <c r="S195" s="8809"/>
      <c r="T195" s="1773"/>
      <c r="U195" s="8735"/>
      <c r="V195" s="9085"/>
      <c r="W195" s="1486"/>
      <c r="X195" s="8809"/>
      <c r="Y195" s="8809"/>
      <c r="Z195" s="1489"/>
      <c r="AA195" s="8735"/>
      <c r="AB195" s="9061"/>
      <c r="AC195" s="1490"/>
      <c r="AD195" s="8739"/>
      <c r="AE195" s="8739"/>
      <c r="AF195" s="1491"/>
      <c r="AG195" s="1492"/>
      <c r="AH195" s="9078" t="s">
        <v>1635</v>
      </c>
      <c r="AI195" s="9079"/>
    </row>
    <row r="196" spans="1:63" s="1818" customFormat="1" ht="15" customHeight="1">
      <c r="D196" s="9083"/>
      <c r="E196" s="8832"/>
      <c r="F196" s="8832"/>
      <c r="G196" s="8809"/>
      <c r="H196" s="1489"/>
      <c r="I196" s="9087"/>
      <c r="J196" s="8805"/>
      <c r="K196" s="1488"/>
      <c r="L196" s="8809"/>
      <c r="M196" s="8809"/>
      <c r="N196" s="1489"/>
      <c r="O196" s="8735"/>
      <c r="P196" s="9077"/>
      <c r="Q196" s="1485"/>
      <c r="R196" s="8809"/>
      <c r="S196" s="8809"/>
      <c r="T196" s="1773"/>
      <c r="U196" s="8735"/>
      <c r="V196" s="9085"/>
      <c r="W196" s="1486"/>
      <c r="X196" s="8809"/>
      <c r="Y196" s="8809"/>
      <c r="Z196" s="1527"/>
      <c r="AA196" s="1494"/>
      <c r="AB196" s="9080" t="s">
        <v>1636</v>
      </c>
      <c r="AC196" s="9080"/>
      <c r="AD196" s="9080"/>
      <c r="AE196" s="9080"/>
      <c r="AF196" s="9080"/>
      <c r="AG196" s="9080"/>
      <c r="AH196" s="9080"/>
      <c r="AI196" s="9081"/>
    </row>
    <row r="197" spans="1:63" s="1818" customFormat="1" ht="15" customHeight="1">
      <c r="D197" s="9083"/>
      <c r="E197" s="8832"/>
      <c r="F197" s="8832"/>
      <c r="G197" s="8809"/>
      <c r="H197" s="1489"/>
      <c r="I197" s="9087"/>
      <c r="J197" s="8805"/>
      <c r="K197" s="1488"/>
      <c r="L197" s="8809"/>
      <c r="M197" s="8809"/>
      <c r="N197" s="1489"/>
      <c r="O197" s="8735"/>
      <c r="P197" s="9082"/>
      <c r="Q197" s="1485"/>
      <c r="R197" s="8809"/>
      <c r="S197" s="8809"/>
      <c r="T197" s="1774"/>
      <c r="U197" s="1528"/>
      <c r="V197" s="9078" t="s">
        <v>195</v>
      </c>
      <c r="W197" s="9078"/>
      <c r="X197" s="9078"/>
      <c r="Y197" s="9078"/>
      <c r="Z197" s="9078"/>
      <c r="AA197" s="9078"/>
      <c r="AB197" s="9078"/>
      <c r="AC197" s="9078"/>
      <c r="AD197" s="9078"/>
      <c r="AE197" s="9078"/>
      <c r="AF197" s="9078"/>
      <c r="AG197" s="9078"/>
      <c r="AH197" s="9078"/>
      <c r="AI197" s="9079"/>
    </row>
    <row r="198" spans="1:63" s="1818" customFormat="1" ht="11.25" customHeight="1">
      <c r="D198" s="9083"/>
      <c r="E198" s="8832"/>
      <c r="F198" s="8832"/>
      <c r="G198" s="8809"/>
      <c r="H198" s="1493"/>
      <c r="I198" s="9087"/>
      <c r="J198" s="9088"/>
      <c r="K198" s="1488"/>
      <c r="L198" s="8809"/>
      <c r="M198" s="8809"/>
      <c r="N198" s="1493"/>
      <c r="O198" s="1494"/>
      <c r="P198" s="9078" t="s">
        <v>1637</v>
      </c>
      <c r="Q198" s="9078"/>
      <c r="R198" s="9078"/>
      <c r="S198" s="9078"/>
      <c r="T198" s="9078"/>
      <c r="U198" s="9078"/>
      <c r="V198" s="9078"/>
      <c r="W198" s="9078"/>
      <c r="X198" s="9078"/>
      <c r="Y198" s="9078"/>
      <c r="Z198" s="9078"/>
      <c r="AA198" s="9078"/>
      <c r="AB198" s="9078"/>
      <c r="AC198" s="9078"/>
      <c r="AD198" s="9078"/>
      <c r="AE198" s="9078"/>
      <c r="AF198" s="9078"/>
      <c r="AG198" s="9078"/>
      <c r="AH198" s="9078"/>
      <c r="AI198" s="9079"/>
    </row>
    <row r="199" spans="1:63" s="1479" customFormat="1" ht="11.25" customHeight="1">
      <c r="D199" s="9083"/>
      <c r="E199" s="8832"/>
      <c r="F199" s="8832"/>
      <c r="G199" s="8739"/>
      <c r="H199" s="1495"/>
      <c r="I199" s="1496"/>
      <c r="J199" s="9078" t="s">
        <v>706</v>
      </c>
      <c r="K199" s="9078"/>
      <c r="L199" s="9078"/>
      <c r="M199" s="9078"/>
      <c r="N199" s="9078"/>
      <c r="O199" s="9078"/>
      <c r="P199" s="9078"/>
      <c r="Q199" s="9078"/>
      <c r="R199" s="9078"/>
      <c r="S199" s="9078"/>
      <c r="T199" s="9078"/>
      <c r="U199" s="9078"/>
      <c r="V199" s="9078"/>
      <c r="W199" s="9078"/>
      <c r="X199" s="9078"/>
      <c r="Y199" s="9078"/>
      <c r="Z199" s="9078"/>
      <c r="AA199" s="9078"/>
      <c r="AB199" s="9078"/>
      <c r="AC199" s="9078"/>
      <c r="AD199" s="9078"/>
      <c r="AE199" s="9078"/>
      <c r="AF199" s="9078"/>
      <c r="AG199" s="9078"/>
      <c r="AH199" s="9078"/>
      <c r="AI199" s="9079"/>
      <c r="BK199"/>
    </row>
    <row r="200" spans="1:63" ht="17.25" customHeight="1">
      <c r="G200" s="1757"/>
      <c r="I200" s="1757"/>
      <c r="J200" s="1757"/>
      <c r="N200"/>
    </row>
    <row r="201" spans="1:63" s="1818" customFormat="1" ht="15" customHeight="1">
      <c r="D201" s="9083"/>
      <c r="E201" s="8832"/>
      <c r="F201" s="8832"/>
      <c r="G201" s="8817"/>
      <c r="H201" s="1523"/>
      <c r="I201" s="8819"/>
      <c r="J201" s="8778"/>
      <c r="K201" s="1705"/>
      <c r="L201" s="8761"/>
      <c r="M201" s="8761"/>
      <c r="N201" s="1508"/>
      <c r="O201" s="8761"/>
      <c r="P201" s="8778"/>
      <c r="Q201" s="1709"/>
      <c r="R201" s="8761"/>
      <c r="S201" s="8761"/>
      <c r="T201" s="1775"/>
      <c r="U201" s="8761"/>
      <c r="V201" s="8778"/>
      <c r="W201" s="1511"/>
      <c r="X201" s="8761"/>
      <c r="Y201" s="8761"/>
      <c r="Z201" s="1508"/>
      <c r="AA201" s="8761"/>
      <c r="AB201" s="8778"/>
      <c r="AC201" s="1512"/>
      <c r="AD201" s="8761"/>
      <c r="AE201" s="8761"/>
      <c r="AF201" s="1703"/>
      <c r="AG201" s="1703"/>
      <c r="AH201" s="1513"/>
      <c r="AI201" s="1220"/>
    </row>
    <row r="202" spans="1:63" s="1818" customFormat="1" ht="15" customHeight="1">
      <c r="D202" s="9083"/>
      <c r="E202" s="8832"/>
      <c r="F202" s="8832"/>
      <c r="G202" s="8817"/>
      <c r="H202" s="1524"/>
      <c r="I202" s="8820"/>
      <c r="J202" s="8779"/>
      <c r="K202" s="1531"/>
      <c r="L202" s="8762"/>
      <c r="M202" s="8762"/>
      <c r="N202" s="1514"/>
      <c r="O202" s="8762"/>
      <c r="P202" s="8779"/>
      <c r="Q202" s="1710"/>
      <c r="R202" s="8762"/>
      <c r="S202" s="8762"/>
      <c r="T202" s="1776"/>
      <c r="U202" s="8762"/>
      <c r="V202" s="8779"/>
      <c r="W202" s="1517"/>
      <c r="X202" s="8762"/>
      <c r="Y202" s="8762"/>
      <c r="Z202" s="1514"/>
      <c r="AA202" s="8762"/>
      <c r="AB202" s="8779"/>
      <c r="AC202" s="1518"/>
      <c r="AD202" s="8762"/>
      <c r="AE202" s="8762"/>
      <c r="AF202" s="1708"/>
      <c r="AG202" s="1708"/>
      <c r="AH202" s="8815"/>
      <c r="AI202" s="8816"/>
    </row>
    <row r="203" spans="1:63" s="1818" customFormat="1" ht="15" customHeight="1">
      <c r="D203" s="9083"/>
      <c r="E203" s="8832"/>
      <c r="F203" s="8832"/>
      <c r="G203" s="8817"/>
      <c r="H203" s="1524"/>
      <c r="I203" s="8820"/>
      <c r="J203" s="8779"/>
      <c r="K203" s="1531"/>
      <c r="L203" s="8762"/>
      <c r="M203" s="8762"/>
      <c r="N203" s="1514"/>
      <c r="O203" s="8762"/>
      <c r="P203" s="8779"/>
      <c r="Q203" s="1710"/>
      <c r="R203" s="8762"/>
      <c r="S203" s="8762"/>
      <c r="T203" s="1776"/>
      <c r="U203" s="8762"/>
      <c r="V203" s="8779"/>
      <c r="W203" s="1517"/>
      <c r="X203" s="8762"/>
      <c r="Y203" s="8762"/>
      <c r="Z203" s="1706"/>
      <c r="AA203" s="1708"/>
      <c r="AB203" s="8815"/>
      <c r="AC203" s="8815"/>
      <c r="AD203" s="8815"/>
      <c r="AE203" s="8815"/>
      <c r="AF203" s="8815"/>
      <c r="AG203" s="8815"/>
      <c r="AH203" s="8815"/>
      <c r="AI203" s="8816"/>
    </row>
    <row r="204" spans="1:63" s="1818" customFormat="1" ht="15" customHeight="1">
      <c r="D204" s="9083"/>
      <c r="E204" s="8832"/>
      <c r="F204" s="8832"/>
      <c r="G204" s="8817"/>
      <c r="H204" s="1524"/>
      <c r="I204" s="8820"/>
      <c r="J204" s="8779"/>
      <c r="K204" s="1531"/>
      <c r="L204" s="8762"/>
      <c r="M204" s="8762"/>
      <c r="N204" s="1514"/>
      <c r="O204" s="8762"/>
      <c r="P204" s="8779"/>
      <c r="Q204" s="1710"/>
      <c r="R204" s="8762"/>
      <c r="S204" s="8762"/>
      <c r="T204" s="1777"/>
      <c r="U204" s="1521"/>
      <c r="V204" s="8815"/>
      <c r="W204" s="8815"/>
      <c r="X204" s="8815"/>
      <c r="Y204" s="8815"/>
      <c r="Z204" s="8815"/>
      <c r="AA204" s="8815"/>
      <c r="AB204" s="8815"/>
      <c r="AC204" s="8815"/>
      <c r="AD204" s="8815"/>
      <c r="AE204" s="8815"/>
      <c r="AF204" s="8815"/>
      <c r="AG204" s="8815"/>
      <c r="AH204" s="8815"/>
      <c r="AI204" s="8816"/>
    </row>
    <row r="205" spans="1:63" s="1818" customFormat="1" ht="11.25" customHeight="1">
      <c r="D205" s="9083"/>
      <c r="E205" s="8832"/>
      <c r="F205" s="8832"/>
      <c r="G205" s="8817"/>
      <c r="H205" s="1525"/>
      <c r="I205" s="8820"/>
      <c r="J205" s="8779"/>
      <c r="K205" s="1531"/>
      <c r="L205" s="8762"/>
      <c r="M205" s="8762"/>
      <c r="N205" s="1708"/>
      <c r="O205" s="1708"/>
      <c r="P205" s="8815"/>
      <c r="Q205" s="8815"/>
      <c r="R205" s="8815"/>
      <c r="S205" s="8815"/>
      <c r="T205" s="8815"/>
      <c r="U205" s="8815"/>
      <c r="V205" s="8815"/>
      <c r="W205" s="8815"/>
      <c r="X205" s="8815"/>
      <c r="Y205" s="8815"/>
      <c r="Z205" s="8815"/>
      <c r="AA205" s="8815"/>
      <c r="AB205" s="8815"/>
      <c r="AC205" s="8815"/>
      <c r="AD205" s="8815"/>
      <c r="AE205" s="8815"/>
      <c r="AF205" s="8815"/>
      <c r="AG205" s="8815"/>
      <c r="AH205" s="8815"/>
      <c r="AI205" s="8816"/>
    </row>
    <row r="206" spans="1:63" s="1479" customFormat="1" ht="11.25" customHeight="1">
      <c r="D206" s="9083"/>
      <c r="E206" s="8832"/>
      <c r="F206" s="8832"/>
      <c r="G206" s="8822"/>
      <c r="H206" s="1522"/>
      <c r="I206" s="1526"/>
      <c r="J206" s="8823"/>
      <c r="K206" s="8823"/>
      <c r="L206" s="8823"/>
      <c r="M206" s="8823"/>
      <c r="N206" s="8823"/>
      <c r="O206" s="8823"/>
      <c r="P206" s="8823"/>
      <c r="Q206" s="8823"/>
      <c r="R206" s="8823"/>
      <c r="S206" s="8823"/>
      <c r="T206" s="8823"/>
      <c r="U206" s="8823"/>
      <c r="V206" s="8823"/>
      <c r="W206" s="8823"/>
      <c r="X206" s="8823"/>
      <c r="Y206" s="8823"/>
      <c r="Z206" s="8823"/>
      <c r="AA206" s="8823"/>
      <c r="AB206" s="8823"/>
      <c r="AC206" s="8823"/>
      <c r="AD206" s="8823"/>
      <c r="AE206" s="8823"/>
      <c r="AF206" s="8823"/>
      <c r="AG206" s="8823"/>
      <c r="AH206" s="8823"/>
      <c r="AI206" s="8824"/>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9" customWidth="1"/>
    <col min="2" max="2" width="11" style="1818" customWidth="1"/>
    <col min="3" max="3" width="9.140625" style="1818"/>
    <col min="4" max="4" width="26.5703125" style="1818" customWidth="1"/>
    <col min="5" max="5" width="27.7109375" style="1742" customWidth="1"/>
    <col min="6" max="6" width="23.5703125" style="1742" customWidth="1"/>
    <col min="7" max="7" width="31.42578125" style="1742" customWidth="1"/>
    <col min="8" max="8" width="40.85546875" style="1742" customWidth="1"/>
    <col min="9" max="9" width="14.5703125" style="1742" customWidth="1"/>
    <col min="10" max="10" width="26.85546875" style="1742" customWidth="1"/>
    <col min="11" max="11" width="50" style="1742" customWidth="1"/>
    <col min="12" max="12" width="52.42578125" style="1742" customWidth="1"/>
    <col min="13" max="13" width="10.7109375" style="1742" customWidth="1"/>
    <col min="14" max="14" width="55.140625" style="1742" customWidth="1"/>
    <col min="15" max="15" width="31.85546875" style="1742" customWidth="1"/>
    <col min="16" max="16" width="23.85546875" style="1742" customWidth="1"/>
    <col min="17" max="17" width="46.5703125" style="1742" customWidth="1"/>
    <col min="18" max="18" width="24" style="1742" customWidth="1"/>
    <col min="19" max="19" width="20.5703125" style="1742" customWidth="1"/>
    <col min="20" max="20" width="22" style="1742" customWidth="1"/>
    <col min="21" max="22" width="26.42578125" style="1742" customWidth="1"/>
    <col min="23" max="23" width="8.28515625" style="1742" hidden="1" customWidth="1"/>
    <col min="24" max="24" width="59.7109375" style="1742" customWidth="1"/>
    <col min="25" max="25" width="49.140625" style="1742" customWidth="1"/>
    <col min="26" max="26" width="11.140625" style="1742" customWidth="1"/>
    <col min="27" max="30" width="29" style="1742" customWidth="1"/>
    <col min="31" max="31" width="9.140625" style="1742"/>
    <col min="32" max="32" width="34.7109375" style="1742" customWidth="1"/>
    <col min="33" max="33" width="9.140625" style="1742"/>
    <col min="34" max="35" width="34.42578125" style="1742" customWidth="1"/>
    <col min="36" max="36" width="9.140625" style="1742"/>
    <col min="37" max="37" width="24.5703125" style="1742" customWidth="1"/>
    <col min="38" max="38" width="9.140625" style="1742"/>
    <col min="39" max="39" width="26.140625" style="1742" customWidth="1"/>
    <col min="40" max="40" width="1.7109375" style="1742" customWidth="1"/>
    <col min="41" max="41" width="9.140625" style="1742"/>
    <col min="42" max="43" width="47.85546875" style="1742" customWidth="1"/>
    <col min="44" max="44" width="1.7109375" style="1742" customWidth="1"/>
    <col min="45" max="45" width="21.42578125" style="1742" customWidth="1"/>
    <col min="46" max="46" width="1.7109375" style="1742" customWidth="1"/>
    <col min="47" max="47" width="31.28515625" style="1742" customWidth="1"/>
    <col min="48" max="48" width="1.7109375" style="1742" customWidth="1"/>
    <col min="49" max="50" width="9.140625" style="1742"/>
    <col min="51" max="51" width="3.7109375" style="1742" customWidth="1"/>
    <col min="52" max="52" width="55" style="1742" customWidth="1"/>
    <col min="53" max="53" width="9.140625" style="1742"/>
    <col min="54" max="54" width="35.140625" style="1742" customWidth="1"/>
    <col min="55" max="55" width="9.140625" style="1742"/>
    <col min="56" max="56" width="1.7109375" style="1742" customWidth="1"/>
    <col min="57" max="57" width="12.5703125" style="1175" customWidth="1"/>
    <col min="58" max="58" width="14.28515625" style="1175" customWidth="1"/>
    <col min="59" max="59" width="30.7109375" style="1742" customWidth="1"/>
    <col min="60" max="60" width="40.7109375" style="1758" customWidth="1"/>
    <col min="61" max="61" width="15" style="1758" customWidth="1"/>
    <col min="62" max="62" width="40.7109375" style="1758" customWidth="1"/>
    <col min="63" max="63" width="2.7109375" style="1758" customWidth="1"/>
    <col min="64" max="64" width="44.7109375" style="1758" customWidth="1"/>
    <col min="65" max="65" width="2.7109375" style="1758" customWidth="1"/>
    <col min="66" max="66" width="40.7109375" style="1758" customWidth="1"/>
    <col min="67" max="68" width="9.140625" style="1742"/>
    <col min="69" max="69" width="18.140625" style="1742" customWidth="1"/>
    <col min="70" max="70" width="57.85546875" style="1742" customWidth="1"/>
    <col min="71" max="71" width="1.7109375" style="1742" customWidth="1"/>
    <col min="72" max="72" width="22.5703125" style="1742" customWidth="1"/>
    <col min="73" max="73" width="57.85546875" style="1742" customWidth="1"/>
    <col min="74" max="74" width="1.7109375" style="1742" customWidth="1"/>
    <col min="75" max="75" width="22.5703125" style="1742" customWidth="1"/>
    <col min="76" max="76" width="57.85546875" style="1742" customWidth="1"/>
    <col min="77" max="77" width="1.7109375" style="1742" customWidth="1"/>
    <col min="78" max="78" width="22.5703125" style="1742" customWidth="1"/>
    <col min="79" max="79" width="57.85546875" style="1742" customWidth="1"/>
    <col min="80" max="81" width="9.140625" style="1742"/>
    <col min="82" max="82" width="49.5703125" style="1742" customWidth="1"/>
  </cols>
  <sheetData>
    <row r="1" spans="1:79" s="1347" customFormat="1" ht="11.25" customHeight="1">
      <c r="A1" s="977" t="s">
        <v>1638</v>
      </c>
      <c r="B1" s="977" t="s">
        <v>1639</v>
      </c>
      <c r="C1" s="977" t="s">
        <v>1640</v>
      </c>
      <c r="D1" s="977" t="s">
        <v>1641</v>
      </c>
      <c r="E1" s="977" t="s">
        <v>1642</v>
      </c>
      <c r="F1" s="977" t="s">
        <v>1643</v>
      </c>
      <c r="G1" s="977" t="s">
        <v>1644</v>
      </c>
      <c r="H1" s="977" t="s">
        <v>1645</v>
      </c>
      <c r="I1" s="977" t="s">
        <v>1646</v>
      </c>
      <c r="J1" s="977" t="s">
        <v>1647</v>
      </c>
      <c r="K1" s="977" t="s">
        <v>1648</v>
      </c>
      <c r="L1" s="977" t="s">
        <v>1649</v>
      </c>
      <c r="M1" s="977"/>
      <c r="N1" s="977" t="s">
        <v>1650</v>
      </c>
      <c r="O1" s="977" t="s">
        <v>1651</v>
      </c>
      <c r="P1" s="977" t="s">
        <v>1652</v>
      </c>
      <c r="Q1" s="977" t="s">
        <v>1653</v>
      </c>
      <c r="R1" s="977" t="s">
        <v>1654</v>
      </c>
      <c r="S1" s="977" t="s">
        <v>1655</v>
      </c>
      <c r="T1" s="977" t="s">
        <v>1656</v>
      </c>
      <c r="U1" s="977" t="s">
        <v>1657</v>
      </c>
      <c r="V1" s="977"/>
      <c r="W1" s="711" t="s">
        <v>1658</v>
      </c>
      <c r="X1" s="977" t="s">
        <v>1659</v>
      </c>
      <c r="Y1" s="977" t="s">
        <v>1660</v>
      </c>
      <c r="Z1" s="977"/>
      <c r="AA1" s="977" t="s">
        <v>1661</v>
      </c>
      <c r="AB1" s="977"/>
      <c r="AC1" s="977" t="s">
        <v>1662</v>
      </c>
      <c r="AD1" s="977"/>
      <c r="AF1" s="977" t="s">
        <v>1663</v>
      </c>
      <c r="AH1" s="977" t="s">
        <v>1664</v>
      </c>
      <c r="AI1" s="977" t="s">
        <v>1665</v>
      </c>
      <c r="AK1" s="977" t="s">
        <v>1666</v>
      </c>
      <c r="AM1" s="977" t="s">
        <v>1667</v>
      </c>
      <c r="AP1" s="977" t="s">
        <v>1668</v>
      </c>
      <c r="AQ1" s="977" t="s">
        <v>1669</v>
      </c>
      <c r="AS1" s="977" t="s">
        <v>1670</v>
      </c>
      <c r="AU1" s="977" t="s">
        <v>1671</v>
      </c>
      <c r="AW1" s="977" t="s">
        <v>1672</v>
      </c>
      <c r="AX1" s="977" t="s">
        <v>1673</v>
      </c>
      <c r="AZ1" s="1057" t="s">
        <v>1674</v>
      </c>
      <c r="BB1" s="977" t="s">
        <v>1675</v>
      </c>
      <c r="BC1" s="977"/>
      <c r="BE1" s="977" t="s">
        <v>1676</v>
      </c>
      <c r="BF1" s="977" t="s">
        <v>1677</v>
      </c>
      <c r="BH1" s="979" t="s">
        <v>1180</v>
      </c>
      <c r="BI1" s="980"/>
      <c r="BJ1" s="981" t="s">
        <v>1678</v>
      </c>
      <c r="BK1" s="980"/>
      <c r="BL1" s="982" t="s">
        <v>1278</v>
      </c>
      <c r="BM1" s="980"/>
      <c r="BN1" s="983" t="s">
        <v>1679</v>
      </c>
    </row>
    <row r="2" spans="1:79" ht="11.25" customHeight="1">
      <c r="A2" s="984" t="s">
        <v>1680</v>
      </c>
      <c r="B2" s="985">
        <v>2000</v>
      </c>
      <c r="C2" s="985">
        <v>2022</v>
      </c>
      <c r="D2" s="985" t="s">
        <v>63</v>
      </c>
      <c r="E2" s="986" t="s">
        <v>1681</v>
      </c>
      <c r="F2" s="986" t="s">
        <v>1682</v>
      </c>
      <c r="G2" s="986" t="s">
        <v>1683</v>
      </c>
      <c r="H2" s="987" t="s">
        <v>51</v>
      </c>
      <c r="I2" s="986" t="s">
        <v>95</v>
      </c>
      <c r="J2" s="986" t="s">
        <v>1684</v>
      </c>
      <c r="K2" s="988" t="s">
        <v>1524</v>
      </c>
      <c r="L2" s="989"/>
      <c r="M2" s="988">
        <v>1</v>
      </c>
      <c r="N2" s="1067" t="s">
        <v>1685</v>
      </c>
      <c r="O2" s="987" t="s">
        <v>1686</v>
      </c>
      <c r="P2" s="990" t="s">
        <v>33</v>
      </c>
      <c r="Q2" s="991" t="s">
        <v>1687</v>
      </c>
      <c r="R2" s="64" t="s">
        <v>1688</v>
      </c>
      <c r="S2" s="64" t="s">
        <v>1689</v>
      </c>
      <c r="T2" s="992" t="s">
        <v>1690</v>
      </c>
      <c r="U2" s="989" t="s">
        <v>1691</v>
      </c>
      <c r="V2" s="993">
        <v>1</v>
      </c>
      <c r="W2" s="994"/>
      <c r="X2" s="994" t="s">
        <v>1692</v>
      </c>
      <c r="Y2" s="985" t="s">
        <v>1693</v>
      </c>
      <c r="Z2" s="995"/>
      <c r="AA2" s="985" t="s">
        <v>1694</v>
      </c>
      <c r="AB2" s="996" t="s">
        <v>1694</v>
      </c>
      <c r="AC2" s="985" t="s">
        <v>1695</v>
      </c>
      <c r="AD2" s="996" t="s">
        <v>1695</v>
      </c>
      <c r="AF2" s="987" t="s">
        <v>1691</v>
      </c>
      <c r="AH2" s="986" t="s">
        <v>1696</v>
      </c>
      <c r="AI2" s="986" t="s">
        <v>1696</v>
      </c>
      <c r="AK2" s="986" t="s">
        <v>1697</v>
      </c>
      <c r="AM2" s="986" t="s">
        <v>1698</v>
      </c>
      <c r="AP2" s="997" t="s">
        <v>1692</v>
      </c>
      <c r="AQ2" s="998" t="s">
        <v>1692</v>
      </c>
      <c r="AS2" s="985" t="s">
        <v>1699</v>
      </c>
      <c r="AU2" s="1028" t="s">
        <v>1700</v>
      </c>
      <c r="AW2" s="1028" t="s">
        <v>1701</v>
      </c>
      <c r="AX2" s="1028" t="s">
        <v>1701</v>
      </c>
      <c r="AZ2" s="1028" t="s">
        <v>1702</v>
      </c>
      <c r="BB2" s="1028" t="s">
        <v>1703</v>
      </c>
      <c r="BC2" s="1028" t="s">
        <v>1704</v>
      </c>
      <c r="BE2" s="1028">
        <v>2000</v>
      </c>
      <c r="BF2" s="1028" t="s">
        <v>1705</v>
      </c>
    </row>
    <row r="3" spans="1:79" ht="11.25" customHeight="1">
      <c r="A3" s="984" t="s">
        <v>1706</v>
      </c>
      <c r="B3" s="985">
        <v>2001</v>
      </c>
      <c r="C3" s="985">
        <v>2023</v>
      </c>
      <c r="D3" s="985" t="s">
        <v>53</v>
      </c>
      <c r="E3" s="986" t="s">
        <v>1707</v>
      </c>
      <c r="F3" s="986" t="s">
        <v>1708</v>
      </c>
      <c r="G3" s="986" t="s">
        <v>1709</v>
      </c>
      <c r="H3" s="987" t="s">
        <v>1710</v>
      </c>
      <c r="I3" s="986" t="s">
        <v>99</v>
      </c>
      <c r="J3" s="986" t="s">
        <v>1014</v>
      </c>
      <c r="K3" s="988" t="s">
        <v>1711</v>
      </c>
      <c r="L3" s="989">
        <f>IFERROR(MATCH(K3,OFFER_METHOD,0),0)</f>
        <v>0</v>
      </c>
      <c r="M3" s="988">
        <v>2</v>
      </c>
      <c r="N3" s="1067" t="s">
        <v>1712</v>
      </c>
      <c r="O3" s="987" t="s">
        <v>1713</v>
      </c>
      <c r="P3" s="990" t="s">
        <v>1714</v>
      </c>
      <c r="Q3" s="991" t="s">
        <v>1715</v>
      </c>
      <c r="R3" s="64" t="s">
        <v>1716</v>
      </c>
      <c r="S3" s="64" t="s">
        <v>1717</v>
      </c>
      <c r="T3" s="992" t="s">
        <v>1718</v>
      </c>
      <c r="U3" s="989" t="s">
        <v>1719</v>
      </c>
      <c r="V3" s="993">
        <v>2</v>
      </c>
      <c r="W3" s="994"/>
      <c r="X3" s="994" t="s">
        <v>1720</v>
      </c>
      <c r="Y3" s="985" t="s">
        <v>1693</v>
      </c>
      <c r="Z3" s="995"/>
      <c r="AA3" s="985" t="s">
        <v>1721</v>
      </c>
      <c r="AB3" s="996" t="s">
        <v>1721</v>
      </c>
      <c r="AC3" s="985" t="s">
        <v>1722</v>
      </c>
      <c r="AD3" s="996" t="s">
        <v>1722</v>
      </c>
      <c r="AF3" s="987" t="s">
        <v>1719</v>
      </c>
      <c r="AH3" s="986" t="s">
        <v>1723</v>
      </c>
      <c r="AI3" s="986" t="s">
        <v>1724</v>
      </c>
      <c r="AK3" s="986" t="s">
        <v>1725</v>
      </c>
      <c r="AM3" s="986" t="s">
        <v>1726</v>
      </c>
      <c r="AP3" s="997" t="s">
        <v>1727</v>
      </c>
      <c r="AQ3" s="998" t="s">
        <v>1727</v>
      </c>
      <c r="AS3" s="985" t="s">
        <v>1728</v>
      </c>
      <c r="AU3" s="1028" t="s">
        <v>1729</v>
      </c>
      <c r="AW3" s="1028" t="s">
        <v>1730</v>
      </c>
      <c r="AX3" s="1028" t="s">
        <v>1730</v>
      </c>
      <c r="AZ3" s="1028" t="s">
        <v>1731</v>
      </c>
      <c r="BB3" s="1028" t="s">
        <v>1732</v>
      </c>
      <c r="BC3" s="1028" t="s">
        <v>1704</v>
      </c>
      <c r="BE3" s="1028">
        <v>2001</v>
      </c>
      <c r="BF3" s="1028" t="s">
        <v>1733</v>
      </c>
      <c r="BH3" s="977" t="s">
        <v>1734</v>
      </c>
      <c r="BJ3" s="977" t="s">
        <v>1735</v>
      </c>
      <c r="BL3" s="977" t="s">
        <v>1736</v>
      </c>
      <c r="BN3" s="977" t="s">
        <v>1737</v>
      </c>
      <c r="BR3" s="977" t="s">
        <v>1738</v>
      </c>
      <c r="BS3" s="1348"/>
      <c r="BT3" s="980"/>
      <c r="BU3" s="977" t="s">
        <v>1739</v>
      </c>
      <c r="BV3" s="980"/>
      <c r="BW3"/>
      <c r="BX3" s="1611" t="s">
        <v>1740</v>
      </c>
      <c r="CA3" s="977" t="s">
        <v>1741</v>
      </c>
    </row>
    <row r="4" spans="1:79" ht="11.25" customHeight="1">
      <c r="A4" s="984" t="s">
        <v>1742</v>
      </c>
      <c r="B4" s="985">
        <v>2002</v>
      </c>
      <c r="C4" s="985">
        <v>2024</v>
      </c>
      <c r="E4" s="986" t="s">
        <v>1743</v>
      </c>
      <c r="F4" s="986" t="s">
        <v>1744</v>
      </c>
      <c r="H4" s="987" t="s">
        <v>1745</v>
      </c>
      <c r="I4" s="986" t="s">
        <v>86</v>
      </c>
      <c r="J4" s="986" t="s">
        <v>1746</v>
      </c>
      <c r="K4" s="988" t="s">
        <v>1747</v>
      </c>
      <c r="L4" s="989">
        <f>IFERROR(MATCH(K4,OFFER_METHOD,0),0)</f>
        <v>0</v>
      </c>
      <c r="M4" s="988">
        <v>3</v>
      </c>
      <c r="N4" s="1067" t="s">
        <v>1748</v>
      </c>
      <c r="O4" s="986" t="s">
        <v>1749</v>
      </c>
      <c r="Q4" s="991" t="s">
        <v>1750</v>
      </c>
      <c r="R4" s="64" t="s">
        <v>1751</v>
      </c>
      <c r="S4" s="64" t="s">
        <v>1752</v>
      </c>
      <c r="T4" s="992" t="s">
        <v>1753</v>
      </c>
      <c r="U4" s="989" t="s">
        <v>1754</v>
      </c>
      <c r="V4" s="993">
        <v>3</v>
      </c>
      <c r="W4" s="994"/>
      <c r="X4" s="994" t="s">
        <v>1755</v>
      </c>
      <c r="Y4" s="985" t="s">
        <v>1693</v>
      </c>
      <c r="Z4" s="1000"/>
      <c r="AC4" s="985" t="s">
        <v>1756</v>
      </c>
      <c r="AD4" s="996" t="s">
        <v>1756</v>
      </c>
      <c r="AF4" s="987" t="s">
        <v>1754</v>
      </c>
      <c r="AH4" s="987" t="s">
        <v>1757</v>
      </c>
      <c r="AK4" s="986" t="s">
        <v>1758</v>
      </c>
      <c r="AM4" s="986" t="s">
        <v>1759</v>
      </c>
      <c r="AP4" s="997" t="s">
        <v>1720</v>
      </c>
      <c r="AQ4" s="998" t="s">
        <v>1720</v>
      </c>
      <c r="AS4" s="985" t="s">
        <v>1760</v>
      </c>
      <c r="AU4" s="1028" t="s">
        <v>1761</v>
      </c>
      <c r="AW4" s="1028" t="s">
        <v>1762</v>
      </c>
      <c r="AX4" s="1028" t="s">
        <v>1762</v>
      </c>
      <c r="AZ4" s="1028" t="s">
        <v>1763</v>
      </c>
      <c r="BB4" s="1028" t="s">
        <v>1764</v>
      </c>
      <c r="BC4" s="1028" t="s">
        <v>1765</v>
      </c>
      <c r="BE4" s="1028">
        <v>2002</v>
      </c>
      <c r="BF4" s="1028" t="s">
        <v>1766</v>
      </c>
      <c r="BH4" s="978" t="s">
        <v>1767</v>
      </c>
      <c r="BJ4" s="978" t="s">
        <v>1767</v>
      </c>
      <c r="BL4" s="978" t="s">
        <v>1767</v>
      </c>
      <c r="BN4" s="978" t="s">
        <v>1767</v>
      </c>
      <c r="BQ4" s="1352" t="s">
        <v>1768</v>
      </c>
      <c r="BR4" s="1064" t="s">
        <v>1769</v>
      </c>
      <c r="BS4" s="189"/>
      <c r="BT4" s="1352" t="s">
        <v>1770</v>
      </c>
      <c r="BU4" s="1064" t="s">
        <v>1771</v>
      </c>
      <c r="BV4" s="980"/>
      <c r="BW4" s="1616" t="s">
        <v>1772</v>
      </c>
      <c r="BX4" s="1610" t="s">
        <v>1773</v>
      </c>
      <c r="BZ4" s="1352" t="s">
        <v>1774</v>
      </c>
      <c r="CA4" s="1064" t="s">
        <v>1775</v>
      </c>
    </row>
    <row r="5" spans="1:79" ht="11.25" customHeight="1">
      <c r="A5" s="984" t="s">
        <v>1776</v>
      </c>
      <c r="B5" s="985">
        <v>2003</v>
      </c>
      <c r="C5" s="985">
        <v>2025</v>
      </c>
      <c r="E5" s="986" t="s">
        <v>1777</v>
      </c>
      <c r="F5" s="986" t="s">
        <v>1778</v>
      </c>
      <c r="H5" s="987" t="s">
        <v>1779</v>
      </c>
      <c r="I5" s="986" t="s">
        <v>87</v>
      </c>
      <c r="K5" s="988" t="s">
        <v>1780</v>
      </c>
      <c r="L5" s="989">
        <f>IFERROR(MATCH(K5,OFFER_METHOD,0),0)</f>
        <v>0</v>
      </c>
      <c r="M5" s="988">
        <v>4</v>
      </c>
      <c r="N5" s="1001" t="s">
        <v>1781</v>
      </c>
      <c r="O5" s="986" t="s">
        <v>1782</v>
      </c>
      <c r="Q5" s="991" t="s">
        <v>1783</v>
      </c>
      <c r="R5" s="64" t="s">
        <v>963</v>
      </c>
      <c r="T5" s="987" t="s">
        <v>1784</v>
      </c>
      <c r="U5" s="989" t="s">
        <v>1785</v>
      </c>
      <c r="V5" s="993">
        <v>4</v>
      </c>
      <c r="W5" s="994"/>
      <c r="X5" s="994" t="s">
        <v>248</v>
      </c>
      <c r="Y5" s="985" t="s">
        <v>1786</v>
      </c>
      <c r="Z5" s="1000">
        <v>1</v>
      </c>
      <c r="AF5" s="987" t="s">
        <v>1787</v>
      </c>
      <c r="AH5" s="986" t="s">
        <v>1788</v>
      </c>
      <c r="AK5" s="986" t="s">
        <v>1789</v>
      </c>
      <c r="AM5" s="986" t="s">
        <v>1790</v>
      </c>
      <c r="AP5" s="997" t="s">
        <v>248</v>
      </c>
      <c r="AQ5" s="998" t="s">
        <v>248</v>
      </c>
      <c r="AU5" s="1028" t="s">
        <v>1791</v>
      </c>
      <c r="AW5" s="1028" t="s">
        <v>1792</v>
      </c>
      <c r="AX5" s="1028" t="s">
        <v>1792</v>
      </c>
      <c r="AZ5" s="1028" t="s">
        <v>1793</v>
      </c>
      <c r="BB5" s="1028" t="s">
        <v>1794</v>
      </c>
      <c r="BC5" s="1028" t="s">
        <v>1795</v>
      </c>
      <c r="BE5" s="1028">
        <v>2003</v>
      </c>
      <c r="BF5" s="1028" t="s">
        <v>1796</v>
      </c>
      <c r="BH5" s="978" t="s">
        <v>1797</v>
      </c>
      <c r="BJ5" s="978" t="s">
        <v>1797</v>
      </c>
      <c r="BL5" s="978" t="s">
        <v>1797</v>
      </c>
      <c r="BN5" s="978" t="s">
        <v>1798</v>
      </c>
      <c r="BQ5" s="1206">
        <v>4213775</v>
      </c>
      <c r="BR5" s="978" t="s">
        <v>1692</v>
      </c>
      <c r="BS5" s="1349"/>
      <c r="BT5" s="1206">
        <v>64236871</v>
      </c>
      <c r="BU5" s="978" t="s">
        <v>297</v>
      </c>
      <c r="BV5" s="980"/>
      <c r="BW5" s="1614">
        <v>4213767</v>
      </c>
      <c r="BX5" s="1612" t="s">
        <v>1799</v>
      </c>
      <c r="BZ5" s="1206">
        <v>64237509</v>
      </c>
      <c r="CA5" s="1219" t="s">
        <v>1800</v>
      </c>
    </row>
    <row r="6" spans="1:79" ht="11.25" customHeight="1">
      <c r="A6" s="984" t="s">
        <v>1801</v>
      </c>
      <c r="B6" s="985">
        <v>2004</v>
      </c>
      <c r="C6" s="985">
        <v>2026</v>
      </c>
      <c r="E6" s="986" t="s">
        <v>1802</v>
      </c>
      <c r="F6" s="1002"/>
      <c r="H6" s="987" t="s">
        <v>1803</v>
      </c>
      <c r="I6" s="986" t="s">
        <v>113</v>
      </c>
      <c r="J6" s="977" t="s">
        <v>1804</v>
      </c>
      <c r="L6" s="989">
        <f>SUM(kind_of_control_method_filter)</f>
        <v>0</v>
      </c>
      <c r="N6" s="1001" t="s">
        <v>1805</v>
      </c>
      <c r="O6" s="986" t="s">
        <v>1806</v>
      </c>
      <c r="R6" s="64" t="s">
        <v>1687</v>
      </c>
      <c r="T6" s="987" t="s">
        <v>1807</v>
      </c>
      <c r="U6" s="989" t="s">
        <v>1787</v>
      </c>
      <c r="V6" s="993">
        <v>5</v>
      </c>
      <c r="W6" s="994"/>
      <c r="X6" s="985" t="s">
        <v>254</v>
      </c>
      <c r="Y6" s="985" t="s">
        <v>1808</v>
      </c>
      <c r="Z6" s="1000"/>
      <c r="AA6" s="1003"/>
      <c r="AH6" s="986" t="s">
        <v>1809</v>
      </c>
      <c r="AK6" s="986" t="s">
        <v>1810</v>
      </c>
      <c r="AM6" s="986" t="s">
        <v>1811</v>
      </c>
      <c r="AP6" s="997" t="s">
        <v>254</v>
      </c>
      <c r="AQ6" s="998" t="s">
        <v>254</v>
      </c>
      <c r="AU6" s="1028" t="s">
        <v>1812</v>
      </c>
      <c r="AW6" s="1028" t="s">
        <v>1813</v>
      </c>
      <c r="AX6" s="1028" t="s">
        <v>1813</v>
      </c>
      <c r="BB6" s="1028" t="s">
        <v>1814</v>
      </c>
      <c r="BC6" s="1028" t="s">
        <v>1795</v>
      </c>
      <c r="BE6" s="1028">
        <v>2004</v>
      </c>
      <c r="BF6" s="1028" t="s">
        <v>1815</v>
      </c>
      <c r="BH6" s="978" t="s">
        <v>1816</v>
      </c>
      <c r="BJ6" s="978" t="s">
        <v>1817</v>
      </c>
      <c r="BL6" s="978" t="s">
        <v>1817</v>
      </c>
      <c r="BN6" s="978" t="s">
        <v>1818</v>
      </c>
      <c r="BQ6" s="1206">
        <v>4213784</v>
      </c>
      <c r="BR6" s="1219" t="s">
        <v>1727</v>
      </c>
      <c r="BS6" s="1350"/>
      <c r="BT6" s="1206">
        <v>64236872</v>
      </c>
      <c r="BU6" s="978" t="s">
        <v>302</v>
      </c>
      <c r="BV6" s="980"/>
      <c r="BW6" s="1614">
        <v>4213768</v>
      </c>
      <c r="BX6" s="1612" t="s">
        <v>717</v>
      </c>
      <c r="BZ6" s="1206">
        <v>64237510</v>
      </c>
      <c r="CA6" s="978" t="s">
        <v>1819</v>
      </c>
    </row>
    <row r="7" spans="1:79" ht="11.25" customHeight="1">
      <c r="A7" s="984" t="s">
        <v>1820</v>
      </c>
      <c r="B7" s="985">
        <v>2005</v>
      </c>
      <c r="E7" s="986" t="s">
        <v>1821</v>
      </c>
      <c r="F7" s="1002"/>
      <c r="H7" s="987" t="s">
        <v>1822</v>
      </c>
      <c r="I7" s="986" t="s">
        <v>88</v>
      </c>
      <c r="J7" s="986" t="s">
        <v>1823</v>
      </c>
      <c r="N7" s="1005" t="s">
        <v>1824</v>
      </c>
      <c r="O7" s="986" t="s">
        <v>1825</v>
      </c>
      <c r="U7" s="989" t="s">
        <v>53</v>
      </c>
      <c r="V7" s="294" t="s">
        <v>88</v>
      </c>
      <c r="W7" s="994"/>
      <c r="X7" s="985" t="s">
        <v>260</v>
      </c>
      <c r="Y7" s="985" t="s">
        <v>1786</v>
      </c>
      <c r="Z7" s="1000"/>
      <c r="AA7" s="1003"/>
      <c r="AH7" s="986" t="s">
        <v>1826</v>
      </c>
      <c r="AK7" s="986" t="s">
        <v>1827</v>
      </c>
      <c r="AM7" s="986" t="s">
        <v>1828</v>
      </c>
      <c r="AP7" s="997" t="s">
        <v>260</v>
      </c>
      <c r="AQ7" s="998" t="s">
        <v>260</v>
      </c>
      <c r="AU7" s="1028" t="s">
        <v>1829</v>
      </c>
      <c r="AW7" s="1028" t="s">
        <v>1830</v>
      </c>
      <c r="AX7" s="1028" t="s">
        <v>1830</v>
      </c>
      <c r="AZ7" s="977" t="s">
        <v>1831</v>
      </c>
      <c r="BB7" s="1028" t="s">
        <v>1832</v>
      </c>
      <c r="BC7" s="1028" t="s">
        <v>1795</v>
      </c>
      <c r="BE7" s="1028">
        <v>2005</v>
      </c>
      <c r="BF7" s="1028" t="s">
        <v>1833</v>
      </c>
      <c r="BH7" s="978" t="s">
        <v>1834</v>
      </c>
      <c r="BJ7" s="978" t="s">
        <v>1816</v>
      </c>
      <c r="BL7" s="978" t="s">
        <v>1816</v>
      </c>
      <c r="BN7" s="978" t="s">
        <v>1835</v>
      </c>
      <c r="BQ7" s="1206">
        <v>4213781</v>
      </c>
      <c r="BR7" s="978" t="s">
        <v>1720</v>
      </c>
      <c r="BS7" s="1349"/>
      <c r="BT7" s="1206">
        <v>64236873</v>
      </c>
      <c r="BU7" s="978" t="s">
        <v>307</v>
      </c>
      <c r="BV7" s="980"/>
      <c r="BW7" s="1614">
        <v>4213769</v>
      </c>
      <c r="BX7" s="1612" t="s">
        <v>1836</v>
      </c>
      <c r="BZ7" s="1206">
        <v>64237511</v>
      </c>
      <c r="CA7" s="978" t="s">
        <v>732</v>
      </c>
    </row>
    <row r="8" spans="1:79" ht="11.25" customHeight="1">
      <c r="A8" s="984" t="s">
        <v>1837</v>
      </c>
      <c r="B8" s="985">
        <v>2006</v>
      </c>
      <c r="E8" s="986" t="s">
        <v>1838</v>
      </c>
      <c r="F8" s="1002"/>
      <c r="I8" s="986" t="s">
        <v>89</v>
      </c>
      <c r="J8" s="986" t="s">
        <v>1839</v>
      </c>
      <c r="N8" s="1068" t="s">
        <v>1840</v>
      </c>
      <c r="O8" s="986" t="s">
        <v>1841</v>
      </c>
      <c r="V8" s="294" t="s">
        <v>89</v>
      </c>
      <c r="W8" s="994"/>
      <c r="X8" s="985" t="s">
        <v>266</v>
      </c>
      <c r="Y8" s="985" t="s">
        <v>1786</v>
      </c>
      <c r="Z8" s="1000"/>
      <c r="AA8" s="1003"/>
      <c r="AK8" s="986" t="s">
        <v>1842</v>
      </c>
      <c r="AP8" s="997" t="s">
        <v>266</v>
      </c>
      <c r="AQ8" s="998" t="s">
        <v>266</v>
      </c>
      <c r="AU8" s="1028" t="s">
        <v>1843</v>
      </c>
      <c r="AW8" s="1028" t="s">
        <v>1844</v>
      </c>
      <c r="AX8" s="1028" t="s">
        <v>1844</v>
      </c>
      <c r="AZ8" s="1028" t="s">
        <v>1845</v>
      </c>
      <c r="BB8" s="1028" t="s">
        <v>1846</v>
      </c>
      <c r="BC8" s="1028" t="s">
        <v>1795</v>
      </c>
      <c r="BE8" s="1028">
        <v>2006</v>
      </c>
      <c r="BF8" s="1028" t="s">
        <v>1847</v>
      </c>
      <c r="BH8" s="978" t="s">
        <v>1848</v>
      </c>
      <c r="BJ8" s="978" t="s">
        <v>1849</v>
      </c>
      <c r="BL8" s="978" t="s">
        <v>1849</v>
      </c>
      <c r="BN8" s="978" t="s">
        <v>1850</v>
      </c>
      <c r="BQ8" s="1206">
        <v>4213776</v>
      </c>
      <c r="BR8" s="978" t="s">
        <v>248</v>
      </c>
      <c r="BS8" s="1349"/>
      <c r="BT8" s="1206">
        <v>64236874</v>
      </c>
      <c r="BU8" s="1219" t="s">
        <v>1851</v>
      </c>
      <c r="BV8" s="980"/>
      <c r="BW8" s="1614">
        <v>4213770</v>
      </c>
      <c r="BX8" s="1615" t="s">
        <v>1852</v>
      </c>
      <c r="BZ8" s="1206">
        <v>64237512</v>
      </c>
      <c r="CA8" s="978" t="s">
        <v>727</v>
      </c>
    </row>
    <row r="9" spans="1:79" ht="11.25" customHeight="1">
      <c r="A9" s="984" t="s">
        <v>1853</v>
      </c>
      <c r="B9" s="985">
        <v>2007</v>
      </c>
      <c r="E9" s="986" t="s">
        <v>1854</v>
      </c>
      <c r="F9" s="1002"/>
      <c r="G9" s="977" t="s">
        <v>1855</v>
      </c>
      <c r="H9" s="977" t="s">
        <v>1856</v>
      </c>
      <c r="I9" s="986" t="s">
        <v>126</v>
      </c>
      <c r="O9" s="986" t="s">
        <v>1857</v>
      </c>
      <c r="V9" s="294" t="s">
        <v>126</v>
      </c>
      <c r="W9" s="994"/>
      <c r="X9" s="985" t="s">
        <v>272</v>
      </c>
      <c r="Y9" s="985" t="s">
        <v>1693</v>
      </c>
      <c r="Z9" s="1000">
        <v>1</v>
      </c>
      <c r="AA9" s="1003"/>
      <c r="AK9" s="986" t="s">
        <v>1858</v>
      </c>
      <c r="AP9" s="997" t="s">
        <v>1859</v>
      </c>
      <c r="AQ9" s="998" t="s">
        <v>1859</v>
      </c>
      <c r="AW9" s="1028" t="s">
        <v>1860</v>
      </c>
      <c r="AX9" s="1028" t="s">
        <v>1860</v>
      </c>
      <c r="AZ9" s="1028" t="s">
        <v>1861</v>
      </c>
      <c r="BB9" s="1028" t="s">
        <v>1862</v>
      </c>
      <c r="BC9" s="1028" t="s">
        <v>1795</v>
      </c>
      <c r="BE9" s="1028">
        <v>2007</v>
      </c>
      <c r="BF9" s="1028" t="s">
        <v>1863</v>
      </c>
      <c r="BH9" s="978" t="s">
        <v>1864</v>
      </c>
      <c r="BJ9" s="978" t="s">
        <v>1865</v>
      </c>
      <c r="BL9" s="978" t="s">
        <v>1865</v>
      </c>
      <c r="BN9" s="978" t="s">
        <v>1866</v>
      </c>
      <c r="BQ9" s="1206">
        <v>4213777</v>
      </c>
      <c r="BR9" s="978" t="s">
        <v>254</v>
      </c>
      <c r="BS9" s="1349"/>
      <c r="BT9" s="1206">
        <v>64236875</v>
      </c>
      <c r="BU9" s="978" t="s">
        <v>707</v>
      </c>
      <c r="BV9" s="980"/>
      <c r="BW9"/>
      <c r="BX9"/>
    </row>
    <row r="10" spans="1:79" ht="11.25" customHeight="1">
      <c r="A10" s="984" t="s">
        <v>1867</v>
      </c>
      <c r="B10" s="985">
        <v>2008</v>
      </c>
      <c r="E10" s="986" t="s">
        <v>1868</v>
      </c>
      <c r="F10" s="1002"/>
      <c r="G10" s="986" t="s">
        <v>1869</v>
      </c>
      <c r="H10" s="986" t="s">
        <v>1870</v>
      </c>
      <c r="I10" s="986" t="s">
        <v>131</v>
      </c>
      <c r="J10" s="977" t="s">
        <v>1871</v>
      </c>
      <c r="K10" s="977" t="s">
        <v>1872</v>
      </c>
      <c r="O10" s="986" t="s">
        <v>1873</v>
      </c>
      <c r="V10" s="295" t="s">
        <v>131</v>
      </c>
      <c r="W10" s="1006"/>
      <c r="X10" s="1006" t="s">
        <v>1874</v>
      </c>
      <c r="Y10" s="1007" t="s">
        <v>1875</v>
      </c>
      <c r="Z10" s="1000"/>
      <c r="AP10" s="997" t="s">
        <v>1874</v>
      </c>
      <c r="AQ10" s="998" t="s">
        <v>1874</v>
      </c>
      <c r="AW10" s="1028" t="s">
        <v>1876</v>
      </c>
      <c r="AX10" s="1028" t="s">
        <v>1876</v>
      </c>
      <c r="AZ10" s="1028" t="s">
        <v>1877</v>
      </c>
      <c r="BB10" s="1028" t="s">
        <v>1878</v>
      </c>
      <c r="BC10" s="1028" t="s">
        <v>1795</v>
      </c>
      <c r="BE10" s="1028">
        <v>2008</v>
      </c>
      <c r="BF10" s="1028" t="s">
        <v>1879</v>
      </c>
      <c r="BH10" s="978" t="s">
        <v>1880</v>
      </c>
      <c r="BJ10" s="978" t="s">
        <v>1881</v>
      </c>
      <c r="BL10" s="978" t="s">
        <v>1881</v>
      </c>
      <c r="BN10" s="978" t="s">
        <v>1882</v>
      </c>
      <c r="BQ10" s="1206">
        <v>4213778</v>
      </c>
      <c r="BR10" s="978" t="s">
        <v>260</v>
      </c>
      <c r="BS10" s="1349"/>
      <c r="BT10" s="1206">
        <v>64236876</v>
      </c>
      <c r="BU10" s="978" t="s">
        <v>292</v>
      </c>
      <c r="BV10" s="980"/>
      <c r="BW10"/>
      <c r="BX10"/>
    </row>
    <row r="11" spans="1:79" ht="11.25" customHeight="1">
      <c r="A11" s="984" t="s">
        <v>1883</v>
      </c>
      <c r="B11" s="985">
        <v>2009</v>
      </c>
      <c r="E11" s="986" t="s">
        <v>1884</v>
      </c>
      <c r="F11" s="1002"/>
      <c r="G11" s="986" t="s">
        <v>1885</v>
      </c>
      <c r="H11" s="986" t="s">
        <v>1886</v>
      </c>
      <c r="I11" s="986" t="s">
        <v>136</v>
      </c>
      <c r="J11" s="987" t="s">
        <v>1887</v>
      </c>
      <c r="K11" s="1008" t="s">
        <v>1888</v>
      </c>
      <c r="O11" s="987" t="s">
        <v>1889</v>
      </c>
      <c r="V11" s="294" t="s">
        <v>136</v>
      </c>
      <c r="W11" s="190"/>
      <c r="X11" s="994" t="s">
        <v>1859</v>
      </c>
      <c r="Y11" s="985" t="s">
        <v>1890</v>
      </c>
      <c r="Z11" s="1000"/>
      <c r="AP11" s="997" t="s">
        <v>272</v>
      </c>
      <c r="AQ11" s="999" t="s">
        <v>272</v>
      </c>
      <c r="AW11" s="1028" t="s">
        <v>1891</v>
      </c>
      <c r="AX11" s="1028" t="s">
        <v>1891</v>
      </c>
      <c r="AZ11" s="1028" t="s">
        <v>1892</v>
      </c>
      <c r="BB11" s="1028" t="s">
        <v>1893</v>
      </c>
      <c r="BC11" s="1028" t="s">
        <v>1795</v>
      </c>
      <c r="BE11" s="1028">
        <v>2009</v>
      </c>
      <c r="BF11" s="1028" t="s">
        <v>1894</v>
      </c>
      <c r="BH11" s="978" t="s">
        <v>1895</v>
      </c>
      <c r="BJ11" s="978" t="s">
        <v>1864</v>
      </c>
      <c r="BL11" s="978" t="s">
        <v>1864</v>
      </c>
      <c r="BN11" s="978" t="s">
        <v>1896</v>
      </c>
      <c r="BQ11" s="1206">
        <v>4213780</v>
      </c>
      <c r="BR11" s="978" t="s">
        <v>266</v>
      </c>
      <c r="BS11" s="1349"/>
      <c r="BW11"/>
      <c r="BX11"/>
    </row>
    <row r="12" spans="1:79" ht="11.25" customHeight="1">
      <c r="A12" s="984" t="s">
        <v>1897</v>
      </c>
      <c r="B12" s="985">
        <v>2010</v>
      </c>
      <c r="E12" s="986" t="s">
        <v>1898</v>
      </c>
      <c r="F12" s="1002"/>
      <c r="G12" s="986" t="s">
        <v>1886</v>
      </c>
      <c r="I12" s="986" t="s">
        <v>102</v>
      </c>
      <c r="J12" s="987" t="s">
        <v>1899</v>
      </c>
      <c r="K12" s="1008" t="s">
        <v>1900</v>
      </c>
      <c r="O12" s="987" t="s">
        <v>1687</v>
      </c>
      <c r="V12" s="294" t="s">
        <v>102</v>
      </c>
      <c r="W12" s="999"/>
      <c r="X12" s="994" t="s">
        <v>1901</v>
      </c>
      <c r="Y12" s="985" t="s">
        <v>1693</v>
      </c>
      <c r="AP12" s="997"/>
      <c r="AW12" s="1028" t="s">
        <v>136</v>
      </c>
      <c r="AX12" s="1028" t="s">
        <v>136</v>
      </c>
      <c r="AZ12" s="1028" t="s">
        <v>1902</v>
      </c>
      <c r="BB12" s="1028" t="s">
        <v>1903</v>
      </c>
      <c r="BC12" s="1028" t="s">
        <v>1795</v>
      </c>
      <c r="BE12" s="1028">
        <v>2010</v>
      </c>
      <c r="BF12" s="1028" t="s">
        <v>1904</v>
      </c>
      <c r="BH12" s="978" t="s">
        <v>1905</v>
      </c>
      <c r="BJ12" s="978" t="s">
        <v>1906</v>
      </c>
      <c r="BL12" s="978" t="s">
        <v>1906</v>
      </c>
      <c r="BN12" s="978" t="s">
        <v>1907</v>
      </c>
      <c r="BQ12" s="1206">
        <v>4213779</v>
      </c>
      <c r="BR12" s="978" t="s">
        <v>1859</v>
      </c>
      <c r="BS12" s="1349"/>
      <c r="BT12" s="980"/>
      <c r="BU12" s="980"/>
      <c r="BV12" s="980"/>
      <c r="BW12"/>
      <c r="BX12"/>
    </row>
    <row r="13" spans="1:79" ht="11.25" customHeight="1">
      <c r="A13" s="984" t="s">
        <v>1908</v>
      </c>
      <c r="B13" s="985">
        <v>2011</v>
      </c>
      <c r="E13" s="986" t="s">
        <v>1909</v>
      </c>
      <c r="F13" s="1002"/>
      <c r="I13" s="986" t="s">
        <v>145</v>
      </c>
      <c r="K13" s="1008" t="s">
        <v>1858</v>
      </c>
      <c r="V13" s="294" t="s">
        <v>145</v>
      </c>
      <c r="W13" s="999"/>
      <c r="X13" s="999"/>
      <c r="Y13" s="999"/>
      <c r="AW13" s="1028" t="s">
        <v>102</v>
      </c>
      <c r="AX13" s="1028" t="s">
        <v>102</v>
      </c>
      <c r="BB13" s="1028" t="s">
        <v>1910</v>
      </c>
      <c r="BC13" s="1028" t="s">
        <v>1911</v>
      </c>
      <c r="BE13" s="1028">
        <v>2011</v>
      </c>
      <c r="BF13" s="1028" t="s">
        <v>1912</v>
      </c>
      <c r="BH13" s="978" t="s">
        <v>1913</v>
      </c>
      <c r="BJ13" s="978" t="s">
        <v>1895</v>
      </c>
      <c r="BL13" s="978" t="s">
        <v>1895</v>
      </c>
      <c r="BN13" s="978" t="s">
        <v>1914</v>
      </c>
      <c r="BQ13" s="1206">
        <v>4213783</v>
      </c>
      <c r="BR13" s="978" t="s">
        <v>1874</v>
      </c>
      <c r="BS13" s="1349"/>
      <c r="BT13" s="980"/>
      <c r="BU13" s="980"/>
      <c r="BV13" s="980"/>
      <c r="BW13" s="1613"/>
      <c r="BX13"/>
    </row>
    <row r="14" spans="1:79" ht="11.25" customHeight="1">
      <c r="A14" s="984" t="s">
        <v>1915</v>
      </c>
      <c r="B14" s="985">
        <v>2012</v>
      </c>
      <c r="I14" s="986" t="s">
        <v>150</v>
      </c>
      <c r="J14" s="977" t="s">
        <v>1916</v>
      </c>
      <c r="N14" s="977" t="s">
        <v>1917</v>
      </c>
      <c r="V14" s="993">
        <v>13</v>
      </c>
      <c r="W14" s="994"/>
      <c r="X14" s="994" t="s">
        <v>1727</v>
      </c>
      <c r="Y14" s="985" t="s">
        <v>1693</v>
      </c>
      <c r="AW14" s="1028" t="s">
        <v>145</v>
      </c>
      <c r="AX14" s="1028" t="s">
        <v>145</v>
      </c>
      <c r="AZ14" s="977" t="s">
        <v>1918</v>
      </c>
      <c r="BB14" s="1028" t="s">
        <v>1919</v>
      </c>
      <c r="BC14" s="1028" t="s">
        <v>1911</v>
      </c>
      <c r="BE14" s="1028">
        <v>2012</v>
      </c>
      <c r="BH14" s="978" t="s">
        <v>1835</v>
      </c>
      <c r="BJ14" s="1126" t="s">
        <v>1920</v>
      </c>
      <c r="BL14" s="1126" t="s">
        <v>1920</v>
      </c>
      <c r="BN14" s="978" t="s">
        <v>1921</v>
      </c>
      <c r="BQ14" s="1206">
        <v>4213782</v>
      </c>
      <c r="BR14" s="978" t="s">
        <v>272</v>
      </c>
      <c r="BS14" s="1349"/>
      <c r="BT14" s="980"/>
      <c r="BU14" s="980"/>
      <c r="BV14" s="980"/>
      <c r="BW14" s="1613"/>
      <c r="BX14"/>
    </row>
    <row r="15" spans="1:79" ht="19.5" customHeight="1">
      <c r="A15" s="984" t="s">
        <v>1922</v>
      </c>
      <c r="B15" s="985">
        <v>2013</v>
      </c>
      <c r="E15" s="1617" t="s">
        <v>1923</v>
      </c>
      <c r="G15" s="977" t="s">
        <v>1924</v>
      </c>
      <c r="H15" s="977" t="s">
        <v>1925</v>
      </c>
      <c r="I15" s="988" t="s">
        <v>155</v>
      </c>
      <c r="J15" s="999" t="s">
        <v>1041</v>
      </c>
      <c r="N15" s="1063" t="s">
        <v>1926</v>
      </c>
      <c r="X15" s="997"/>
      <c r="AW15" s="1028" t="s">
        <v>150</v>
      </c>
      <c r="AX15" s="1028" t="s">
        <v>150</v>
      </c>
      <c r="AZ15" s="1028" t="s">
        <v>1845</v>
      </c>
      <c r="BB15" s="1028" t="s">
        <v>1927</v>
      </c>
      <c r="BC15" s="1028" t="s">
        <v>1911</v>
      </c>
      <c r="BE15" s="1028">
        <v>2013</v>
      </c>
      <c r="BH15" s="978" t="s">
        <v>1850</v>
      </c>
      <c r="BJ15" s="1126" t="s">
        <v>1928</v>
      </c>
      <c r="BL15" s="1126" t="s">
        <v>1928</v>
      </c>
      <c r="BN15" s="978" t="s">
        <v>1929</v>
      </c>
      <c r="BR15" s="980"/>
      <c r="BS15" s="1351"/>
      <c r="BT15" s="980"/>
      <c r="BU15" s="980"/>
      <c r="BV15" s="980"/>
      <c r="BW15" s="1613"/>
      <c r="BX15"/>
    </row>
    <row r="16" spans="1:79" ht="21" customHeight="1">
      <c r="A16" s="1789" t="s">
        <v>1930</v>
      </c>
      <c r="B16" s="985">
        <v>2014</v>
      </c>
      <c r="E16" s="1618" t="s">
        <v>1931</v>
      </c>
      <c r="G16" s="986" t="s">
        <v>1932</v>
      </c>
      <c r="H16" s="986" t="s">
        <v>1933</v>
      </c>
      <c r="I16" s="988" t="s">
        <v>160</v>
      </c>
      <c r="J16" s="999" t="s">
        <v>1014</v>
      </c>
      <c r="N16" s="1063" t="s">
        <v>1934</v>
      </c>
      <c r="AW16" s="1028" t="s">
        <v>155</v>
      </c>
      <c r="AX16" s="1028" t="s">
        <v>155</v>
      </c>
      <c r="AZ16" s="1028" t="s">
        <v>1861</v>
      </c>
      <c r="BB16" s="1028" t="s">
        <v>1935</v>
      </c>
      <c r="BC16" s="1028" t="s">
        <v>1911</v>
      </c>
      <c r="BE16" s="1028">
        <v>2014</v>
      </c>
      <c r="BH16" s="978" t="s">
        <v>1866</v>
      </c>
      <c r="BJ16" s="1126" t="s">
        <v>1936</v>
      </c>
      <c r="BL16" s="1126" t="s">
        <v>1936</v>
      </c>
      <c r="BN16" s="978" t="s">
        <v>1937</v>
      </c>
      <c r="BR16" s="980"/>
      <c r="BS16" s="1351"/>
      <c r="BT16" s="980"/>
      <c r="BU16" s="980"/>
      <c r="BV16" s="980"/>
      <c r="BW16" s="1613"/>
      <c r="BX16"/>
    </row>
    <row r="17" spans="1:82" ht="21" customHeight="1">
      <c r="A17" s="984" t="s">
        <v>1938</v>
      </c>
      <c r="B17" s="985">
        <v>2015</v>
      </c>
      <c r="G17" s="986" t="s">
        <v>1886</v>
      </c>
      <c r="H17" s="986" t="s">
        <v>1886</v>
      </c>
      <c r="I17" s="986" t="s">
        <v>165</v>
      </c>
      <c r="N17" s="1063" t="s">
        <v>1939</v>
      </c>
      <c r="X17" s="997"/>
      <c r="AW17" s="1028" t="s">
        <v>160</v>
      </c>
      <c r="AX17" s="1028" t="s">
        <v>160</v>
      </c>
      <c r="AZ17" s="1028" t="s">
        <v>1940</v>
      </c>
      <c r="BB17" s="1028" t="s">
        <v>1941</v>
      </c>
      <c r="BC17" s="1028" t="s">
        <v>1795</v>
      </c>
      <c r="BE17" s="1028">
        <v>2015</v>
      </c>
      <c r="BH17" s="978" t="s">
        <v>1882</v>
      </c>
      <c r="BJ17" s="1126" t="s">
        <v>1942</v>
      </c>
      <c r="BL17" s="1126" t="s">
        <v>1942</v>
      </c>
      <c r="BN17" s="978" t="s">
        <v>1943</v>
      </c>
      <c r="BR17" s="977" t="s">
        <v>1738</v>
      </c>
      <c r="BS17" s="1348"/>
      <c r="BU17" s="977" t="s">
        <v>1944</v>
      </c>
      <c r="BV17" s="980"/>
      <c r="BW17"/>
      <c r="BX17" s="1611" t="s">
        <v>1945</v>
      </c>
      <c r="CA17" s="977" t="s">
        <v>1946</v>
      </c>
      <c r="CD17" s="977" t="s">
        <v>1947</v>
      </c>
    </row>
    <row r="18" spans="1:82" ht="21" customHeight="1">
      <c r="A18" s="984" t="s">
        <v>1948</v>
      </c>
      <c r="B18" s="985">
        <v>2016</v>
      </c>
      <c r="I18" s="986" t="s">
        <v>170</v>
      </c>
      <c r="N18" s="1063" t="s">
        <v>1949</v>
      </c>
      <c r="X18" s="997"/>
      <c r="AW18" s="1028" t="s">
        <v>165</v>
      </c>
      <c r="AX18" s="1028" t="s">
        <v>165</v>
      </c>
      <c r="BB18" s="1028" t="s">
        <v>1950</v>
      </c>
      <c r="BC18" s="1028" t="s">
        <v>1795</v>
      </c>
      <c r="BE18" s="1028">
        <v>2016</v>
      </c>
      <c r="BH18" s="978" t="s">
        <v>1896</v>
      </c>
      <c r="BJ18" s="1126" t="s">
        <v>1951</v>
      </c>
      <c r="BL18" s="1126" t="s">
        <v>1951</v>
      </c>
      <c r="BN18" s="978" t="s">
        <v>1952</v>
      </c>
      <c r="BQ18" s="1352" t="s">
        <v>1768</v>
      </c>
      <c r="BR18" s="1064" t="s">
        <v>1769</v>
      </c>
      <c r="BS18" s="189"/>
      <c r="BT18" s="1352" t="s">
        <v>1953</v>
      </c>
      <c r="BU18" s="1064" t="s">
        <v>1954</v>
      </c>
      <c r="BV18" s="980"/>
      <c r="BW18" s="1616" t="s">
        <v>1955</v>
      </c>
      <c r="BX18" s="1610" t="s">
        <v>1956</v>
      </c>
      <c r="BZ18" s="1352" t="s">
        <v>1957</v>
      </c>
      <c r="CA18" s="1064" t="s">
        <v>1958</v>
      </c>
      <c r="CC18" s="1352" t="s">
        <v>1959</v>
      </c>
      <c r="CD18" s="1064" t="s">
        <v>1960</v>
      </c>
    </row>
    <row r="19" spans="1:82" ht="21" customHeight="1">
      <c r="A19" s="1789" t="s">
        <v>1961</v>
      </c>
      <c r="B19" s="985">
        <v>2017</v>
      </c>
      <c r="I19" s="986" t="s">
        <v>175</v>
      </c>
      <c r="N19" s="1063" t="s">
        <v>1962</v>
      </c>
      <c r="X19" s="997"/>
      <c r="AW19" s="1028" t="s">
        <v>170</v>
      </c>
      <c r="AX19" s="1028" t="s">
        <v>170</v>
      </c>
      <c r="AZ19" s="977" t="s">
        <v>1963</v>
      </c>
      <c r="BB19" s="1028" t="s">
        <v>1964</v>
      </c>
      <c r="BC19" s="1028" t="s">
        <v>1795</v>
      </c>
      <c r="BE19" s="1028">
        <v>2017</v>
      </c>
      <c r="BH19" s="978" t="s">
        <v>1965</v>
      </c>
      <c r="BJ19" s="1126" t="s">
        <v>1966</v>
      </c>
      <c r="BL19" s="1126" t="s">
        <v>1966</v>
      </c>
      <c r="BQ19" s="1206">
        <v>4190064</v>
      </c>
      <c r="BR19" s="978" t="s">
        <v>1967</v>
      </c>
      <c r="BS19" s="1349"/>
      <c r="BT19" s="1206">
        <v>4189671</v>
      </c>
      <c r="BU19" s="978" t="s">
        <v>1968</v>
      </c>
      <c r="BV19" s="980"/>
      <c r="BW19" s="1614">
        <v>4189706</v>
      </c>
      <c r="BX19" s="1612" t="s">
        <v>1969</v>
      </c>
      <c r="BZ19" s="1206">
        <v>4189714</v>
      </c>
      <c r="CA19" s="978" t="s">
        <v>1970</v>
      </c>
      <c r="CC19" s="1206">
        <v>4189708</v>
      </c>
      <c r="CD19" s="978" t="s">
        <v>1971</v>
      </c>
    </row>
    <row r="20" spans="1:82" ht="21" customHeight="1">
      <c r="A20" s="984" t="s">
        <v>1972</v>
      </c>
      <c r="B20" s="985">
        <v>2018</v>
      </c>
      <c r="I20" s="986" t="s">
        <v>180</v>
      </c>
      <c r="N20" s="1063" t="s">
        <v>1973</v>
      </c>
      <c r="AW20" s="1028" t="s">
        <v>175</v>
      </c>
      <c r="AX20" s="1028" t="s">
        <v>175</v>
      </c>
      <c r="AZ20" s="1028" t="s">
        <v>1974</v>
      </c>
      <c r="BB20" s="1028" t="s">
        <v>1975</v>
      </c>
      <c r="BC20" s="1028" t="s">
        <v>1911</v>
      </c>
      <c r="BE20" s="1028">
        <v>2018</v>
      </c>
      <c r="BH20" s="978" t="s">
        <v>1907</v>
      </c>
      <c r="BJ20" s="978" t="s">
        <v>1835</v>
      </c>
      <c r="BL20" s="978" t="s">
        <v>1835</v>
      </c>
      <c r="BQ20" s="1206">
        <v>4190065</v>
      </c>
      <c r="BR20" s="978" t="s">
        <v>1976</v>
      </c>
      <c r="BS20" s="1349"/>
      <c r="BT20" s="1206">
        <v>4189672</v>
      </c>
      <c r="BU20" s="978" t="s">
        <v>1977</v>
      </c>
      <c r="BV20" s="980"/>
      <c r="BW20" s="1614">
        <v>4189705</v>
      </c>
      <c r="BX20" s="1612" t="s">
        <v>1978</v>
      </c>
      <c r="BZ20" s="1206">
        <v>4189713</v>
      </c>
      <c r="CA20" s="978" t="s">
        <v>1978</v>
      </c>
      <c r="CC20" s="1206">
        <v>4189709</v>
      </c>
      <c r="CD20" s="978" t="s">
        <v>1979</v>
      </c>
    </row>
    <row r="21" spans="1:82" ht="21" customHeight="1">
      <c r="A21" s="984" t="s">
        <v>1980</v>
      </c>
      <c r="B21" s="985">
        <v>2019</v>
      </c>
      <c r="I21" s="986" t="s">
        <v>185</v>
      </c>
      <c r="N21" s="1063" t="s">
        <v>1981</v>
      </c>
      <c r="AW21" s="1028" t="s">
        <v>180</v>
      </c>
      <c r="AX21" s="1028" t="s">
        <v>180</v>
      </c>
      <c r="AZ21" s="1028" t="s">
        <v>1982</v>
      </c>
      <c r="BB21" s="1028" t="s">
        <v>1983</v>
      </c>
      <c r="BC21" s="1028" t="s">
        <v>1795</v>
      </c>
      <c r="BE21" s="1028">
        <v>2019</v>
      </c>
      <c r="BH21" s="978" t="s">
        <v>1914</v>
      </c>
      <c r="BJ21" s="978" t="s">
        <v>1850</v>
      </c>
      <c r="BL21" s="978" t="s">
        <v>1850</v>
      </c>
      <c r="BQ21" s="1206">
        <v>4190066</v>
      </c>
      <c r="BR21" s="978" t="s">
        <v>1984</v>
      </c>
      <c r="BS21" s="1349"/>
      <c r="BT21" s="1206">
        <v>4189673</v>
      </c>
      <c r="BU21" s="978" t="s">
        <v>1985</v>
      </c>
      <c r="BV21" s="980"/>
      <c r="BW21" s="1614">
        <v>4189707</v>
      </c>
      <c r="BX21" s="1612" t="s">
        <v>1986</v>
      </c>
      <c r="BZ21" s="1206">
        <v>4189712</v>
      </c>
      <c r="CA21" s="978" t="s">
        <v>1987</v>
      </c>
      <c r="CC21" s="1206">
        <v>4189710</v>
      </c>
      <c r="CD21" s="978" t="s">
        <v>1988</v>
      </c>
    </row>
    <row r="22" spans="1:82" ht="21" customHeight="1">
      <c r="A22" s="984" t="s">
        <v>1989</v>
      </c>
      <c r="B22" s="985">
        <v>2020</v>
      </c>
      <c r="N22" s="1063" t="s">
        <v>1990</v>
      </c>
      <c r="AW22" s="1028" t="s">
        <v>185</v>
      </c>
      <c r="AX22" s="1028" t="s">
        <v>185</v>
      </c>
      <c r="AZ22" s="1028" t="s">
        <v>1991</v>
      </c>
      <c r="BB22" s="1028" t="s">
        <v>1992</v>
      </c>
      <c r="BC22" s="1028" t="s">
        <v>1795</v>
      </c>
      <c r="BE22" s="1028">
        <v>2020</v>
      </c>
      <c r="BH22" s="978" t="s">
        <v>1921</v>
      </c>
      <c r="BJ22" s="978" t="s">
        <v>1866</v>
      </c>
      <c r="BL22" s="978" t="s">
        <v>1866</v>
      </c>
      <c r="BQ22" s="1206">
        <v>4190067</v>
      </c>
      <c r="BR22" s="978" t="s">
        <v>1993</v>
      </c>
      <c r="BS22" s="1349"/>
      <c r="BT22" s="1206">
        <v>4189674</v>
      </c>
      <c r="BU22" s="978" t="s">
        <v>1994</v>
      </c>
      <c r="BV22" s="980"/>
      <c r="BW22" s="980"/>
      <c r="CC22" s="1206">
        <v>4189711</v>
      </c>
      <c r="CD22" s="978" t="s">
        <v>756</v>
      </c>
    </row>
    <row r="23" spans="1:82" ht="21" customHeight="1">
      <c r="A23" s="984" t="s">
        <v>1995</v>
      </c>
      <c r="B23" s="985">
        <v>2021</v>
      </c>
      <c r="AW23" s="1028" t="s">
        <v>190</v>
      </c>
      <c r="AX23" s="1028" t="s">
        <v>190</v>
      </c>
      <c r="AZ23" s="1028" t="s">
        <v>1996</v>
      </c>
      <c r="BB23" s="1028" t="s">
        <v>1997</v>
      </c>
      <c r="BC23" s="1028" t="s">
        <v>1704</v>
      </c>
      <c r="BE23" s="1028">
        <v>2021</v>
      </c>
      <c r="BH23" s="978" t="s">
        <v>1929</v>
      </c>
      <c r="BJ23" s="978" t="s">
        <v>1882</v>
      </c>
      <c r="BL23" s="978" t="s">
        <v>1882</v>
      </c>
      <c r="BQ23" s="1206">
        <v>4190068</v>
      </c>
      <c r="BR23" s="978" t="s">
        <v>1998</v>
      </c>
      <c r="BS23" s="1349"/>
      <c r="BT23" s="1206">
        <v>4189675</v>
      </c>
      <c r="BU23" s="978" t="s">
        <v>1999</v>
      </c>
      <c r="BV23" s="980"/>
      <c r="BW23" s="980"/>
      <c r="CC23" s="1206">
        <v>5110778</v>
      </c>
      <c r="CD23" s="978" t="s">
        <v>2000</v>
      </c>
    </row>
    <row r="24" spans="1:82" ht="21" customHeight="1">
      <c r="A24" s="984" t="s">
        <v>2001</v>
      </c>
      <c r="B24" s="985">
        <v>2022</v>
      </c>
      <c r="AW24" s="1028" t="s">
        <v>416</v>
      </c>
      <c r="AX24" s="1028" t="s">
        <v>416</v>
      </c>
      <c r="AZ24" s="1028" t="s">
        <v>2002</v>
      </c>
      <c r="BB24" s="1028" t="s">
        <v>2003</v>
      </c>
      <c r="BC24" s="1028" t="s">
        <v>2004</v>
      </c>
      <c r="BE24" s="1028">
        <v>2022</v>
      </c>
      <c r="BH24" s="978" t="s">
        <v>1937</v>
      </c>
      <c r="BJ24" s="978" t="s">
        <v>1896</v>
      </c>
      <c r="BL24" s="978" t="s">
        <v>1896</v>
      </c>
      <c r="BQ24" s="1206">
        <v>4190069</v>
      </c>
      <c r="BR24" s="978" t="s">
        <v>2005</v>
      </c>
      <c r="BS24" s="1349"/>
      <c r="BT24" s="1206">
        <v>4189676</v>
      </c>
      <c r="BU24" s="978" t="s">
        <v>2006</v>
      </c>
      <c r="BV24" s="980"/>
      <c r="BW24" s="980"/>
      <c r="CC24" s="1206">
        <v>25575374</v>
      </c>
      <c r="CD24" s="978" t="s">
        <v>2007</v>
      </c>
    </row>
    <row r="25" spans="1:82" ht="11.25" customHeight="1">
      <c r="A25" s="984" t="s">
        <v>2008</v>
      </c>
      <c r="B25" s="985">
        <v>2023</v>
      </c>
      <c r="AW25" s="1028" t="s">
        <v>422</v>
      </c>
      <c r="AX25" s="1028" t="s">
        <v>422</v>
      </c>
      <c r="AZ25" s="1028" t="s">
        <v>2009</v>
      </c>
      <c r="BB25" s="1028" t="s">
        <v>2010</v>
      </c>
      <c r="BC25" s="1028" t="s">
        <v>2004</v>
      </c>
      <c r="BE25" s="1028">
        <v>2023</v>
      </c>
      <c r="BH25" s="978" t="s">
        <v>1943</v>
      </c>
      <c r="BJ25" s="978" t="s">
        <v>1965</v>
      </c>
      <c r="BL25" s="978" t="s">
        <v>1965</v>
      </c>
      <c r="BQ25" s="1206">
        <v>4190070</v>
      </c>
      <c r="BR25" s="978" t="s">
        <v>2011</v>
      </c>
      <c r="BS25" s="1349"/>
      <c r="BT25" s="1206">
        <v>4189677</v>
      </c>
      <c r="BU25" s="978" t="s">
        <v>2012</v>
      </c>
      <c r="BV25" s="980"/>
      <c r="BW25" s="980"/>
    </row>
    <row r="26" spans="1:82" ht="11.25" customHeight="1">
      <c r="A26" s="984" t="s">
        <v>2013</v>
      </c>
      <c r="B26" s="985">
        <v>2024</v>
      </c>
      <c r="J26" s="1650" t="s">
        <v>2014</v>
      </c>
      <c r="AX26" s="1028" t="s">
        <v>106</v>
      </c>
      <c r="AZ26" s="1028" t="s">
        <v>1889</v>
      </c>
      <c r="BB26" s="1028" t="s">
        <v>2015</v>
      </c>
      <c r="BC26" s="1028" t="s">
        <v>2004</v>
      </c>
      <c r="BE26" s="1028">
        <v>2024</v>
      </c>
      <c r="BH26" s="978" t="s">
        <v>1952</v>
      </c>
      <c r="BJ26" s="978" t="s">
        <v>1907</v>
      </c>
      <c r="BL26" s="978" t="s">
        <v>1907</v>
      </c>
      <c r="BQ26" s="1206">
        <v>4190071</v>
      </c>
      <c r="BR26" s="978" t="s">
        <v>2016</v>
      </c>
      <c r="BS26" s="1349"/>
      <c r="BV26" s="980"/>
      <c r="BW26" s="980"/>
    </row>
    <row r="27" spans="1:82" ht="11.25" customHeight="1">
      <c r="A27" s="984" t="s">
        <v>2017</v>
      </c>
      <c r="B27" s="985">
        <v>2025</v>
      </c>
      <c r="J27" s="94" t="s">
        <v>100</v>
      </c>
      <c r="AX27" s="1028" t="s">
        <v>433</v>
      </c>
      <c r="BB27" s="1028" t="s">
        <v>2018</v>
      </c>
      <c r="BC27" s="1028" t="s">
        <v>2004</v>
      </c>
      <c r="BE27" s="1028">
        <v>2025</v>
      </c>
      <c r="BH27" s="980" t="s">
        <v>24</v>
      </c>
      <c r="BJ27" s="978" t="s">
        <v>1914</v>
      </c>
      <c r="BL27" s="978" t="s">
        <v>1914</v>
      </c>
      <c r="BN27" s="980" t="s">
        <v>24</v>
      </c>
      <c r="BQ27" s="1206">
        <v>4190072</v>
      </c>
      <c r="BR27" s="978" t="s">
        <v>2019</v>
      </c>
      <c r="BS27" s="1349"/>
      <c r="BV27" s="980"/>
      <c r="BW27" s="980"/>
    </row>
    <row r="28" spans="1:82" ht="11.25" customHeight="1">
      <c r="A28" s="984" t="s">
        <v>2020</v>
      </c>
      <c r="D28" s="1009"/>
      <c r="E28" s="1010"/>
      <c r="F28" s="1010"/>
      <c r="H28" s="1011" t="s">
        <v>2021</v>
      </c>
      <c r="AX28" s="1028" t="s">
        <v>439</v>
      </c>
      <c r="AZ28" s="977" t="s">
        <v>2022</v>
      </c>
      <c r="BB28" s="1028" t="s">
        <v>2023</v>
      </c>
      <c r="BC28" s="1028" t="s">
        <v>2024</v>
      </c>
      <c r="BE28" s="1028">
        <v>2026</v>
      </c>
      <c r="BH28" s="980" t="s">
        <v>24</v>
      </c>
      <c r="BJ28" s="978" t="s">
        <v>1921</v>
      </c>
      <c r="BL28" s="978" t="s">
        <v>1921</v>
      </c>
      <c r="BN28" s="980" t="s">
        <v>24</v>
      </c>
      <c r="BQ28" s="1206">
        <v>4190073</v>
      </c>
      <c r="BR28" s="978" t="s">
        <v>2025</v>
      </c>
      <c r="BS28" s="1349"/>
      <c r="BV28" s="980"/>
      <c r="BW28" s="980"/>
    </row>
    <row r="29" spans="1:82" ht="11.25" customHeight="1">
      <c r="A29" s="984" t="s">
        <v>2026</v>
      </c>
      <c r="D29" s="1012" t="s">
        <v>2027</v>
      </c>
      <c r="E29" s="1013">
        <f>IF(TEMPLATE_GROUP="","",INDEX(StartDateList,MATCH(TEMPLATE_GROUP,CodeTemplateList,0),1))</f>
        <v>45292.411493055559</v>
      </c>
      <c r="F29" s="1013">
        <f>IF(TEMPLATE_GROUP="","",INDEX(EndDateList,MATCH(TEMPLATE_GROUP,CodeTemplateList,0),1))</f>
        <v>45657.411689814813</v>
      </c>
      <c r="H29" s="1014" t="s">
        <v>2028</v>
      </c>
      <c r="AX29" s="1028" t="s">
        <v>445</v>
      </c>
      <c r="AZ29" s="1028" t="s">
        <v>1688</v>
      </c>
      <c r="BB29" s="1028" t="s">
        <v>1889</v>
      </c>
      <c r="BC29" s="1000"/>
      <c r="BE29" s="1028">
        <v>2027</v>
      </c>
      <c r="BJ29" s="978" t="s">
        <v>1929</v>
      </c>
      <c r="BL29" s="978" t="s">
        <v>1929</v>
      </c>
    </row>
    <row r="30" spans="1:82" ht="11.25" customHeight="1">
      <c r="A30" s="984" t="s">
        <v>2029</v>
      </c>
      <c r="D30" s="1015"/>
      <c r="E30" s="1016"/>
      <c r="F30" s="1016"/>
      <c r="AX30" s="1028" t="s">
        <v>451</v>
      </c>
      <c r="AZ30" s="1028" t="s">
        <v>1716</v>
      </c>
      <c r="BE30" s="1028">
        <v>2028</v>
      </c>
      <c r="BJ30" s="978" t="s">
        <v>2030</v>
      </c>
      <c r="BL30" s="978" t="s">
        <v>2030</v>
      </c>
    </row>
    <row r="31" spans="1:82" ht="12.75" customHeight="1">
      <c r="A31" s="984" t="s">
        <v>2031</v>
      </c>
      <c r="D31" s="1009"/>
      <c r="E31" s="1010"/>
      <c r="F31" s="1010"/>
      <c r="H31" s="1017"/>
      <c r="AX31" s="1028" t="s">
        <v>457</v>
      </c>
      <c r="AZ31" s="1028" t="s">
        <v>961</v>
      </c>
      <c r="BE31" s="1028">
        <v>2029</v>
      </c>
      <c r="BJ31" s="978" t="s">
        <v>2032</v>
      </c>
      <c r="BL31" s="978" t="s">
        <v>2032</v>
      </c>
    </row>
    <row r="32" spans="1:82" ht="11.25" customHeight="1">
      <c r="A32" s="984" t="s">
        <v>2033</v>
      </c>
      <c r="D32" s="1012" t="s">
        <v>2034</v>
      </c>
      <c r="E32" s="1013">
        <f>IF(TEMPLATE_GROUP="","",INDEX(StartDateList,MATCH(TEMPLATE_GROUP,CodeTemplateList,0),1))</f>
        <v>45292.411493055559</v>
      </c>
      <c r="F32" s="1013">
        <f>IF(TEMPLATE_GROUP="","",INDEX(EndDateList,MATCH(TEMPLATE_GROUP,CodeTemplateList,0),1))</f>
        <v>45657.411689814813</v>
      </c>
      <c r="H32" s="1018" t="s">
        <v>2035</v>
      </c>
      <c r="O32" s="984" t="s">
        <v>1686</v>
      </c>
      <c r="AX32" s="1028" t="s">
        <v>463</v>
      </c>
      <c r="AZ32" s="1028" t="s">
        <v>963</v>
      </c>
      <c r="BE32" s="1028">
        <v>2030</v>
      </c>
      <c r="BJ32" s="978" t="s">
        <v>1937</v>
      </c>
      <c r="BL32" s="978" t="s">
        <v>1937</v>
      </c>
    </row>
    <row r="33" spans="1:66" ht="11.25" customHeight="1">
      <c r="A33" s="984" t="s">
        <v>2036</v>
      </c>
      <c r="O33" s="984" t="s">
        <v>1713</v>
      </c>
      <c r="AX33" s="1028" t="s">
        <v>469</v>
      </c>
      <c r="AZ33" s="1028" t="s">
        <v>1687</v>
      </c>
      <c r="BE33" s="1028">
        <v>2031</v>
      </c>
      <c r="BJ33" s="978" t="s">
        <v>1943</v>
      </c>
      <c r="BL33" s="978" t="s">
        <v>1943</v>
      </c>
    </row>
    <row r="34" spans="1:66" ht="11.25" customHeight="1">
      <c r="A34" s="984" t="s">
        <v>2037</v>
      </c>
      <c r="O34" s="984" t="s">
        <v>1749</v>
      </c>
      <c r="AX34" s="1028" t="s">
        <v>475</v>
      </c>
      <c r="BE34" s="1028">
        <v>2032</v>
      </c>
      <c r="BJ34" s="978" t="s">
        <v>1952</v>
      </c>
      <c r="BL34" s="978" t="s">
        <v>1952</v>
      </c>
    </row>
    <row r="35" spans="1:66" ht="11.25" customHeight="1">
      <c r="A35" s="984" t="s">
        <v>2038</v>
      </c>
      <c r="O35" s="984" t="s">
        <v>1782</v>
      </c>
      <c r="AX35" s="1028" t="s">
        <v>481</v>
      </c>
      <c r="AZ35" s="977" t="s">
        <v>2039</v>
      </c>
      <c r="BE35" s="1028">
        <v>2033</v>
      </c>
      <c r="BL35" s="978" t="s">
        <v>2040</v>
      </c>
    </row>
    <row r="36" spans="1:66" ht="11.25" customHeight="1">
      <c r="A36" s="1789" t="s">
        <v>2041</v>
      </c>
      <c r="D36" s="1019" t="s">
        <v>2042</v>
      </c>
      <c r="E36" s="1020" t="s">
        <v>1226</v>
      </c>
      <c r="F36" s="1021" t="str">
        <f>INDEX(E37:E41,MATCH(TEMPLATE_SPHERE,F37:F41,0))</f>
        <v>холодного водоснабжения</v>
      </c>
      <c r="G36" s="1021" t="str">
        <f>INDEX(G37:G41,MATCH(TEMPLATE_SPHERE,F37:F41,0))</f>
        <v>холодное водоснабжение</v>
      </c>
      <c r="O36" s="984" t="s">
        <v>1806</v>
      </c>
      <c r="AX36" s="1028" t="s">
        <v>487</v>
      </c>
      <c r="AZ36" s="1028" t="s">
        <v>1687</v>
      </c>
      <c r="BE36" s="1028">
        <v>2034</v>
      </c>
      <c r="BL36" s="978" t="s">
        <v>2043</v>
      </c>
    </row>
    <row r="37" spans="1:66" ht="11.25" customHeight="1">
      <c r="A37" s="984" t="s">
        <v>2044</v>
      </c>
      <c r="E37" s="336" t="s">
        <v>2045</v>
      </c>
      <c r="F37" s="1022" t="s">
        <v>1180</v>
      </c>
      <c r="G37" s="336" t="s">
        <v>2046</v>
      </c>
      <c r="O37" s="984" t="s">
        <v>1825</v>
      </c>
      <c r="AX37" s="1028" t="s">
        <v>493</v>
      </c>
      <c r="AZ37" s="1028" t="s">
        <v>1715</v>
      </c>
      <c r="BE37" s="1028">
        <v>2035</v>
      </c>
    </row>
    <row r="38" spans="1:66" ht="11.25" customHeight="1">
      <c r="A38" s="984" t="s">
        <v>2047</v>
      </c>
      <c r="E38" s="336" t="s">
        <v>2048</v>
      </c>
      <c r="F38" s="1023" t="s">
        <v>1226</v>
      </c>
      <c r="G38" s="336" t="s">
        <v>2049</v>
      </c>
      <c r="O38" s="984" t="s">
        <v>1841</v>
      </c>
      <c r="AX38" s="1028" t="s">
        <v>499</v>
      </c>
      <c r="AZ38" s="1028" t="s">
        <v>1750</v>
      </c>
      <c r="BE38" s="1028">
        <v>2036</v>
      </c>
      <c r="BH38" s="977" t="s">
        <v>2050</v>
      </c>
      <c r="BJ38" s="977" t="s">
        <v>2051</v>
      </c>
      <c r="BL38" s="977" t="s">
        <v>2052</v>
      </c>
      <c r="BN38" s="977" t="s">
        <v>2053</v>
      </c>
    </row>
    <row r="39" spans="1:66" ht="11.25" customHeight="1">
      <c r="A39" s="984" t="s">
        <v>2054</v>
      </c>
      <c r="E39" s="336" t="s">
        <v>2055</v>
      </c>
      <c r="F39" s="1023" t="s">
        <v>1278</v>
      </c>
      <c r="G39" s="336" t="s">
        <v>2056</v>
      </c>
      <c r="O39" s="984" t="s">
        <v>1857</v>
      </c>
      <c r="AX39" s="1028" t="s">
        <v>110</v>
      </c>
      <c r="AZ39" s="1028" t="s">
        <v>1783</v>
      </c>
      <c r="BE39" s="1028">
        <v>2037</v>
      </c>
      <c r="BH39" s="978" t="s">
        <v>2057</v>
      </c>
      <c r="BJ39" s="1126" t="s">
        <v>2057</v>
      </c>
      <c r="BL39" s="1126" t="s">
        <v>2057</v>
      </c>
      <c r="BN39" s="978" t="s">
        <v>2058</v>
      </c>
    </row>
    <row r="40" spans="1:66" ht="11.25" customHeight="1">
      <c r="A40" s="984" t="s">
        <v>2059</v>
      </c>
      <c r="E40" s="336" t="s">
        <v>2060</v>
      </c>
      <c r="F40" s="1023" t="s">
        <v>1264</v>
      </c>
      <c r="G40" s="336" t="s">
        <v>2061</v>
      </c>
      <c r="O40" s="984" t="s">
        <v>1873</v>
      </c>
      <c r="AX40" s="1028" t="s">
        <v>510</v>
      </c>
      <c r="BE40" s="1028">
        <v>2038</v>
      </c>
      <c r="BH40" s="978" t="s">
        <v>2062</v>
      </c>
      <c r="BJ40" s="1126" t="s">
        <v>1399</v>
      </c>
      <c r="BL40" s="1126" t="s">
        <v>1399</v>
      </c>
      <c r="BN40" s="978" t="s">
        <v>1433</v>
      </c>
    </row>
    <row r="41" spans="1:66" ht="11.25" customHeight="1">
      <c r="A41" s="984" t="s">
        <v>2063</v>
      </c>
      <c r="E41" s="336" t="s">
        <v>2064</v>
      </c>
      <c r="F41" s="1023" t="s">
        <v>2065</v>
      </c>
      <c r="G41" s="336" t="s">
        <v>2064</v>
      </c>
      <c r="O41" s="984" t="s">
        <v>1889</v>
      </c>
      <c r="AX41" s="1028" t="s">
        <v>516</v>
      </c>
      <c r="AZ41" s="977" t="s">
        <v>2066</v>
      </c>
      <c r="BE41" s="1028">
        <v>2039</v>
      </c>
      <c r="BH41" s="978" t="s">
        <v>2067</v>
      </c>
      <c r="BJ41" s="1126" t="s">
        <v>1395</v>
      </c>
      <c r="BL41" s="1126" t="s">
        <v>1395</v>
      </c>
      <c r="BN41" s="978" t="s">
        <v>1420</v>
      </c>
    </row>
    <row r="42" spans="1:66" ht="11.25" customHeight="1">
      <c r="A42" s="984" t="s">
        <v>2068</v>
      </c>
      <c r="AX42" s="1028" t="s">
        <v>522</v>
      </c>
      <c r="AZ42" s="1028" t="s">
        <v>1686</v>
      </c>
      <c r="BE42" s="1028">
        <v>2040</v>
      </c>
      <c r="BH42" s="978" t="s">
        <v>1417</v>
      </c>
      <c r="BJ42" s="1126" t="s">
        <v>1397</v>
      </c>
      <c r="BL42" s="1126" t="s">
        <v>1397</v>
      </c>
      <c r="BN42" s="978" t="s">
        <v>2069</v>
      </c>
    </row>
    <row r="43" spans="1:66" ht="11.25" customHeight="1">
      <c r="A43" s="984" t="s">
        <v>2070</v>
      </c>
      <c r="AX43" s="1028" t="s">
        <v>528</v>
      </c>
      <c r="AZ43" s="1028" t="s">
        <v>1713</v>
      </c>
      <c r="BE43" s="1028">
        <v>2041</v>
      </c>
      <c r="BH43" s="978" t="s">
        <v>2071</v>
      </c>
      <c r="BJ43" s="1126" t="s">
        <v>2067</v>
      </c>
      <c r="BL43" s="1126" t="s">
        <v>2067</v>
      </c>
      <c r="BN43" s="978" t="s">
        <v>2072</v>
      </c>
    </row>
    <row r="44" spans="1:66" ht="11.25" customHeight="1">
      <c r="A44" s="984" t="s">
        <v>2073</v>
      </c>
      <c r="I44" s="713" t="s">
        <v>2074</v>
      </c>
      <c r="J44" s="999" t="s">
        <v>2075</v>
      </c>
      <c r="K44" s="999" t="s">
        <v>2076</v>
      </c>
      <c r="AX44" s="1028" t="s">
        <v>534</v>
      </c>
      <c r="AZ44" s="1028" t="s">
        <v>1749</v>
      </c>
      <c r="BE44" s="1028">
        <v>2042</v>
      </c>
      <c r="BH44" s="978" t="s">
        <v>2077</v>
      </c>
      <c r="BJ44" s="1126" t="s">
        <v>1417</v>
      </c>
      <c r="BL44" s="1126" t="s">
        <v>1417</v>
      </c>
      <c r="BN44" s="978" t="s">
        <v>2078</v>
      </c>
    </row>
    <row r="45" spans="1:66" ht="11.25" customHeight="1">
      <c r="A45" s="984" t="s">
        <v>2079</v>
      </c>
      <c r="D45" s="1019" t="s">
        <v>2080</v>
      </c>
      <c r="E45" s="1020" t="s">
        <v>2081</v>
      </c>
      <c r="F45" s="711" t="s">
        <v>2082</v>
      </c>
      <c r="G45" s="710" t="s">
        <v>2083</v>
      </c>
      <c r="H45" s="713" t="s">
        <v>2084</v>
      </c>
      <c r="I45" s="1660" t="b">
        <f>INDEX(PeriodIsEmptyList,MATCH(TEMPLATE_GROUP,CodeTemplateList,0),1)</f>
        <v>0</v>
      </c>
      <c r="J45" s="1663"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8" t="s">
        <v>539</v>
      </c>
      <c r="AZ45" s="1028" t="s">
        <v>1782</v>
      </c>
      <c r="BE45" s="1028">
        <v>2043</v>
      </c>
      <c r="BH45" s="978" t="s">
        <v>2085</v>
      </c>
      <c r="BJ45" s="1126" t="s">
        <v>1411</v>
      </c>
      <c r="BL45" s="1126" t="s">
        <v>1411</v>
      </c>
      <c r="BN45" s="978" t="s">
        <v>2086</v>
      </c>
    </row>
    <row r="46" spans="1:66" ht="11.25" customHeight="1">
      <c r="A46" s="984" t="s">
        <v>2087</v>
      </c>
      <c r="E46" s="336" t="s">
        <v>22</v>
      </c>
      <c r="F46" s="1022" t="s">
        <v>2088</v>
      </c>
      <c r="G46" s="1024"/>
      <c r="H46" s="1024"/>
      <c r="I46" s="1661" t="b">
        <f>IF(TITLE_DATE_FIL="",TRUE,FALSE)</f>
        <v>1</v>
      </c>
      <c r="J46" s="1664" t="str">
        <f>"Общая информация о регулируемой организации ("&amp;TEMPLATE_SPHERE_RUS&amp;")"</f>
        <v>Общая информация о регулируемой организации (холодного водоснабжения)</v>
      </c>
      <c r="K46" s="1665"/>
      <c r="AX46" s="1028" t="s">
        <v>545</v>
      </c>
      <c r="AZ46" s="1028" t="s">
        <v>1806</v>
      </c>
      <c r="BE46" s="1028">
        <v>2044</v>
      </c>
      <c r="BH46" s="978" t="s">
        <v>1420</v>
      </c>
      <c r="BJ46" s="1126" t="s">
        <v>1401</v>
      </c>
      <c r="BL46" s="1126" t="s">
        <v>1401</v>
      </c>
      <c r="BN46" s="978" t="s">
        <v>2089</v>
      </c>
    </row>
    <row r="47" spans="1:66" ht="11.25" customHeight="1">
      <c r="A47" s="984" t="s">
        <v>2090</v>
      </c>
      <c r="E47" s="336" t="s">
        <v>29</v>
      </c>
      <c r="F47" s="1023" t="s">
        <v>2091</v>
      </c>
      <c r="G47" s="1025" t="str">
        <f>IF(f_year="","",IF(LEN(f_quart)=0,"",IF(f_quart="I квартал","01.01."&amp;f_year,IF(f_quart="II квартал","01.04."&amp;f_year,(IF(f_quart="III квартал","01.07."&amp;f_year,"01.10."&amp;f_year))))))</f>
        <v/>
      </c>
      <c r="H47" s="1025" t="str">
        <f>IF(f_year="","",IF(LEN(f_quart)=0,"",IF(f_quart="I квартал","31.03."&amp;f_year,IF(f_quart="II квартал","30.06."&amp;f_year,(IF(f_quart="III квартал","30.09."&amp;f_year,"31.12."&amp;f_year))))))</f>
        <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5"/>
      <c r="AX47" s="1028" t="s">
        <v>551</v>
      </c>
      <c r="AZ47" s="1028" t="s">
        <v>1825</v>
      </c>
      <c r="BE47" s="1028">
        <v>2045</v>
      </c>
      <c r="BH47" s="978" t="s">
        <v>2069</v>
      </c>
      <c r="BJ47" s="1126" t="s">
        <v>1403</v>
      </c>
      <c r="BL47" s="1126" t="s">
        <v>1403</v>
      </c>
      <c r="BN47" s="978" t="s">
        <v>2092</v>
      </c>
    </row>
    <row r="48" spans="1:66" ht="11.25" customHeight="1">
      <c r="A48" s="984" t="s">
        <v>2093</v>
      </c>
      <c r="E48" s="336" t="s">
        <v>2094</v>
      </c>
      <c r="F48" s="1023" t="s">
        <v>2095</v>
      </c>
      <c r="G48" s="1025" t="str">
        <f>IF(f_year="","","01.01."&amp;f_year)</f>
        <v/>
      </c>
      <c r="H48" s="1025" t="str">
        <f>IF(f_year="","","31.12."&amp;f_year)</f>
        <v/>
      </c>
      <c r="I48" s="1661" t="b">
        <f>IF(f_year="",TRUE,FALSE)</f>
        <v>1</v>
      </c>
      <c r="J48" s="1664" t="s">
        <v>2096</v>
      </c>
      <c r="K48" s="1665"/>
      <c r="AX48" s="1028" t="s">
        <v>557</v>
      </c>
      <c r="AZ48" s="1028" t="s">
        <v>1841</v>
      </c>
      <c r="BE48" s="1028">
        <v>2046</v>
      </c>
      <c r="BH48" s="978" t="s">
        <v>2072</v>
      </c>
      <c r="BJ48" s="1126" t="s">
        <v>1405</v>
      </c>
      <c r="BL48" s="1126" t="s">
        <v>1405</v>
      </c>
      <c r="BN48" s="978" t="s">
        <v>2097</v>
      </c>
    </row>
    <row r="49" spans="1:64" ht="11.25" customHeight="1">
      <c r="A49" s="984" t="s">
        <v>2098</v>
      </c>
      <c r="E49" s="336" t="s">
        <v>2099</v>
      </c>
      <c r="F49" s="1023" t="s">
        <v>2100</v>
      </c>
      <c r="G49" s="1025" t="str">
        <f>IF(f_year="","","01.01."&amp;f_year)</f>
        <v/>
      </c>
      <c r="H49" s="1025" t="str">
        <f>IF(f_year="","","31.12."&amp;f_year)</f>
        <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5"/>
      <c r="AX49" s="1028" t="s">
        <v>563</v>
      </c>
      <c r="AZ49" s="1028" t="s">
        <v>1857</v>
      </c>
      <c r="BE49" s="1028">
        <v>2047</v>
      </c>
      <c r="BH49" s="978" t="s">
        <v>1421</v>
      </c>
      <c r="BJ49" s="1126" t="s">
        <v>1407</v>
      </c>
      <c r="BL49" s="1126" t="s">
        <v>1407</v>
      </c>
    </row>
    <row r="50" spans="1:64" ht="11.25" customHeight="1">
      <c r="A50" s="984" t="s">
        <v>2101</v>
      </c>
      <c r="E50" s="336" t="s">
        <v>2102</v>
      </c>
      <c r="F50" s="1023" t="s">
        <v>1391</v>
      </c>
      <c r="G50" s="1025" t="str">
        <f>IF(f_year="","","01.01."&amp;f_year)</f>
        <v/>
      </c>
      <c r="H50" s="1025" t="str">
        <f>IF(f_year="","","31.12."&amp;f_year)</f>
        <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5"/>
      <c r="AX50" s="1028" t="s">
        <v>569</v>
      </c>
      <c r="AZ50" s="1028" t="s">
        <v>1873</v>
      </c>
      <c r="BE50" s="1028">
        <v>2048</v>
      </c>
      <c r="BH50" s="978" t="s">
        <v>2078</v>
      </c>
      <c r="BJ50" s="1126" t="s">
        <v>1409</v>
      </c>
      <c r="BL50" s="1126" t="s">
        <v>1409</v>
      </c>
    </row>
    <row r="51" spans="1:64" ht="11.25" customHeight="1">
      <c r="A51" s="984" t="s">
        <v>2103</v>
      </c>
      <c r="E51" s="336" t="s">
        <v>2104</v>
      </c>
      <c r="F51" s="1023" t="s">
        <v>2081</v>
      </c>
      <c r="G51" s="1025">
        <f>IF(TITLE_PERIOD_START="","",TITLE_PERIOD_START)</f>
        <v>45292.411493055559</v>
      </c>
      <c r="H51" s="1025">
        <f>IF(TITLE_PERIOD_END="","",TITLE_PERIOD_END)</f>
        <v>45657.411689814813</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28" t="s">
        <v>575</v>
      </c>
      <c r="AZ51" s="1028" t="s">
        <v>1889</v>
      </c>
      <c r="BE51" s="1028">
        <v>2049</v>
      </c>
      <c r="BH51" s="978" t="s">
        <v>2086</v>
      </c>
      <c r="BJ51" s="1126" t="s">
        <v>2105</v>
      </c>
      <c r="BL51" s="1126" t="s">
        <v>2105</v>
      </c>
    </row>
    <row r="52" spans="1:64" ht="11.25" customHeight="1">
      <c r="A52" s="984" t="s">
        <v>2106</v>
      </c>
      <c r="E52" s="336" t="s">
        <v>2107</v>
      </c>
      <c r="F52" s="1023" t="s">
        <v>2108</v>
      </c>
      <c r="G52" s="1025">
        <f>IF(TITLE_PERIOD_START="","",TITLE_PERIOD_START)</f>
        <v>45292.411493055559</v>
      </c>
      <c r="H52" s="1025">
        <f>IF(TITLE_PERIOD_END="","",TITLE_PERIOD_END)</f>
        <v>45657.411689814813</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5"/>
      <c r="AX52" s="1028" t="s">
        <v>581</v>
      </c>
      <c r="AZ52" s="1028" t="s">
        <v>1687</v>
      </c>
      <c r="BE52" s="1028">
        <v>2050</v>
      </c>
      <c r="BH52" s="978" t="s">
        <v>2089</v>
      </c>
      <c r="BJ52" s="1126" t="s">
        <v>1420</v>
      </c>
      <c r="BL52" s="1126" t="s">
        <v>1420</v>
      </c>
    </row>
    <row r="53" spans="1:64" ht="11.25" customHeight="1">
      <c r="A53" s="984" t="s">
        <v>2109</v>
      </c>
      <c r="E53" s="336" t="s">
        <v>2110</v>
      </c>
      <c r="F53" s="1023" t="s">
        <v>2110</v>
      </c>
      <c r="G53" s="1025" t="str">
        <f>IF(f_year="","","01.01."&amp;f_year)</f>
        <v/>
      </c>
      <c r="H53" s="1025" t="str">
        <f>IF(f_year="","","31.12."&amp;f_year)</f>
        <v/>
      </c>
      <c r="I53" s="1661" t="b">
        <f>IF(AND(f_year="",TITLE_DATE_FIL=""),TRUE,FALSE)</f>
        <v>1</v>
      </c>
      <c r="J53" s="1664" t="s">
        <v>2111</v>
      </c>
      <c r="K53" s="1665"/>
      <c r="AX53" s="1028" t="s">
        <v>587</v>
      </c>
      <c r="BE53" s="1028">
        <v>2051</v>
      </c>
      <c r="BH53" s="978" t="s">
        <v>2092</v>
      </c>
      <c r="BJ53" s="1126" t="s">
        <v>2069</v>
      </c>
      <c r="BL53" s="1126" t="s">
        <v>2069</v>
      </c>
    </row>
    <row r="54" spans="1:64" ht="11.25" customHeight="1">
      <c r="A54" s="984" t="s">
        <v>2112</v>
      </c>
      <c r="AX54" s="1028" t="s">
        <v>593</v>
      </c>
      <c r="AZ54" s="977" t="s">
        <v>2113</v>
      </c>
      <c r="BE54" s="1028">
        <v>2052</v>
      </c>
      <c r="BH54" s="978" t="s">
        <v>2097</v>
      </c>
      <c r="BJ54" s="1126" t="s">
        <v>2072</v>
      </c>
      <c r="BL54" s="1126" t="s">
        <v>2072</v>
      </c>
    </row>
    <row r="55" spans="1:64" ht="11.25" customHeight="1">
      <c r="A55" s="984" t="s">
        <v>2114</v>
      </c>
      <c r="AX55" s="1028" t="s">
        <v>599</v>
      </c>
      <c r="AZ55" s="1028" t="s">
        <v>1689</v>
      </c>
      <c r="BE55" s="1028">
        <v>2053</v>
      </c>
      <c r="BH55" s="980" t="s">
        <v>24</v>
      </c>
      <c r="BJ55" s="1126" t="s">
        <v>1421</v>
      </c>
      <c r="BL55" s="1126" t="s">
        <v>1421</v>
      </c>
    </row>
    <row r="56" spans="1:64" ht="11.25" customHeight="1">
      <c r="A56" s="984" t="s">
        <v>2115</v>
      </c>
      <c r="D56" s="1027" t="s">
        <v>2116</v>
      </c>
      <c r="E56" s="1004">
        <v>75</v>
      </c>
      <c r="F56" s="984" t="s">
        <v>2117</v>
      </c>
      <c r="AX56" s="1028" t="s">
        <v>605</v>
      </c>
      <c r="AZ56" s="1028" t="s">
        <v>1717</v>
      </c>
      <c r="BE56" s="1028">
        <v>2054</v>
      </c>
      <c r="BH56" s="980" t="s">
        <v>24</v>
      </c>
      <c r="BJ56" s="1126" t="s">
        <v>2078</v>
      </c>
      <c r="BL56" s="1126" t="s">
        <v>2078</v>
      </c>
    </row>
    <row r="57" spans="1:64" ht="11.25" customHeight="1">
      <c r="A57" s="984" t="s">
        <v>2118</v>
      </c>
      <c r="D57" s="1027" t="s">
        <v>2119</v>
      </c>
      <c r="E57" s="1004">
        <v>66</v>
      </c>
      <c r="F57" s="984" t="s">
        <v>2117</v>
      </c>
      <c r="AX57" s="1028" t="s">
        <v>611</v>
      </c>
      <c r="AZ57" s="1028" t="s">
        <v>1752</v>
      </c>
      <c r="BE57" s="1028">
        <v>2055</v>
      </c>
      <c r="BJ57" s="1126" t="s">
        <v>2086</v>
      </c>
      <c r="BL57" s="1126" t="s">
        <v>2086</v>
      </c>
    </row>
    <row r="58" spans="1:64" ht="11.25" customHeight="1">
      <c r="A58" s="984" t="s">
        <v>2120</v>
      </c>
      <c r="D58" s="1027" t="s">
        <v>2121</v>
      </c>
      <c r="E58" s="1004">
        <v>44</v>
      </c>
      <c r="F58" s="984" t="s">
        <v>2117</v>
      </c>
      <c r="AX58" s="1028" t="s">
        <v>617</v>
      </c>
      <c r="BE58" s="1028">
        <v>2056</v>
      </c>
      <c r="BJ58" s="1126" t="s">
        <v>2089</v>
      </c>
      <c r="BL58" s="1126" t="s">
        <v>2089</v>
      </c>
    </row>
    <row r="59" spans="1:64" ht="11.25" customHeight="1">
      <c r="A59" s="984" t="s">
        <v>2122</v>
      </c>
      <c r="D59" s="1027" t="s">
        <v>219</v>
      </c>
      <c r="E59" s="1004" t="s">
        <v>185</v>
      </c>
      <c r="F59" s="984" t="s">
        <v>2123</v>
      </c>
      <c r="AX59" s="1028" t="s">
        <v>623</v>
      </c>
      <c r="AZ59" s="977" t="s">
        <v>2124</v>
      </c>
      <c r="BE59" s="1028">
        <v>2057</v>
      </c>
      <c r="BJ59" s="1126" t="s">
        <v>2092</v>
      </c>
      <c r="BL59" s="1126" t="s">
        <v>2092</v>
      </c>
    </row>
    <row r="60" spans="1:64" ht="11.25" customHeight="1">
      <c r="A60" s="984" t="s">
        <v>2125</v>
      </c>
      <c r="D60" s="1027" t="s">
        <v>2126</v>
      </c>
      <c r="E60" s="1004" t="s">
        <v>185</v>
      </c>
      <c r="F60" s="984" t="s">
        <v>2123</v>
      </c>
      <c r="AX60" s="1028" t="s">
        <v>629</v>
      </c>
      <c r="AZ60" s="1028" t="s">
        <v>1690</v>
      </c>
      <c r="BE60" s="1028">
        <v>2058</v>
      </c>
      <c r="BJ60" s="1126" t="s">
        <v>2097</v>
      </c>
      <c r="BL60" s="1126" t="s">
        <v>2097</v>
      </c>
    </row>
    <row r="61" spans="1:64" ht="11.25" customHeight="1">
      <c r="A61" s="984" t="s">
        <v>2127</v>
      </c>
      <c r="D61" s="1027" t="s">
        <v>2128</v>
      </c>
      <c r="E61" s="1004">
        <v>95</v>
      </c>
      <c r="F61" s="984" t="s">
        <v>2123</v>
      </c>
      <c r="AX61" s="1028" t="s">
        <v>635</v>
      </c>
      <c r="AZ61" s="1028" t="s">
        <v>1718</v>
      </c>
      <c r="BE61" s="1028">
        <v>2059</v>
      </c>
      <c r="BL61" s="1126" t="s">
        <v>1413</v>
      </c>
    </row>
    <row r="62" spans="1:64" ht="11.25" customHeight="1">
      <c r="A62" s="984" t="s">
        <v>2129</v>
      </c>
      <c r="D62" s="1027" t="s">
        <v>218</v>
      </c>
      <c r="E62" s="1004">
        <v>99</v>
      </c>
      <c r="F62" s="984" t="s">
        <v>2123</v>
      </c>
      <c r="AZ62" s="1028" t="s">
        <v>1753</v>
      </c>
      <c r="BE62" s="1028">
        <v>2060</v>
      </c>
      <c r="BL62" s="1126" t="s">
        <v>1415</v>
      </c>
    </row>
    <row r="63" spans="1:64" ht="11.25" customHeight="1">
      <c r="A63" s="984" t="s">
        <v>2130</v>
      </c>
      <c r="D63" s="1027" t="s">
        <v>2131</v>
      </c>
      <c r="E63" s="1004">
        <v>99</v>
      </c>
      <c r="F63" s="984" t="s">
        <v>2123</v>
      </c>
      <c r="AZ63" s="1028" t="s">
        <v>1784</v>
      </c>
      <c r="BE63" s="1028">
        <v>2061</v>
      </c>
    </row>
    <row r="64" spans="1:64" ht="11.25" customHeight="1">
      <c r="A64" s="984" t="s">
        <v>2132</v>
      </c>
      <c r="D64" s="1027" t="s">
        <v>2133</v>
      </c>
      <c r="E64" s="1004">
        <v>99</v>
      </c>
      <c r="F64" s="984" t="s">
        <v>2123</v>
      </c>
      <c r="AZ64" s="1028" t="s">
        <v>1807</v>
      </c>
      <c r="BE64" s="1028">
        <v>2062</v>
      </c>
    </row>
    <row r="65" spans="1:66" ht="11.25" customHeight="1">
      <c r="A65" s="984" t="s">
        <v>2134</v>
      </c>
      <c r="D65" s="984"/>
      <c r="BE65" s="1028">
        <v>2063</v>
      </c>
    </row>
    <row r="66" spans="1:66" ht="11.25" customHeight="1">
      <c r="A66" s="984" t="s">
        <v>2135</v>
      </c>
      <c r="AZ66" s="977" t="s">
        <v>2136</v>
      </c>
      <c r="BE66" s="1028">
        <v>2064</v>
      </c>
    </row>
    <row r="67" spans="1:66" ht="11.25" customHeight="1">
      <c r="A67" s="984" t="s">
        <v>2137</v>
      </c>
      <c r="AZ67" s="1028" t="s">
        <v>1691</v>
      </c>
      <c r="BE67" s="1028">
        <v>2065</v>
      </c>
    </row>
    <row r="68" spans="1:66" ht="11.25" customHeight="1">
      <c r="A68" s="984" t="s">
        <v>2138</v>
      </c>
      <c r="AZ68" s="1028" t="s">
        <v>1719</v>
      </c>
      <c r="BE68" s="1028">
        <v>2066</v>
      </c>
      <c r="BH68" s="977" t="s">
        <v>2139</v>
      </c>
      <c r="BJ68" s="977" t="s">
        <v>2140</v>
      </c>
      <c r="BL68" s="977" t="s">
        <v>2141</v>
      </c>
      <c r="BN68" s="977" t="s">
        <v>2142</v>
      </c>
    </row>
    <row r="69" spans="1:66" ht="11.25" customHeight="1">
      <c r="A69" s="984" t="s">
        <v>2143</v>
      </c>
      <c r="AZ69" s="1028" t="s">
        <v>1754</v>
      </c>
      <c r="BE69" s="1028">
        <v>2067</v>
      </c>
      <c r="BH69" s="978" t="s">
        <v>2144</v>
      </c>
      <c r="BI69" s="1026" t="s">
        <v>95</v>
      </c>
      <c r="BJ69" s="978" t="s">
        <v>2145</v>
      </c>
      <c r="BK69" s="1026" t="s">
        <v>95</v>
      </c>
      <c r="BL69" s="978" t="s">
        <v>2146</v>
      </c>
      <c r="BN69" s="978" t="s">
        <v>2147</v>
      </c>
    </row>
    <row r="70" spans="1:66" ht="11.25" customHeight="1">
      <c r="A70" s="984" t="s">
        <v>2148</v>
      </c>
      <c r="AZ70" s="1028" t="s">
        <v>1785</v>
      </c>
      <c r="BE70" s="1028">
        <v>2068</v>
      </c>
      <c r="BH70" s="978" t="s">
        <v>2149</v>
      </c>
      <c r="BJ70" s="978" t="s">
        <v>2150</v>
      </c>
      <c r="BL70" s="978" t="s">
        <v>2151</v>
      </c>
      <c r="BN70" s="978" t="s">
        <v>2152</v>
      </c>
    </row>
    <row r="71" spans="1:66" ht="11.25" customHeight="1">
      <c r="A71" s="984" t="s">
        <v>2153</v>
      </c>
      <c r="AZ71" s="1028" t="s">
        <v>1787</v>
      </c>
      <c r="BE71" s="1028">
        <v>2069</v>
      </c>
      <c r="BH71" s="978" t="s">
        <v>2154</v>
      </c>
      <c r="BI71" s="1026" t="s">
        <v>86</v>
      </c>
      <c r="BJ71" s="978" t="s">
        <v>2155</v>
      </c>
      <c r="BK71" s="1026" t="s">
        <v>86</v>
      </c>
      <c r="BL71" s="978" t="s">
        <v>2156</v>
      </c>
      <c r="BN71" s="978" t="s">
        <v>2157</v>
      </c>
    </row>
    <row r="72" spans="1:66" ht="11.25" customHeight="1">
      <c r="A72" s="984" t="s">
        <v>2158</v>
      </c>
      <c r="AZ72" s="1028" t="s">
        <v>53</v>
      </c>
      <c r="BE72" s="1028">
        <v>2070</v>
      </c>
      <c r="BH72" s="978" t="s">
        <v>2159</v>
      </c>
      <c r="BJ72" s="978" t="s">
        <v>2159</v>
      </c>
      <c r="BL72" s="978" t="s">
        <v>2159</v>
      </c>
      <c r="BN72" s="978" t="s">
        <v>2160</v>
      </c>
    </row>
    <row r="73" spans="1:66" ht="11.25" customHeight="1">
      <c r="A73" s="984" t="s">
        <v>2161</v>
      </c>
      <c r="BH73" s="978" t="s">
        <v>2162</v>
      </c>
      <c r="BI73" s="1026" t="s">
        <v>113</v>
      </c>
      <c r="BJ73" s="978" t="s">
        <v>2163</v>
      </c>
      <c r="BK73" s="1026" t="s">
        <v>113</v>
      </c>
      <c r="BL73" s="978" t="s">
        <v>2164</v>
      </c>
      <c r="BN73" s="978" t="s">
        <v>2165</v>
      </c>
    </row>
    <row r="74" spans="1:66" ht="11.25" customHeight="1">
      <c r="A74" s="984" t="s">
        <v>2166</v>
      </c>
      <c r="BH74" s="978" t="s">
        <v>2167</v>
      </c>
      <c r="BJ74" s="978" t="s">
        <v>2168</v>
      </c>
      <c r="BL74" s="978" t="s">
        <v>2169</v>
      </c>
      <c r="BN74" s="978" t="s">
        <v>2170</v>
      </c>
    </row>
    <row r="75" spans="1:66" ht="11.25" customHeight="1">
      <c r="A75" s="984" t="s">
        <v>14</v>
      </c>
      <c r="AZ75" s="977" t="s">
        <v>2171</v>
      </c>
      <c r="BH75" s="978" t="s">
        <v>2172</v>
      </c>
      <c r="BJ75" s="978" t="s">
        <v>2172</v>
      </c>
      <c r="BL75" s="978" t="s">
        <v>2172</v>
      </c>
    </row>
    <row r="76" spans="1:66" ht="11.25" customHeight="1">
      <c r="A76" s="984" t="s">
        <v>2173</v>
      </c>
      <c r="AZ76" s="1028" t="s">
        <v>1700</v>
      </c>
      <c r="BH76" s="978" t="s">
        <v>2174</v>
      </c>
      <c r="BJ76" s="978" t="s">
        <v>2175</v>
      </c>
      <c r="BL76" s="978" t="s">
        <v>2176</v>
      </c>
    </row>
    <row r="77" spans="1:66" ht="11.25" customHeight="1">
      <c r="A77" s="984" t="s">
        <v>2177</v>
      </c>
      <c r="AZ77" s="1028" t="s">
        <v>1729</v>
      </c>
    </row>
    <row r="78" spans="1:66" ht="11.25" customHeight="1">
      <c r="A78" s="984" t="s">
        <v>2178</v>
      </c>
      <c r="AZ78" s="1028" t="s">
        <v>1761</v>
      </c>
    </row>
    <row r="79" spans="1:66" ht="11.25" customHeight="1">
      <c r="A79" s="984" t="s">
        <v>2179</v>
      </c>
      <c r="AZ79" s="1028" t="s">
        <v>1791</v>
      </c>
      <c r="BH79" s="977" t="s">
        <v>2180</v>
      </c>
      <c r="BJ79" s="977" t="s">
        <v>2181</v>
      </c>
      <c r="BL79" s="977" t="s">
        <v>2182</v>
      </c>
    </row>
    <row r="80" spans="1:66" ht="11.25" customHeight="1">
      <c r="A80" s="984" t="s">
        <v>2183</v>
      </c>
      <c r="AZ80" s="1028" t="s">
        <v>1812</v>
      </c>
      <c r="BH80" s="978" t="s">
        <v>2184</v>
      </c>
      <c r="BJ80" s="978" t="s">
        <v>2185</v>
      </c>
      <c r="BL80" s="978" t="s">
        <v>2186</v>
      </c>
    </row>
    <row r="81" spans="1:66" ht="11.25" customHeight="1">
      <c r="A81" s="984" t="s">
        <v>2187</v>
      </c>
      <c r="AZ81" s="1028" t="s">
        <v>1829</v>
      </c>
      <c r="BH81" s="978" t="s">
        <v>2188</v>
      </c>
      <c r="BJ81" s="978" t="s">
        <v>2189</v>
      </c>
      <c r="BL81" s="978" t="s">
        <v>2190</v>
      </c>
    </row>
    <row r="82" spans="1:66" ht="11.25" customHeight="1">
      <c r="A82" s="984" t="s">
        <v>2191</v>
      </c>
      <c r="AZ82" s="1028" t="s">
        <v>1843</v>
      </c>
      <c r="BH82" s="978" t="s">
        <v>2192</v>
      </c>
      <c r="BJ82" s="978" t="s">
        <v>2193</v>
      </c>
      <c r="BL82" s="978" t="s">
        <v>2194</v>
      </c>
    </row>
    <row r="83" spans="1:66" ht="11.25" customHeight="1">
      <c r="A83" s="984" t="s">
        <v>2195</v>
      </c>
      <c r="BH83" s="978" t="s">
        <v>2196</v>
      </c>
      <c r="BJ83" s="978" t="s">
        <v>2197</v>
      </c>
      <c r="BL83" s="978" t="s">
        <v>2198</v>
      </c>
    </row>
    <row r="84" spans="1:66" ht="11.25" customHeight="1">
      <c r="A84" s="984" t="s">
        <v>2199</v>
      </c>
      <c r="AZ84" s="977" t="s">
        <v>2200</v>
      </c>
    </row>
    <row r="85" spans="1:66" ht="11.25" customHeight="1">
      <c r="A85" s="1789" t="s">
        <v>2201</v>
      </c>
      <c r="AZ85" s="1028" t="s">
        <v>2202</v>
      </c>
    </row>
    <row r="86" spans="1:66" ht="11.25" customHeight="1">
      <c r="A86" s="984" t="s">
        <v>2203</v>
      </c>
      <c r="AZ86" s="1028" t="s">
        <v>2204</v>
      </c>
      <c r="BH86" s="977" t="s">
        <v>2205</v>
      </c>
      <c r="BJ86" s="977" t="s">
        <v>2206</v>
      </c>
      <c r="BL86" s="977" t="s">
        <v>2207</v>
      </c>
    </row>
    <row r="87" spans="1:66" ht="11.25" customHeight="1">
      <c r="A87" s="984" t="s">
        <v>2208</v>
      </c>
      <c r="AZ87" s="1028" t="s">
        <v>2209</v>
      </c>
      <c r="BH87" s="978" t="s">
        <v>2210</v>
      </c>
      <c r="BJ87" s="978" t="s">
        <v>2211</v>
      </c>
      <c r="BL87" s="978" t="s">
        <v>2212</v>
      </c>
    </row>
    <row r="88" spans="1:66" ht="11.25" customHeight="1">
      <c r="A88" s="984" t="s">
        <v>2213</v>
      </c>
      <c r="AZ88"/>
      <c r="BH88" s="978" t="s">
        <v>2214</v>
      </c>
      <c r="BJ88" s="978" t="s">
        <v>2215</v>
      </c>
      <c r="BL88" s="978" t="s">
        <v>2216</v>
      </c>
    </row>
    <row r="89" spans="1:66" ht="11.25" customHeight="1">
      <c r="A89" s="984" t="s">
        <v>2217</v>
      </c>
      <c r="AZ89" s="977" t="s">
        <v>2218</v>
      </c>
    </row>
    <row r="90" spans="1:66" ht="11.25" customHeight="1">
      <c r="A90" s="984" t="s">
        <v>2219</v>
      </c>
      <c r="AZ90" s="1028" t="s">
        <v>1391</v>
      </c>
    </row>
    <row r="91" spans="1:66" ht="11.25" customHeight="1">
      <c r="A91" s="984" t="s">
        <v>2220</v>
      </c>
      <c r="AZ91" s="1028" t="s">
        <v>1427</v>
      </c>
      <c r="BH91" s="977" t="s">
        <v>2221</v>
      </c>
      <c r="BJ91" s="977" t="s">
        <v>2222</v>
      </c>
      <c r="BL91" s="977" t="s">
        <v>2223</v>
      </c>
    </row>
    <row r="92" spans="1:66" ht="11.25" customHeight="1">
      <c r="AZ92" s="1028" t="s">
        <v>2224</v>
      </c>
      <c r="BH92" s="978" t="s">
        <v>2225</v>
      </c>
      <c r="BJ92" s="978" t="s">
        <v>2226</v>
      </c>
      <c r="BL92" s="978" t="s">
        <v>2227</v>
      </c>
    </row>
    <row r="93" spans="1:66" ht="11.25" customHeight="1">
      <c r="AZ93" s="1028" t="s">
        <v>2228</v>
      </c>
      <c r="BH93" s="978" t="s">
        <v>2229</v>
      </c>
      <c r="BJ93" s="978" t="s">
        <v>2230</v>
      </c>
      <c r="BL93" s="978" t="s">
        <v>2231</v>
      </c>
    </row>
    <row r="94" spans="1:66" ht="11.25" customHeight="1">
      <c r="AZ94" s="1028" t="s">
        <v>2232</v>
      </c>
    </row>
    <row r="96" spans="1:66" ht="11.25" customHeight="1">
      <c r="AZ96" s="977" t="s">
        <v>2233</v>
      </c>
      <c r="BH96" s="977" t="s">
        <v>2234</v>
      </c>
      <c r="BJ96" s="977" t="s">
        <v>2235</v>
      </c>
      <c r="BL96" s="977" t="s">
        <v>2236</v>
      </c>
      <c r="BN96" s="977" t="s">
        <v>2237</v>
      </c>
    </row>
    <row r="97" spans="52:66" ht="11.25" customHeight="1">
      <c r="AZ97" s="1028" t="s">
        <v>2238</v>
      </c>
      <c r="BH97" s="978" t="s">
        <v>2239</v>
      </c>
      <c r="BJ97" s="978" t="s">
        <v>2240</v>
      </c>
      <c r="BL97" s="978" t="s">
        <v>2241</v>
      </c>
      <c r="BN97" s="978" t="s">
        <v>2242</v>
      </c>
    </row>
    <row r="98" spans="52:66" ht="11.25" customHeight="1">
      <c r="AZ98" s="1028" t="s">
        <v>2243</v>
      </c>
      <c r="BH98" s="978" t="s">
        <v>2244</v>
      </c>
      <c r="BJ98" s="978" t="s">
        <v>2245</v>
      </c>
      <c r="BL98" s="978" t="s">
        <v>2246</v>
      </c>
      <c r="BN98" s="978" t="s">
        <v>2247</v>
      </c>
    </row>
    <row r="99" spans="52:66" ht="11.25" customHeight="1">
      <c r="AZ99" s="1028" t="s">
        <v>2248</v>
      </c>
      <c r="BH99" s="978" t="s">
        <v>2249</v>
      </c>
      <c r="BJ99" s="978" t="s">
        <v>2250</v>
      </c>
      <c r="BL99" s="978" t="s">
        <v>2251</v>
      </c>
      <c r="BN99" s="978" t="s">
        <v>2252</v>
      </c>
    </row>
    <row r="100" spans="52:66" ht="11.25" customHeight="1">
      <c r="BJ100" s="978" t="s">
        <v>1889</v>
      </c>
      <c r="BL100" s="978" t="s">
        <v>1889</v>
      </c>
      <c r="BN100" s="978" t="s">
        <v>2253</v>
      </c>
    </row>
    <row r="101" spans="52:66" ht="11.25" customHeight="1">
      <c r="AZ101" s="1611" t="s">
        <v>2254</v>
      </c>
      <c r="BN101" s="978" t="s">
        <v>2255</v>
      </c>
    </row>
    <row r="102" spans="52:66" ht="11.25" customHeight="1">
      <c r="AZ102" s="1028" t="s">
        <v>2256</v>
      </c>
      <c r="BN102" s="978" t="s">
        <v>2257</v>
      </c>
    </row>
    <row r="103" spans="52:66" ht="11.25" customHeight="1">
      <c r="AZ103" s="1028" t="s">
        <v>2258</v>
      </c>
      <c r="BN103" s="978" t="s">
        <v>2259</v>
      </c>
    </row>
    <row r="104" spans="52:66" ht="11.25" customHeight="1">
      <c r="AZ104" s="1028" t="s">
        <v>1029</v>
      </c>
      <c r="BN104" s="978" t="s">
        <v>2260</v>
      </c>
    </row>
    <row r="107" spans="52:66" ht="11.25" customHeight="1">
      <c r="BH107" s="977" t="s">
        <v>2261</v>
      </c>
      <c r="BJ107" s="977" t="s">
        <v>2262</v>
      </c>
      <c r="BL107" s="977" t="s">
        <v>2263</v>
      </c>
      <c r="BN107" s="977" t="s">
        <v>2264</v>
      </c>
    </row>
    <row r="108" spans="52:66" ht="11.25" customHeight="1">
      <c r="BH108" s="978" t="s">
        <v>2265</v>
      </c>
      <c r="BJ108" s="978" t="s">
        <v>2266</v>
      </c>
      <c r="BL108" s="978" t="s">
        <v>1970</v>
      </c>
      <c r="BN108" s="978" t="s">
        <v>2267</v>
      </c>
    </row>
    <row r="109" spans="52:66" ht="11.25" customHeight="1">
      <c r="BH109" s="978" t="s">
        <v>2268</v>
      </c>
    </row>
    <row r="110" spans="52:66" ht="11.25" customHeight="1">
      <c r="BH110" s="978" t="s">
        <v>2268</v>
      </c>
    </row>
    <row r="114" spans="60:60" ht="11.25" customHeight="1">
      <c r="BH114" s="977" t="s">
        <v>2269</v>
      </c>
    </row>
    <row r="115" spans="60:60" ht="11.25" customHeight="1">
      <c r="BH115" s="978" t="s">
        <v>1687</v>
      </c>
    </row>
    <row r="116" spans="60:60" ht="11.25" customHeight="1">
      <c r="BH116" s="978" t="s">
        <v>1715</v>
      </c>
    </row>
    <row r="117" spans="60:60" ht="11.25" customHeight="1">
      <c r="BH117" s="978" t="s">
        <v>1750</v>
      </c>
    </row>
    <row r="118" spans="60:60" ht="11.25" customHeight="1">
      <c r="BH118" s="978" t="s">
        <v>1783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4"/>
    <col min="2" max="2" width="43.140625" style="754" hidden="1"/>
    <col min="3" max="3" width="43.140625" style="754"/>
    <col min="4" max="5" width="36.42578125" style="754" customWidth="1"/>
    <col min="6" max="8" width="36.42578125" style="892" customWidth="1"/>
  </cols>
  <sheetData>
    <row r="1" spans="1:8" ht="9" customHeight="1">
      <c r="A1" s="760" t="s">
        <v>2270</v>
      </c>
      <c r="B1" s="760"/>
      <c r="C1" s="893" t="s">
        <v>2271</v>
      </c>
      <c r="D1" s="891" t="s">
        <v>1180</v>
      </c>
      <c r="E1" s="891" t="s">
        <v>1226</v>
      </c>
      <c r="F1" s="891" t="s">
        <v>1278</v>
      </c>
      <c r="G1" s="891" t="s">
        <v>1264</v>
      </c>
      <c r="H1" s="891" t="s">
        <v>2065</v>
      </c>
    </row>
    <row r="2" spans="1:8" ht="9" customHeight="1">
      <c r="A2" s="894" t="s">
        <v>2272</v>
      </c>
      <c r="B2" s="894"/>
      <c r="C2" s="895" t="str">
        <f>INDEX(TEMPLATE_NUMBER_FORM_LIST,MATCH(TEMPLATE_SPHERE,TEMPLATE_SPHERE_LIST,0))</f>
        <v>10</v>
      </c>
      <c r="D2" s="894" t="s">
        <v>165</v>
      </c>
      <c r="E2" s="894" t="s">
        <v>136</v>
      </c>
      <c r="F2" s="896" t="s">
        <v>136</v>
      </c>
      <c r="G2" s="894" t="s">
        <v>136</v>
      </c>
      <c r="H2" s="897"/>
    </row>
    <row r="3" spans="1:8" ht="63" customHeight="1">
      <c r="A3" s="760"/>
      <c r="B3" s="760" t="s">
        <v>95</v>
      </c>
      <c r="C3" s="89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95" t="s">
        <v>2273</v>
      </c>
      <c r="E3" s="89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96"/>
      <c r="G3" s="897"/>
      <c r="H3" s="760"/>
    </row>
    <row r="4" spans="1:8" ht="243" customHeight="1">
      <c r="A4" s="760" t="s">
        <v>2274</v>
      </c>
      <c r="B4" s="760" t="s">
        <v>99</v>
      </c>
      <c r="C4" s="895" t="str">
        <f>IF(TEMPLATE_SPHERE="HEAT",D4,IF(TEMPLATE_SPHERE="TKO",H4,E4))</f>
        <v>Форма 1. Информация об организации, осуществляющей холодное водоснабжение (общая информация)</v>
      </c>
      <c r="D4" s="894" t="s">
        <v>2275</v>
      </c>
      <c r="E4" s="89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94"/>
      <c r="G4" s="894"/>
      <c r="H4" s="760" t="s">
        <v>2276</v>
      </c>
    </row>
    <row r="5" spans="1:8" ht="117" customHeight="1">
      <c r="A5" s="760" t="s">
        <v>2277</v>
      </c>
      <c r="B5" s="760" t="s">
        <v>86</v>
      </c>
      <c r="C5" s="89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60" t="s">
        <v>2278</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97"/>
      <c r="G5" s="897"/>
      <c r="H5" s="760" t="s">
        <v>2279</v>
      </c>
    </row>
    <row r="6" spans="1:8" ht="45" customHeight="1">
      <c r="A6" s="760" t="s">
        <v>2280</v>
      </c>
      <c r="B6" s="760" t="s">
        <v>87</v>
      </c>
      <c r="C6" s="89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0" t="s">
        <v>2281</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60"/>
      <c r="G6" s="760"/>
      <c r="H6" s="897"/>
    </row>
    <row r="7" spans="1:8" ht="45" customHeight="1">
      <c r="A7" s="760" t="s">
        <v>2282</v>
      </c>
      <c r="B7" s="760" t="s">
        <v>113</v>
      </c>
      <c r="C7" s="89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0" t="s">
        <v>2283</v>
      </c>
      <c r="E7" s="760" t="s">
        <v>2284</v>
      </c>
      <c r="F7" s="897"/>
      <c r="G7" s="897"/>
      <c r="H7" s="897"/>
    </row>
    <row r="8" spans="1:8" ht="108" customHeight="1">
      <c r="A8" s="760" t="s">
        <v>2285</v>
      </c>
      <c r="B8" s="760" t="s">
        <v>88</v>
      </c>
      <c r="C8" s="89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0" t="s">
        <v>2286</v>
      </c>
      <c r="E8" s="760" t="s">
        <v>2287</v>
      </c>
      <c r="F8" s="897"/>
      <c r="G8" s="897"/>
      <c r="H8" s="897"/>
    </row>
    <row r="9" spans="1:8" ht="99" customHeight="1">
      <c r="A9" s="760" t="s">
        <v>2288</v>
      </c>
      <c r="B9" s="760"/>
      <c r="C9" s="760" t="s">
        <v>2289</v>
      </c>
      <c r="D9" s="760"/>
      <c r="E9" s="760"/>
      <c r="F9" s="897"/>
      <c r="G9" s="897"/>
      <c r="H9" s="897"/>
    </row>
    <row r="10" spans="1:8" ht="126" customHeight="1">
      <c r="A10" s="760" t="s">
        <v>2290</v>
      </c>
      <c r="B10" s="760"/>
      <c r="C10" s="760" t="s">
        <v>2291</v>
      </c>
      <c r="D10" s="760"/>
      <c r="E10" s="760"/>
      <c r="F10" s="897"/>
      <c r="G10" s="897"/>
      <c r="H10" s="897"/>
    </row>
    <row r="11" spans="1:8" ht="108" customHeight="1">
      <c r="A11" s="760" t="s">
        <v>2292</v>
      </c>
      <c r="B11" s="760"/>
      <c r="C11" s="760" t="s">
        <v>2293</v>
      </c>
      <c r="D11" s="760"/>
      <c r="E11" s="760"/>
      <c r="F11" s="897"/>
      <c r="G11" s="897"/>
      <c r="H11" s="897"/>
    </row>
    <row r="12" spans="1:8" ht="54" customHeight="1">
      <c r="A12" s="760" t="s">
        <v>2294</v>
      </c>
      <c r="B12" s="760"/>
      <c r="C12" s="760" t="s">
        <v>2295</v>
      </c>
      <c r="D12" s="760"/>
      <c r="E12" s="760"/>
      <c r="F12" s="897"/>
      <c r="G12" s="897"/>
      <c r="H12" s="897"/>
    </row>
    <row r="13" spans="1:8" ht="45" customHeight="1">
      <c r="A13" s="760" t="s">
        <v>2296</v>
      </c>
      <c r="B13" s="760"/>
      <c r="C13" s="760" t="s">
        <v>2297</v>
      </c>
      <c r="D13" s="760"/>
      <c r="E13" s="760"/>
      <c r="F13" s="897"/>
      <c r="G13" s="897"/>
      <c r="H13" s="897"/>
    </row>
    <row r="14" spans="1:8" ht="117" customHeight="1">
      <c r="A14" s="760" t="s">
        <v>2298</v>
      </c>
      <c r="B14" s="760"/>
      <c r="C14" s="760" t="s">
        <v>2299</v>
      </c>
      <c r="D14" s="760"/>
      <c r="E14" s="760"/>
      <c r="F14" s="897"/>
      <c r="G14" s="897"/>
      <c r="H14" s="897"/>
    </row>
    <row r="15" spans="1:8" ht="117" customHeight="1">
      <c r="A15" s="760" t="s">
        <v>2300</v>
      </c>
      <c r="B15" s="760"/>
      <c r="C15" s="760" t="s">
        <v>2301</v>
      </c>
      <c r="D15" s="760"/>
      <c r="E15" s="760"/>
      <c r="F15" s="897"/>
      <c r="G15" s="897"/>
      <c r="H15" s="897"/>
    </row>
    <row r="16" spans="1:8" ht="63" customHeight="1">
      <c r="A16" s="760" t="s">
        <v>2302</v>
      </c>
      <c r="B16" s="760"/>
      <c r="C16" s="760" t="s">
        <v>2303</v>
      </c>
      <c r="D16" s="760"/>
      <c r="E16" s="760"/>
      <c r="F16" s="897"/>
      <c r="G16" s="897"/>
      <c r="H16" s="897"/>
    </row>
    <row r="17" spans="1:8" ht="54" customHeight="1">
      <c r="A17" s="760" t="s">
        <v>2304</v>
      </c>
      <c r="B17" s="760"/>
      <c r="C17" s="895" t="s">
        <v>2305</v>
      </c>
      <c r="D17" s="760"/>
      <c r="E17" s="760"/>
      <c r="F17" s="897"/>
      <c r="G17" s="897"/>
      <c r="H17" s="897"/>
    </row>
    <row r="18" spans="1:8" ht="27" customHeight="1">
      <c r="A18" s="760" t="s">
        <v>2306</v>
      </c>
      <c r="B18" s="760"/>
      <c r="C18" s="895" t="s">
        <v>2307</v>
      </c>
      <c r="D18" s="760"/>
      <c r="E18" s="760"/>
      <c r="F18" s="897"/>
      <c r="G18" s="897"/>
      <c r="H18" s="897"/>
    </row>
    <row r="19" spans="1:8" ht="54" customHeight="1">
      <c r="A19" s="760" t="s">
        <v>2308</v>
      </c>
      <c r="B19" s="760"/>
      <c r="C19" s="895" t="s">
        <v>2309</v>
      </c>
      <c r="D19" s="760"/>
      <c r="E19" s="760"/>
      <c r="F19" s="897"/>
      <c r="G19" s="897"/>
      <c r="H19" s="897"/>
    </row>
    <row r="20" spans="1:8" ht="36" customHeight="1">
      <c r="A20" s="760" t="s">
        <v>2310</v>
      </c>
      <c r="B20" s="760"/>
      <c r="C20" s="895" t="s">
        <v>2311</v>
      </c>
      <c r="D20" s="760"/>
      <c r="E20" s="760"/>
      <c r="F20" s="897"/>
      <c r="G20" s="897"/>
      <c r="H20" s="897"/>
    </row>
    <row r="21" spans="1:8" ht="36" customHeight="1">
      <c r="A21" s="760" t="s">
        <v>2312</v>
      </c>
      <c r="B21" s="760"/>
      <c r="C21" s="895" t="s">
        <v>2313</v>
      </c>
      <c r="D21" s="760"/>
      <c r="E21" s="760"/>
      <c r="F21" s="897"/>
      <c r="G21" s="897"/>
      <c r="H21" s="897"/>
    </row>
    <row r="22" spans="1:8" ht="27" customHeight="1">
      <c r="A22" s="760" t="s">
        <v>2314</v>
      </c>
      <c r="B22" s="760"/>
      <c r="C22" s="895" t="s">
        <v>2315</v>
      </c>
      <c r="D22" s="760"/>
      <c r="E22" s="760"/>
      <c r="F22" s="897"/>
      <c r="G22" s="897"/>
      <c r="H22" s="897"/>
    </row>
    <row r="23" spans="1:8" ht="36" customHeight="1">
      <c r="A23" s="760" t="s">
        <v>2316</v>
      </c>
      <c r="B23" s="760"/>
      <c r="C23" s="895" t="s">
        <v>2317</v>
      </c>
      <c r="D23" s="760"/>
      <c r="E23" s="760"/>
      <c r="F23" s="897"/>
      <c r="G23" s="897"/>
      <c r="H23" s="897"/>
    </row>
    <row r="24" spans="1:8" ht="28.5" customHeight="1">
      <c r="A24" s="760" t="s">
        <v>2318</v>
      </c>
      <c r="B24" s="760"/>
      <c r="C24" s="895" t="s">
        <v>2319</v>
      </c>
      <c r="D24" s="760"/>
      <c r="E24" s="760"/>
      <c r="F24" s="897"/>
      <c r="G24" s="897"/>
      <c r="H24" s="897"/>
    </row>
    <row r="25" spans="1:8" ht="36" customHeight="1">
      <c r="A25" s="760" t="s">
        <v>2320</v>
      </c>
      <c r="B25" s="760"/>
      <c r="C25" s="895" t="s">
        <v>2321</v>
      </c>
      <c r="D25" s="760"/>
      <c r="E25" s="760"/>
      <c r="F25" s="897"/>
      <c r="G25" s="897"/>
      <c r="H25" s="897"/>
    </row>
    <row r="26" spans="1:8" ht="27" customHeight="1">
      <c r="A26" s="760" t="s">
        <v>2322</v>
      </c>
      <c r="B26" s="760"/>
      <c r="C26" s="895" t="s">
        <v>2323</v>
      </c>
      <c r="D26" s="760"/>
      <c r="E26" s="760"/>
      <c r="F26" s="897"/>
      <c r="G26" s="897"/>
      <c r="H26" s="897"/>
    </row>
    <row r="27" spans="1:8" ht="36" customHeight="1">
      <c r="A27" s="760" t="s">
        <v>2324</v>
      </c>
      <c r="B27" s="760"/>
      <c r="C27" s="895" t="s">
        <v>2325</v>
      </c>
      <c r="D27" s="760"/>
      <c r="E27" s="760"/>
      <c r="F27" s="897"/>
      <c r="G27" s="897"/>
      <c r="H27" s="897"/>
    </row>
    <row r="28" spans="1:8" ht="28.5" customHeight="1">
      <c r="A28" s="760" t="s">
        <v>2326</v>
      </c>
      <c r="B28" s="760"/>
      <c r="C28" s="895" t="s">
        <v>2327</v>
      </c>
      <c r="D28" s="760"/>
      <c r="E28" s="760"/>
      <c r="F28" s="897"/>
      <c r="G28" s="897"/>
      <c r="H28" s="897"/>
    </row>
    <row r="29" spans="1:8" ht="126" customHeight="1">
      <c r="A29" s="760" t="s">
        <v>2328</v>
      </c>
      <c r="B29" s="760" t="s">
        <v>445</v>
      </c>
      <c r="C29" s="89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60" t="s">
        <v>2329</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97"/>
      <c r="G29" s="897"/>
      <c r="H29" s="760" t="s">
        <v>2330</v>
      </c>
    </row>
    <row r="30" spans="1:8" ht="36" customHeight="1">
      <c r="A30" s="760" t="s">
        <v>2331</v>
      </c>
      <c r="B30" s="760"/>
      <c r="C30" s="89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60" t="s">
        <v>2332</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97"/>
      <c r="G30" s="897"/>
      <c r="H30" s="897"/>
    </row>
    <row r="31" spans="1:8" ht="54" customHeight="1">
      <c r="A31" s="760" t="s">
        <v>2333</v>
      </c>
      <c r="B31" s="760"/>
      <c r="C31" s="895" t="str">
        <f>IF(TEMPLATE_SPHERE="HEAT",D31,IF(TEMPLATE_SPHERE="TKO",H31,E31))</f>
        <v>Форма 1. Информация об организации, осуществляющей холодное водоснабжение (общая информация)</v>
      </c>
      <c r="D31" s="760" t="s">
        <v>2334</v>
      </c>
      <c r="E31" s="76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97"/>
      <c r="G31" s="897"/>
      <c r="H31" s="897"/>
    </row>
    <row r="32" spans="1:8" ht="198" customHeight="1">
      <c r="A32" s="760" t="s">
        <v>2335</v>
      </c>
      <c r="B32" s="760"/>
      <c r="C32" s="89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60" t="s">
        <v>2336</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97"/>
      <c r="G32" s="897"/>
      <c r="H32" s="760" t="s">
        <v>2337</v>
      </c>
    </row>
    <row r="33" spans="1:8" ht="9" customHeight="1">
      <c r="A33" s="760"/>
      <c r="B33" s="760"/>
      <c r="C33" s="895"/>
      <c r="D33" s="760"/>
      <c r="E33" s="760"/>
      <c r="F33" s="897"/>
      <c r="G33" s="897"/>
      <c r="H33" s="897"/>
    </row>
    <row r="34" spans="1:8" ht="9" customHeight="1">
      <c r="A34" s="760"/>
      <c r="B34" s="760" t="s">
        <v>180</v>
      </c>
      <c r="C34" s="895">
        <f>INDEX(TEMPLATE_NAME_FORM_LIST,B34,MATCH(TEMPLATE_SPHERE,TEMPLATE_SPHERE_LIST,0))</f>
        <v>0</v>
      </c>
      <c r="D34" s="760"/>
      <c r="E34" s="760"/>
      <c r="F34" s="897"/>
      <c r="G34" s="897"/>
      <c r="H34" s="89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4"/>
    <col min="3" max="7" width="8" style="756" customWidth="1"/>
    <col min="8" max="12" width="8.5703125" style="756" customWidth="1"/>
    <col min="13" max="14" width="27.7109375" style="756" customWidth="1"/>
    <col min="15" max="19" width="5.140625" style="756" customWidth="1"/>
    <col min="20" max="24" width="27.7109375" style="756" customWidth="1"/>
    <col min="25" max="25" width="1.85546875" style="912" customWidth="1"/>
    <col min="26" max="26" width="27.7109375" style="754" customWidth="1"/>
    <col min="27" max="27" width="27.7109375" style="765" customWidth="1"/>
    <col min="28" max="29" width="27.7109375" style="754" customWidth="1"/>
    <col min="30" max="30" width="3.85546875" style="754" customWidth="1"/>
    <col min="31" max="34" width="9.140625" style="754"/>
  </cols>
  <sheetData>
    <row r="1" spans="1:34" s="753" customFormat="1" ht="18" customHeight="1">
      <c r="A1" s="812"/>
      <c r="B1" s="812"/>
      <c r="C1" s="812" t="s">
        <v>2338</v>
      </c>
      <c r="D1" s="812"/>
      <c r="E1" s="812"/>
      <c r="F1" s="812"/>
      <c r="G1" s="812"/>
      <c r="H1" s="812" t="s">
        <v>2339</v>
      </c>
      <c r="I1" s="812"/>
      <c r="J1" s="812"/>
      <c r="K1" s="812"/>
      <c r="L1" s="812"/>
      <c r="M1" s="812" t="s">
        <v>2340</v>
      </c>
      <c r="N1" s="812" t="s">
        <v>2341</v>
      </c>
      <c r="O1" s="9124" t="s">
        <v>2342</v>
      </c>
      <c r="P1" s="9124"/>
      <c r="Q1" s="9124"/>
      <c r="R1" s="9124"/>
      <c r="S1" s="9124"/>
      <c r="T1" s="9124" t="s">
        <v>2340</v>
      </c>
      <c r="U1" s="9124"/>
      <c r="V1" s="9124"/>
      <c r="W1" s="9124"/>
      <c r="X1" s="9124"/>
      <c r="Y1" s="910"/>
      <c r="Z1" s="9124" t="s">
        <v>2343</v>
      </c>
      <c r="AA1" s="9124"/>
      <c r="AB1" s="9124"/>
      <c r="AC1" s="9124"/>
      <c r="AD1" s="9124"/>
    </row>
    <row r="2" spans="1:34" ht="18" customHeight="1">
      <c r="A2" s="760"/>
      <c r="B2" s="760"/>
      <c r="C2" s="755" t="s">
        <v>1180</v>
      </c>
      <c r="D2" s="755" t="s">
        <v>1226</v>
      </c>
      <c r="E2" s="755" t="s">
        <v>1278</v>
      </c>
      <c r="F2" s="755" t="s">
        <v>1264</v>
      </c>
      <c r="G2" s="755" t="s">
        <v>2065</v>
      </c>
      <c r="H2" s="757"/>
      <c r="I2" s="757"/>
      <c r="J2" s="757"/>
      <c r="K2" s="757"/>
      <c r="L2" s="757"/>
      <c r="M2" s="757"/>
      <c r="N2" s="757"/>
      <c r="O2" s="755" t="s">
        <v>1180</v>
      </c>
      <c r="P2" s="755" t="s">
        <v>1226</v>
      </c>
      <c r="Q2" s="755" t="s">
        <v>1264</v>
      </c>
      <c r="R2" s="755" t="s">
        <v>1278</v>
      </c>
      <c r="S2" s="755" t="s">
        <v>2065</v>
      </c>
      <c r="T2" s="755" t="s">
        <v>1180</v>
      </c>
      <c r="U2" s="755" t="s">
        <v>1226</v>
      </c>
      <c r="V2" s="755" t="s">
        <v>1264</v>
      </c>
      <c r="W2" s="755" t="s">
        <v>1278</v>
      </c>
      <c r="X2" s="755" t="s">
        <v>2065</v>
      </c>
      <c r="Y2" s="755"/>
      <c r="Z2" s="755" t="s">
        <v>1180</v>
      </c>
      <c r="AA2" s="764" t="s">
        <v>1226</v>
      </c>
      <c r="AB2" s="755" t="s">
        <v>1264</v>
      </c>
      <c r="AC2" s="755" t="s">
        <v>1278</v>
      </c>
      <c r="AD2" s="755" t="s">
        <v>2065</v>
      </c>
    </row>
    <row r="3" spans="1:34" ht="162" customHeight="1">
      <c r="A3" s="759" t="s">
        <v>22</v>
      </c>
      <c r="B3" s="759"/>
      <c r="C3" s="9128" t="s">
        <v>2344</v>
      </c>
      <c r="D3" s="9129"/>
      <c r="E3" s="9129"/>
      <c r="F3" s="9130"/>
      <c r="G3" s="757"/>
      <c r="H3" s="757"/>
      <c r="I3" s="757"/>
      <c r="J3" s="757"/>
      <c r="K3" s="757"/>
      <c r="L3" s="757"/>
      <c r="M3" s="757"/>
      <c r="N3" s="75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7"/>
      <c r="P3" s="757"/>
      <c r="Q3" s="757"/>
      <c r="R3" s="757"/>
      <c r="S3" s="757"/>
      <c r="T3" s="757"/>
      <c r="U3" s="757"/>
      <c r="V3" s="757"/>
      <c r="W3" s="757"/>
      <c r="X3" s="757"/>
      <c r="Y3" s="911"/>
      <c r="Z3" s="760" t="s">
        <v>2345</v>
      </c>
      <c r="AA3" s="757" t="s">
        <v>2346</v>
      </c>
      <c r="AB3" s="760" t="s">
        <v>2347</v>
      </c>
      <c r="AC3" s="760" t="s">
        <v>2348</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11"/>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11"/>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11"/>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11"/>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11"/>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11"/>
      <c r="Z9" s="760"/>
      <c r="AA9" s="763"/>
      <c r="AB9" s="760"/>
      <c r="AC9" s="760"/>
      <c r="AD9" s="760"/>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9125" t="s">
        <v>29</v>
      </c>
      <c r="B11" s="813">
        <v>1</v>
      </c>
      <c r="C11" s="9131" t="s">
        <v>433</v>
      </c>
      <c r="D11" s="9131" t="s">
        <v>106</v>
      </c>
      <c r="E11" s="9131" t="s">
        <v>551</v>
      </c>
      <c r="F11" s="9131" t="s">
        <v>676</v>
      </c>
      <c r="G11" s="9131"/>
      <c r="H11" s="812" t="s">
        <v>2349</v>
      </c>
      <c r="I11" s="812"/>
      <c r="J11" s="812"/>
      <c r="K11" s="812"/>
      <c r="L11" s="812"/>
      <c r="M11" s="758" t="str">
        <f>IF(TEMPLATE_SPHERE="HEAT",T11,U11)</f>
        <v xml:space="preserve">Количество поданных заявлений </v>
      </c>
      <c r="N11" s="75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7"/>
      <c r="P11" s="757"/>
      <c r="Q11" s="757"/>
      <c r="R11" s="757"/>
      <c r="S11" s="757"/>
      <c r="T11" s="757" t="s">
        <v>2350</v>
      </c>
      <c r="U11" s="757" t="s">
        <v>2351</v>
      </c>
      <c r="V11" s="757"/>
      <c r="W11" s="757"/>
      <c r="X11" s="757"/>
      <c r="Y11" s="911"/>
      <c r="Z11" s="760" t="s">
        <v>2352</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60"/>
      <c r="AC11" s="760"/>
      <c r="AD11" s="760"/>
    </row>
    <row r="12" spans="1:34" ht="45" customHeight="1">
      <c r="A12" s="9125"/>
      <c r="B12" s="813">
        <v>2</v>
      </c>
      <c r="C12" s="9132"/>
      <c r="D12" s="9132"/>
      <c r="E12" s="9132"/>
      <c r="F12" s="9132"/>
      <c r="G12" s="9132"/>
      <c r="H12" s="812" t="s">
        <v>2353</v>
      </c>
      <c r="I12" s="812"/>
      <c r="J12" s="812"/>
      <c r="K12" s="812"/>
      <c r="L12" s="812"/>
      <c r="M12" s="758" t="str">
        <f>IF(TEMPLATE_SPHERE="HEAT",T12,U12)</f>
        <v xml:space="preserve">Количество исполненных заявлений </v>
      </c>
      <c r="N12" s="75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7"/>
      <c r="P12" s="757"/>
      <c r="Q12" s="757"/>
      <c r="R12" s="757"/>
      <c r="S12" s="757"/>
      <c r="T12" s="757" t="s">
        <v>2354</v>
      </c>
      <c r="U12" s="757" t="s">
        <v>2355</v>
      </c>
      <c r="V12" s="757"/>
      <c r="W12" s="757"/>
      <c r="X12" s="757"/>
      <c r="Y12" s="911"/>
      <c r="Z12" s="760" t="s">
        <v>2356</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60"/>
      <c r="AC12" s="760"/>
      <c r="AD12" s="760"/>
    </row>
    <row r="13" spans="1:34" ht="72" customHeight="1">
      <c r="A13" s="9125"/>
      <c r="B13" s="813">
        <v>3</v>
      </c>
      <c r="C13" s="9132"/>
      <c r="D13" s="9132"/>
      <c r="E13" s="9132"/>
      <c r="F13" s="9132"/>
      <c r="G13" s="9132"/>
      <c r="H13" s="9124" t="s">
        <v>2357</v>
      </c>
      <c r="I13" s="812"/>
      <c r="J13" s="812"/>
      <c r="K13" s="812"/>
      <c r="L13" s="812"/>
      <c r="M13" s="758" t="str">
        <f>IF(TEMPLATE_SPHERE="HEAT",T13,U13)</f>
        <v>Количество заявлений о заключении договоров о подключении (технологическом присоединении)</v>
      </c>
      <c r="N13" s="758"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7"/>
      <c r="P13" s="758"/>
      <c r="Q13" s="758"/>
      <c r="R13" s="758"/>
      <c r="S13" s="757"/>
      <c r="T13" s="757" t="s">
        <v>2358</v>
      </c>
      <c r="U13" s="758" t="s">
        <v>2359</v>
      </c>
      <c r="V13" s="758"/>
      <c r="W13" s="758"/>
      <c r="X13" s="757"/>
      <c r="Y13" s="911"/>
      <c r="Z13" s="760" t="s">
        <v>2360</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60"/>
      <c r="AC13" s="760"/>
      <c r="AD13" s="760"/>
    </row>
    <row r="14" spans="1:34" ht="45" customHeight="1">
      <c r="A14" s="9125"/>
      <c r="B14" s="813">
        <v>4</v>
      </c>
      <c r="C14" s="9132"/>
      <c r="D14" s="9132"/>
      <c r="E14" s="9132"/>
      <c r="F14" s="9132"/>
      <c r="G14" s="9132"/>
      <c r="H14" s="9124"/>
      <c r="I14" s="815"/>
      <c r="J14" s="815"/>
      <c r="K14" s="815"/>
      <c r="L14" s="815"/>
      <c r="M14" s="76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2361</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58"/>
      <c r="W14" s="758"/>
      <c r="X14" s="757"/>
      <c r="Y14" s="911"/>
      <c r="Z14" s="760" t="s">
        <v>2362</v>
      </c>
      <c r="AA14" s="763" t="s">
        <v>2362</v>
      </c>
      <c r="AB14" s="760"/>
      <c r="AC14" s="760"/>
      <c r="AD14" s="760"/>
    </row>
    <row r="15" spans="1:34" ht="108" customHeight="1">
      <c r="A15" s="9125"/>
      <c r="B15" s="813">
        <v>5</v>
      </c>
      <c r="C15" s="9132"/>
      <c r="D15" s="9132"/>
      <c r="E15" s="9132"/>
      <c r="F15" s="9132"/>
      <c r="G15" s="9132"/>
      <c r="H15" s="9126" t="s">
        <v>2363</v>
      </c>
      <c r="I15" s="814"/>
      <c r="J15" s="814"/>
      <c r="K15" s="814"/>
      <c r="L15" s="814"/>
      <c r="M15" s="76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62"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7"/>
      <c r="P15" s="758"/>
      <c r="Q15" s="758"/>
      <c r="R15" s="758"/>
      <c r="S15" s="757"/>
      <c r="T15" s="757" t="s">
        <v>2364</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58"/>
      <c r="W15" s="758"/>
      <c r="X15" s="757"/>
      <c r="Y15" s="911"/>
      <c r="Z15" s="760" t="s">
        <v>2365</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60"/>
      <c r="AC15" s="760"/>
      <c r="AD15" s="760"/>
    </row>
    <row r="16" spans="1:34" ht="108" customHeight="1">
      <c r="A16" s="813"/>
      <c r="B16" s="813">
        <v>6</v>
      </c>
      <c r="C16" s="9133"/>
      <c r="D16" s="9133"/>
      <c r="E16" s="9133"/>
      <c r="F16" s="9133"/>
      <c r="G16" s="9133"/>
      <c r="H16" s="9127"/>
      <c r="I16" s="873"/>
      <c r="J16" s="873"/>
      <c r="K16" s="873"/>
      <c r="L16" s="873"/>
      <c r="M16" s="806"/>
      <c r="N16" s="762"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7"/>
      <c r="P16" s="758"/>
      <c r="Q16" s="758"/>
      <c r="R16" s="758"/>
      <c r="S16" s="757"/>
      <c r="T16" s="757"/>
      <c r="U16" s="758"/>
      <c r="V16" s="758"/>
      <c r="W16" s="758"/>
      <c r="X16" s="757"/>
      <c r="Y16" s="911"/>
      <c r="Z16" s="760" t="s">
        <v>2365</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60"/>
      <c r="AC16" s="760"/>
      <c r="AD16" s="760"/>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59" t="s">
        <v>2094</v>
      </c>
      <c r="B18" s="813">
        <v>1</v>
      </c>
      <c r="C18" s="757" t="s">
        <v>2349</v>
      </c>
      <c r="D18" s="878" t="s">
        <v>2349</v>
      </c>
      <c r="E18" s="757" t="s">
        <v>2349</v>
      </c>
      <c r="F18" s="757" t="s">
        <v>2349</v>
      </c>
      <c r="G18" s="757"/>
      <c r="H18" s="913"/>
      <c r="I18" s="916">
        <f t="shared" ref="I18:I49" si="1">INDEX(TEMPLATE_NUMBER_POINT_FHD,B18,MATCH(TEMPLATE_SPHERE,TEMPLATE_SPHERE_LIST_FOR_NOTE,0))</f>
        <v>1</v>
      </c>
      <c r="J18" s="916" t="str">
        <f t="shared" ref="J18:J49" si="2">INDEX(TEMPLATE_DATA_POINT_FHD,B18,MATCH(TEMPLATE_SPHERE,TEMPLATE_SPHERE_LIST_FOR_NOTE,0))</f>
        <v>Выручка от регулируемых видов деятельности в сфере холодного водоснабжения</v>
      </c>
      <c r="K18" s="916" t="str">
        <f t="shared" ref="K18:K49" si="3">INDEX(TEMPLATE_NOTE_POINT_FHD,B18,MATCH(TEMPLATE_SPHERE,TEMPLATE_SPHERE_LIST_FOR_NOTE,0))</f>
        <v>Указывается выручка с распределением по видам деятельности.</v>
      </c>
      <c r="L18" s="758">
        <f t="shared" ref="L18:L49" si="4">IF(I18=0,"",I18)</f>
        <v>1</v>
      </c>
      <c r="M18" s="758" t="str">
        <f t="shared" ref="M18:M49" si="5">IF(J18=0,"",J18)</f>
        <v>Выручка от регулируемых видов деятельности в сфере холодного водоснабжения</v>
      </c>
      <c r="N18" s="758" t="str">
        <f t="shared" ref="N18:N49" si="6">IF(K18=0,"",K18)</f>
        <v>Указывается выручка с распределением по видам деятельности.</v>
      </c>
      <c r="O18" s="868">
        <v>1</v>
      </c>
      <c r="P18" s="868">
        <v>1</v>
      </c>
      <c r="Q18" s="868">
        <v>1</v>
      </c>
      <c r="R18" s="868">
        <v>1</v>
      </c>
      <c r="S18" s="868"/>
      <c r="T18" s="875" t="s">
        <v>2366</v>
      </c>
      <c r="U18" s="760" t="s">
        <v>2367</v>
      </c>
      <c r="V18" s="760" t="s">
        <v>2368</v>
      </c>
      <c r="W18" s="760" t="s">
        <v>2369</v>
      </c>
      <c r="X18" s="757"/>
      <c r="Y18" s="911"/>
      <c r="Z18" s="760" t="s">
        <v>2370</v>
      </c>
      <c r="AA18" s="763" t="s">
        <v>2371</v>
      </c>
      <c r="AB18" s="763" t="s">
        <v>2371</v>
      </c>
      <c r="AC18" s="763" t="s">
        <v>2371</v>
      </c>
      <c r="AD18" s="760"/>
    </row>
    <row r="19" spans="1:30" ht="36" customHeight="1">
      <c r="A19" s="759"/>
      <c r="B19" s="813">
        <v>2</v>
      </c>
      <c r="C19" s="757" t="s">
        <v>2353</v>
      </c>
      <c r="D19" s="878" t="s">
        <v>2353</v>
      </c>
      <c r="E19" s="757" t="s">
        <v>2353</v>
      </c>
      <c r="F19" s="757" t="s">
        <v>2353</v>
      </c>
      <c r="G19" s="757"/>
      <c r="H19" s="913"/>
      <c r="I19" s="916">
        <f t="shared" si="1"/>
        <v>2</v>
      </c>
      <c r="J19" s="916" t="str">
        <f t="shared" si="2"/>
        <v>Себестоимость производимых товаров (оказываемых услуг) по регулируемым видам деятельности в сфере холодного водоснабжения, включая:</v>
      </c>
      <c r="K19" s="916"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регулируемым видам деятельности в сфере холодного водоснабжения, включая:</v>
      </c>
      <c r="N19" s="758" t="str">
        <f t="shared" si="6"/>
        <v>Указывается суммарная себестоимость производимых товаров.</v>
      </c>
      <c r="O19" s="868">
        <v>2</v>
      </c>
      <c r="P19" s="868">
        <v>2</v>
      </c>
      <c r="Q19" s="868">
        <v>2</v>
      </c>
      <c r="R19" s="868">
        <v>2</v>
      </c>
      <c r="S19" s="868"/>
      <c r="T19" s="875" t="s">
        <v>2372</v>
      </c>
      <c r="U19" s="760" t="s">
        <v>2373</v>
      </c>
      <c r="V19" s="760" t="s">
        <v>2374</v>
      </c>
      <c r="W19" s="760" t="s">
        <v>2375</v>
      </c>
      <c r="X19" s="757"/>
      <c r="Y19" s="911"/>
      <c r="Z19" s="760" t="s">
        <v>2376</v>
      </c>
      <c r="AA19" s="763" t="s">
        <v>2376</v>
      </c>
      <c r="AB19" s="763" t="s">
        <v>2376</v>
      </c>
      <c r="AC19" s="763" t="s">
        <v>2376</v>
      </c>
      <c r="AD19" s="760"/>
    </row>
    <row r="20" spans="1:30" ht="27" customHeight="1">
      <c r="A20" s="759"/>
      <c r="B20" s="813">
        <v>3</v>
      </c>
      <c r="C20" s="757">
        <v>1</v>
      </c>
      <c r="D20" s="878"/>
      <c r="E20" s="757"/>
      <c r="F20" s="757"/>
      <c r="G20" s="757"/>
      <c r="H20" s="913"/>
      <c r="I20" s="916" t="str">
        <f t="shared" si="1"/>
        <v>2.1</v>
      </c>
      <c r="J20" s="916" t="str">
        <f t="shared" si="2"/>
        <v>Расходы на оплату холодной воды, приобретаемой у других организаций для последующей подачи потребителям</v>
      </c>
      <c r="K20" s="916">
        <f t="shared" si="3"/>
        <v>0</v>
      </c>
      <c r="L20" s="758" t="str">
        <f t="shared" si="4"/>
        <v>2.1</v>
      </c>
      <c r="M20" s="758" t="str">
        <f t="shared" si="5"/>
        <v>Расходы на оплату холодной воды, приобретаемой у других организаций для последующей подачи потребителям</v>
      </c>
      <c r="N20" s="758" t="str">
        <f t="shared" si="6"/>
        <v/>
      </c>
      <c r="O20" s="868" t="s">
        <v>1080</v>
      </c>
      <c r="P20" s="868" t="s">
        <v>1080</v>
      </c>
      <c r="Q20" s="868" t="s">
        <v>1080</v>
      </c>
      <c r="R20" s="868" t="s">
        <v>1080</v>
      </c>
      <c r="S20" s="868"/>
      <c r="T20" s="875" t="s">
        <v>2377</v>
      </c>
      <c r="U20" s="760" t="s">
        <v>2378</v>
      </c>
      <c r="V20" s="760" t="s">
        <v>2379</v>
      </c>
      <c r="W20" s="760" t="s">
        <v>2380</v>
      </c>
      <c r="X20" s="757"/>
      <c r="Y20" s="911"/>
      <c r="Z20" s="760"/>
      <c r="AA20" s="763"/>
      <c r="AB20" s="760"/>
      <c r="AC20" s="760"/>
      <c r="AD20" s="760"/>
    </row>
    <row r="21" spans="1:30" ht="36" customHeight="1">
      <c r="A21" s="759"/>
      <c r="B21" s="813">
        <v>4</v>
      </c>
      <c r="C21" s="757">
        <v>2</v>
      </c>
      <c r="D21" s="878"/>
      <c r="E21" s="757"/>
      <c r="F21" s="757"/>
      <c r="G21" s="757"/>
      <c r="H21" s="913"/>
      <c r="I21" s="916">
        <f t="shared" si="1"/>
        <v>0</v>
      </c>
      <c r="J21" s="916">
        <f t="shared" si="2"/>
        <v>0</v>
      </c>
      <c r="K21" s="916">
        <f t="shared" si="3"/>
        <v>0</v>
      </c>
      <c r="L21" s="758" t="str">
        <f t="shared" si="4"/>
        <v/>
      </c>
      <c r="M21" s="758" t="str">
        <f t="shared" si="5"/>
        <v/>
      </c>
      <c r="N21" s="758" t="str">
        <f t="shared" si="6"/>
        <v/>
      </c>
      <c r="O21" s="868" t="s">
        <v>770</v>
      </c>
      <c r="P21" s="868"/>
      <c r="Q21" s="868"/>
      <c r="R21" s="868"/>
      <c r="S21" s="868"/>
      <c r="T21" s="875" t="s">
        <v>2381</v>
      </c>
      <c r="U21" s="760"/>
      <c r="V21" s="760"/>
      <c r="W21" s="760"/>
      <c r="X21" s="757"/>
      <c r="Y21" s="911"/>
      <c r="Z21" s="760" t="s">
        <v>2382</v>
      </c>
      <c r="AA21" s="763"/>
      <c r="AB21" s="760"/>
      <c r="AC21" s="760"/>
      <c r="AD21" s="760"/>
    </row>
    <row r="22" spans="1:30" ht="36" customHeight="1">
      <c r="A22" s="759"/>
      <c r="B22" s="813">
        <v>5</v>
      </c>
      <c r="C22" s="757">
        <v>3</v>
      </c>
      <c r="D22" s="878"/>
      <c r="E22" s="757"/>
      <c r="F22" s="757"/>
      <c r="G22" s="805"/>
      <c r="H22" s="869"/>
      <c r="I22" s="916">
        <f t="shared" si="1"/>
        <v>0</v>
      </c>
      <c r="J22" s="916">
        <f t="shared" si="2"/>
        <v>0</v>
      </c>
      <c r="K22" s="916">
        <f t="shared" si="3"/>
        <v>0</v>
      </c>
      <c r="L22" s="758" t="str">
        <f t="shared" si="4"/>
        <v/>
      </c>
      <c r="M22" s="758" t="str">
        <f t="shared" si="5"/>
        <v/>
      </c>
      <c r="N22" s="758" t="str">
        <f t="shared" si="6"/>
        <v/>
      </c>
      <c r="O22" s="868"/>
      <c r="P22" s="868"/>
      <c r="Q22" s="868" t="s">
        <v>770</v>
      </c>
      <c r="R22" s="868"/>
      <c r="S22" s="868"/>
      <c r="T22" s="875"/>
      <c r="U22" s="760"/>
      <c r="V22" s="760" t="s">
        <v>2383</v>
      </c>
      <c r="W22" s="760"/>
      <c r="X22" s="757"/>
      <c r="Y22" s="911"/>
      <c r="Z22" s="760"/>
      <c r="AA22" s="763"/>
      <c r="AB22" s="760"/>
      <c r="AC22" s="760"/>
      <c r="AD22" s="760"/>
    </row>
    <row r="23" spans="1:30" ht="27" customHeight="1">
      <c r="A23" s="759"/>
      <c r="B23" s="813">
        <v>6</v>
      </c>
      <c r="C23" s="757">
        <v>4</v>
      </c>
      <c r="D23" s="878"/>
      <c r="E23" s="757"/>
      <c r="F23" s="757"/>
      <c r="G23" s="805"/>
      <c r="H23" s="869"/>
      <c r="I23" s="916">
        <f t="shared" si="1"/>
        <v>0</v>
      </c>
      <c r="J23" s="916">
        <f t="shared" si="2"/>
        <v>0</v>
      </c>
      <c r="K23" s="916">
        <f t="shared" si="3"/>
        <v>0</v>
      </c>
      <c r="L23" s="758" t="str">
        <f t="shared" si="4"/>
        <v/>
      </c>
      <c r="M23" s="758" t="str">
        <f t="shared" si="5"/>
        <v/>
      </c>
      <c r="N23" s="758" t="str">
        <f t="shared" si="6"/>
        <v/>
      </c>
      <c r="O23" s="868"/>
      <c r="P23" s="868"/>
      <c r="Q23" s="868" t="s">
        <v>773</v>
      </c>
      <c r="R23" s="868"/>
      <c r="S23" s="868"/>
      <c r="T23" s="875"/>
      <c r="U23" s="760"/>
      <c r="V23" s="760" t="s">
        <v>2384</v>
      </c>
      <c r="W23" s="760"/>
      <c r="X23" s="757"/>
      <c r="Y23" s="911"/>
      <c r="Z23" s="760"/>
      <c r="AA23" s="763"/>
      <c r="AB23" s="760"/>
      <c r="AC23" s="760"/>
      <c r="AD23" s="760"/>
    </row>
    <row r="24" spans="1:30" ht="36" customHeight="1">
      <c r="A24" s="759"/>
      <c r="B24" s="813">
        <v>7</v>
      </c>
      <c r="C24" s="757">
        <v>5</v>
      </c>
      <c r="D24" s="878"/>
      <c r="E24" s="757"/>
      <c r="F24" s="757"/>
      <c r="G24" s="805"/>
      <c r="H24" s="869"/>
      <c r="I24" s="916">
        <f t="shared" si="1"/>
        <v>0</v>
      </c>
      <c r="J24" s="916">
        <f t="shared" si="2"/>
        <v>0</v>
      </c>
      <c r="K24" s="916">
        <f t="shared" si="3"/>
        <v>0</v>
      </c>
      <c r="L24" s="758" t="str">
        <f t="shared" si="4"/>
        <v/>
      </c>
      <c r="M24" s="758" t="str">
        <f t="shared" si="5"/>
        <v/>
      </c>
      <c r="N24" s="758" t="str">
        <f t="shared" si="6"/>
        <v/>
      </c>
      <c r="O24" s="868"/>
      <c r="P24" s="868"/>
      <c r="Q24" s="868" t="s">
        <v>1100</v>
      </c>
      <c r="R24" s="868"/>
      <c r="S24" s="868"/>
      <c r="T24" s="875"/>
      <c r="U24" s="760"/>
      <c r="V24" s="760" t="s">
        <v>2385</v>
      </c>
      <c r="W24" s="760"/>
      <c r="X24" s="757"/>
      <c r="Y24" s="911"/>
      <c r="Z24" s="760"/>
      <c r="AA24" s="763"/>
      <c r="AB24" s="760"/>
      <c r="AC24" s="760"/>
      <c r="AD24" s="760"/>
    </row>
    <row r="25" spans="1:30" ht="36" customHeight="1">
      <c r="A25" s="759"/>
      <c r="B25" s="813">
        <v>8</v>
      </c>
      <c r="C25" s="757">
        <v>6</v>
      </c>
      <c r="D25" s="878"/>
      <c r="E25" s="757"/>
      <c r="F25" s="757"/>
      <c r="G25" s="805"/>
      <c r="H25" s="869"/>
      <c r="I25" s="916" t="str">
        <f t="shared" si="1"/>
        <v>2.2</v>
      </c>
      <c r="J25" s="916" t="str">
        <f t="shared" si="2"/>
        <v>Расходы на приобретаемую электрическую энергию (мощность), используемую в технологическом процессе</v>
      </c>
      <c r="K25" s="916">
        <f t="shared" si="3"/>
        <v>0</v>
      </c>
      <c r="L25" s="758" t="str">
        <f t="shared" si="4"/>
        <v>2.2</v>
      </c>
      <c r="M25" s="758" t="str">
        <f t="shared" si="5"/>
        <v>Расходы на приобретаемую электрическую энергию (мощность), используемую в технологическом процессе</v>
      </c>
      <c r="N25" s="758" t="str">
        <f t="shared" si="6"/>
        <v/>
      </c>
      <c r="O25" s="868" t="s">
        <v>773</v>
      </c>
      <c r="P25" s="868" t="s">
        <v>770</v>
      </c>
      <c r="Q25" s="868" t="s">
        <v>1107</v>
      </c>
      <c r="R25" s="868" t="s">
        <v>770</v>
      </c>
      <c r="S25" s="868"/>
      <c r="T25" s="875" t="s">
        <v>2386</v>
      </c>
      <c r="U25" s="760" t="s">
        <v>2386</v>
      </c>
      <c r="V25" s="760" t="s">
        <v>2386</v>
      </c>
      <c r="W25" s="760" t="s">
        <v>2386</v>
      </c>
      <c r="X25" s="757"/>
      <c r="Y25" s="911"/>
      <c r="Z25" s="760"/>
      <c r="AA25" s="763"/>
      <c r="AB25" s="760"/>
      <c r="AC25" s="760"/>
      <c r="AD25" s="760"/>
    </row>
    <row r="26" spans="1:30" ht="18" customHeight="1">
      <c r="A26" s="759"/>
      <c r="B26" s="813">
        <v>9</v>
      </c>
      <c r="C26" s="757" t="s">
        <v>1276</v>
      </c>
      <c r="D26" s="878"/>
      <c r="E26" s="757"/>
      <c r="F26" s="757"/>
      <c r="G26" s="805"/>
      <c r="H26" s="869"/>
      <c r="I26" s="916" t="str">
        <f t="shared" si="1"/>
        <v>2.2.1</v>
      </c>
      <c r="J26" s="916" t="str">
        <f t="shared" si="2"/>
        <v>Средневзвешенная стоимость 1 кВт.ч (с учетом мощности)</v>
      </c>
      <c r="K26" s="916">
        <f t="shared" si="3"/>
        <v>0</v>
      </c>
      <c r="L26" s="758" t="str">
        <f t="shared" si="4"/>
        <v>2.2.1</v>
      </c>
      <c r="M26" s="758" t="str">
        <f t="shared" si="5"/>
        <v>Средневзвешенная стоимость 1 кВт.ч (с учетом мощности)</v>
      </c>
      <c r="N26" s="758" t="str">
        <f t="shared" si="6"/>
        <v/>
      </c>
      <c r="O26" s="868" t="s">
        <v>1096</v>
      </c>
      <c r="P26" s="868" t="s">
        <v>1090</v>
      </c>
      <c r="Q26" s="868" t="s">
        <v>2387</v>
      </c>
      <c r="R26" s="868" t="s">
        <v>1090</v>
      </c>
      <c r="S26" s="868"/>
      <c r="T26" s="875" t="s">
        <v>2388</v>
      </c>
      <c r="U26" s="875" t="s">
        <v>2388</v>
      </c>
      <c r="V26" s="875" t="s">
        <v>2388</v>
      </c>
      <c r="W26" s="875" t="s">
        <v>2388</v>
      </c>
      <c r="X26" s="757"/>
      <c r="Y26" s="911"/>
      <c r="Z26" s="760"/>
      <c r="AA26" s="763"/>
      <c r="AB26" s="760"/>
      <c r="AC26" s="760"/>
      <c r="AD26" s="760"/>
    </row>
    <row r="27" spans="1:30" ht="18" customHeight="1">
      <c r="A27" s="759"/>
      <c r="B27" s="813">
        <v>10</v>
      </c>
      <c r="C27" s="757" t="s">
        <v>2389</v>
      </c>
      <c r="D27" s="878"/>
      <c r="E27" s="757"/>
      <c r="F27" s="757"/>
      <c r="G27" s="805"/>
      <c r="H27" s="869"/>
      <c r="I27" s="916" t="str">
        <f t="shared" si="1"/>
        <v>2.2.2</v>
      </c>
      <c r="J27" s="916" t="str">
        <f t="shared" si="2"/>
        <v>Объём приобретения электрической энергии</v>
      </c>
      <c r="K27" s="916">
        <f t="shared" si="3"/>
        <v>0</v>
      </c>
      <c r="L27" s="758" t="str">
        <f t="shared" si="4"/>
        <v>2.2.2</v>
      </c>
      <c r="M27" s="758" t="str">
        <f t="shared" si="5"/>
        <v>Объём приобретения электрической энергии</v>
      </c>
      <c r="N27" s="758" t="str">
        <f t="shared" si="6"/>
        <v/>
      </c>
      <c r="O27" s="868" t="s">
        <v>1098</v>
      </c>
      <c r="P27" s="868" t="s">
        <v>1092</v>
      </c>
      <c r="Q27" s="868" t="s">
        <v>2390</v>
      </c>
      <c r="R27" s="868" t="s">
        <v>1092</v>
      </c>
      <c r="S27" s="868"/>
      <c r="T27" s="875" t="s">
        <v>2391</v>
      </c>
      <c r="U27" s="875" t="s">
        <v>2391</v>
      </c>
      <c r="V27" s="875" t="s">
        <v>2391</v>
      </c>
      <c r="W27" s="875" t="s">
        <v>2391</v>
      </c>
      <c r="X27" s="757"/>
      <c r="Y27" s="911"/>
      <c r="Z27" s="760"/>
      <c r="AA27" s="763"/>
      <c r="AB27" s="760"/>
      <c r="AC27" s="760"/>
      <c r="AD27" s="760"/>
    </row>
    <row r="28" spans="1:30" ht="27" customHeight="1">
      <c r="A28" s="759"/>
      <c r="B28" s="813">
        <v>11</v>
      </c>
      <c r="C28" s="757">
        <v>7</v>
      </c>
      <c r="D28" s="878"/>
      <c r="E28" s="757"/>
      <c r="F28" s="757"/>
      <c r="G28" s="805"/>
      <c r="H28" s="869"/>
      <c r="I28" s="916">
        <f t="shared" si="1"/>
        <v>0</v>
      </c>
      <c r="J28" s="916">
        <f t="shared" si="2"/>
        <v>0</v>
      </c>
      <c r="K28" s="916">
        <f t="shared" si="3"/>
        <v>0</v>
      </c>
      <c r="L28" s="758" t="str">
        <f t="shared" si="4"/>
        <v/>
      </c>
      <c r="M28" s="758" t="str">
        <f t="shared" si="5"/>
        <v/>
      </c>
      <c r="N28" s="758" t="str">
        <f t="shared" si="6"/>
        <v/>
      </c>
      <c r="O28" s="868" t="s">
        <v>1100</v>
      </c>
      <c r="P28" s="868"/>
      <c r="Q28" s="868"/>
      <c r="R28" s="868"/>
      <c r="S28" s="868"/>
      <c r="T28" s="875" t="s">
        <v>2392</v>
      </c>
      <c r="U28" s="760"/>
      <c r="V28" s="760"/>
      <c r="W28" s="760"/>
      <c r="X28" s="757"/>
      <c r="Y28" s="911"/>
      <c r="Z28" s="760"/>
      <c r="AA28" s="763"/>
      <c r="AB28" s="760"/>
      <c r="AC28" s="760"/>
      <c r="AD28" s="760"/>
    </row>
    <row r="29" spans="1:30" ht="27" customHeight="1">
      <c r="A29" s="759"/>
      <c r="B29" s="813">
        <v>12</v>
      </c>
      <c r="C29" s="757">
        <v>8</v>
      </c>
      <c r="D29" s="878"/>
      <c r="E29" s="757"/>
      <c r="F29" s="757"/>
      <c r="G29" s="805"/>
      <c r="H29" s="869"/>
      <c r="I29" s="916" t="str">
        <f t="shared" si="1"/>
        <v>2.3</v>
      </c>
      <c r="J29" s="916" t="str">
        <f t="shared" si="2"/>
        <v>Расходы на химические реагенты, используемые в технологическом процессе</v>
      </c>
      <c r="K29" s="916">
        <f t="shared" si="3"/>
        <v>0</v>
      </c>
      <c r="L29" s="758" t="str">
        <f t="shared" si="4"/>
        <v>2.3</v>
      </c>
      <c r="M29" s="758" t="str">
        <f t="shared" si="5"/>
        <v>Расходы на химические реагенты, используемые в технологическом процессе</v>
      </c>
      <c r="N29" s="758" t="str">
        <f t="shared" si="6"/>
        <v/>
      </c>
      <c r="O29" s="868" t="s">
        <v>1107</v>
      </c>
      <c r="P29" s="868" t="s">
        <v>773</v>
      </c>
      <c r="Q29" s="868"/>
      <c r="R29" s="868" t="s">
        <v>773</v>
      </c>
      <c r="S29" s="868"/>
      <c r="T29" s="875" t="s">
        <v>2393</v>
      </c>
      <c r="U29" s="760" t="s">
        <v>2393</v>
      </c>
      <c r="V29" s="760"/>
      <c r="W29" s="760" t="s">
        <v>2393</v>
      </c>
      <c r="X29" s="757"/>
      <c r="Y29" s="911"/>
      <c r="Z29" s="760"/>
      <c r="AA29" s="763"/>
      <c r="AB29" s="760"/>
      <c r="AC29" s="760"/>
      <c r="AD29" s="760"/>
    </row>
    <row r="30" spans="1:30" ht="54" customHeight="1">
      <c r="A30" s="759"/>
      <c r="B30" s="813">
        <v>13</v>
      </c>
      <c r="C30" s="757">
        <v>9</v>
      </c>
      <c r="D30" s="878"/>
      <c r="E30" s="757"/>
      <c r="F30" s="757"/>
      <c r="G30" s="805"/>
      <c r="H30" s="869"/>
      <c r="I30" s="916" t="str">
        <f t="shared" si="1"/>
        <v>2.4</v>
      </c>
      <c r="J30" s="91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6" t="str">
        <f t="shared" si="3"/>
        <v>Указывается общая сумма расходов на оплату труда и отчислений на социальные нужды основного производственного персонала.</v>
      </c>
      <c r="L30" s="758" t="str">
        <f t="shared" si="4"/>
        <v>2.4</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Указывается общая сумма расходов на оплату труда и отчислений на социальные нужды основного производственного персонала.</v>
      </c>
      <c r="O30" s="868" t="s">
        <v>1109</v>
      </c>
      <c r="P30" s="868" t="s">
        <v>1100</v>
      </c>
      <c r="Q30" s="868" t="s">
        <v>1109</v>
      </c>
      <c r="R30" s="868" t="s">
        <v>1100</v>
      </c>
      <c r="S30" s="868"/>
      <c r="T30" s="875" t="s">
        <v>2394</v>
      </c>
      <c r="U30" s="760" t="s">
        <v>2394</v>
      </c>
      <c r="V30" s="760" t="s">
        <v>2394</v>
      </c>
      <c r="W30" s="760" t="s">
        <v>2394</v>
      </c>
      <c r="X30" s="757"/>
      <c r="Y30" s="911"/>
      <c r="Z30" s="760"/>
      <c r="AA30" s="763" t="s">
        <v>2395</v>
      </c>
      <c r="AB30" s="763" t="s">
        <v>2395</v>
      </c>
      <c r="AC30" s="763" t="s">
        <v>2395</v>
      </c>
      <c r="AD30" s="760"/>
    </row>
    <row r="31" spans="1:30" ht="18" customHeight="1">
      <c r="A31" s="759"/>
      <c r="B31" s="813">
        <v>14</v>
      </c>
      <c r="C31" s="757" t="s">
        <v>2396</v>
      </c>
      <c r="D31" s="878"/>
      <c r="E31" s="757"/>
      <c r="F31" s="757"/>
      <c r="G31" s="805"/>
      <c r="H31" s="869"/>
      <c r="I31" s="916" t="str">
        <f t="shared" si="1"/>
        <v>2.4.1</v>
      </c>
      <c r="J31" s="916" t="str">
        <f t="shared" si="2"/>
        <v>Расходы на оплату труда основного производственного персонала</v>
      </c>
      <c r="K31" s="916">
        <f t="shared" si="3"/>
        <v>0</v>
      </c>
      <c r="L31" s="758" t="str">
        <f t="shared" si="4"/>
        <v>2.4.1</v>
      </c>
      <c r="M31" s="758" t="str">
        <f t="shared" si="5"/>
        <v>Расходы на оплату труда основного производственного персонала</v>
      </c>
      <c r="N31" s="758" t="str">
        <f t="shared" si="6"/>
        <v/>
      </c>
      <c r="O31" s="868" t="s">
        <v>2397</v>
      </c>
      <c r="P31" s="868" t="s">
        <v>1103</v>
      </c>
      <c r="Q31" s="868" t="s">
        <v>2397</v>
      </c>
      <c r="R31" s="868" t="s">
        <v>1103</v>
      </c>
      <c r="S31" s="868"/>
      <c r="T31" s="876" t="s">
        <v>2398</v>
      </c>
      <c r="U31" s="760" t="s">
        <v>2398</v>
      </c>
      <c r="V31" s="760" t="s">
        <v>2398</v>
      </c>
      <c r="W31" s="760" t="s">
        <v>2398</v>
      </c>
      <c r="X31" s="757"/>
      <c r="Y31" s="911"/>
      <c r="Z31" s="760"/>
      <c r="AA31" s="763"/>
      <c r="AB31" s="763"/>
      <c r="AC31" s="763"/>
      <c r="AD31" s="760"/>
    </row>
    <row r="32" spans="1:30" ht="36" customHeight="1">
      <c r="A32" s="759"/>
      <c r="B32" s="813">
        <v>15</v>
      </c>
      <c r="C32" s="757" t="s">
        <v>2399</v>
      </c>
      <c r="D32" s="878"/>
      <c r="E32" s="757"/>
      <c r="F32" s="757"/>
      <c r="G32" s="805"/>
      <c r="H32" s="869"/>
      <c r="I32" s="916" t="str">
        <f t="shared" si="1"/>
        <v>2.4.2</v>
      </c>
      <c r="J32" s="91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6">
        <f t="shared" si="3"/>
        <v>0</v>
      </c>
      <c r="L32" s="758" t="str">
        <f t="shared" si="4"/>
        <v>2.4.2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8" t="s">
        <v>2400</v>
      </c>
      <c r="P32" s="868" t="s">
        <v>1105</v>
      </c>
      <c r="Q32" s="868" t="s">
        <v>2400</v>
      </c>
      <c r="R32" s="868" t="s">
        <v>1105</v>
      </c>
      <c r="S32" s="868"/>
      <c r="T32" s="877" t="s">
        <v>2401</v>
      </c>
      <c r="U32" s="760" t="s">
        <v>2401</v>
      </c>
      <c r="V32" s="760" t="s">
        <v>2401</v>
      </c>
      <c r="W32" s="760" t="s">
        <v>2401</v>
      </c>
      <c r="X32" s="757"/>
      <c r="Y32" s="911"/>
      <c r="Z32" s="760"/>
      <c r="AA32" s="763"/>
      <c r="AB32" s="763"/>
      <c r="AC32" s="763"/>
      <c r="AD32" s="760"/>
    </row>
    <row r="33" spans="1:30" ht="45" customHeight="1">
      <c r="A33" s="759"/>
      <c r="B33" s="813">
        <v>16</v>
      </c>
      <c r="C33" s="757">
        <v>10</v>
      </c>
      <c r="D33" s="878"/>
      <c r="E33" s="757"/>
      <c r="F33" s="757"/>
      <c r="G33" s="805"/>
      <c r="H33" s="869"/>
      <c r="I33" s="916" t="str">
        <f t="shared" si="1"/>
        <v>2.5</v>
      </c>
      <c r="J33" s="91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6" t="str">
        <f t="shared" si="3"/>
        <v>Указывается общая сумма расходов на оплату труда и отчислений на социальные нужды административно-управленческого персонала.</v>
      </c>
      <c r="L33" s="758" t="str">
        <f t="shared" si="4"/>
        <v>2.5</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Указывается общая сумма расходов на оплату труда и отчислений на социальные нужды административно-управленческого персонала.</v>
      </c>
      <c r="O33" s="868" t="s">
        <v>1111</v>
      </c>
      <c r="P33" s="868" t="s">
        <v>1107</v>
      </c>
      <c r="Q33" s="868" t="s">
        <v>1111</v>
      </c>
      <c r="R33" s="868" t="s">
        <v>1107</v>
      </c>
      <c r="S33" s="868"/>
      <c r="T33" s="876" t="s">
        <v>2402</v>
      </c>
      <c r="U33" s="760" t="s">
        <v>2402</v>
      </c>
      <c r="V33" s="760" t="s">
        <v>2402</v>
      </c>
      <c r="W33" s="760" t="s">
        <v>2403</v>
      </c>
      <c r="X33" s="757"/>
      <c r="Y33" s="911"/>
      <c r="Z33" s="760"/>
      <c r="AA33" s="763" t="s">
        <v>2404</v>
      </c>
      <c r="AB33" s="763" t="s">
        <v>2404</v>
      </c>
      <c r="AC33" s="763" t="s">
        <v>2404</v>
      </c>
      <c r="AD33" s="760"/>
    </row>
    <row r="34" spans="1:30" ht="27" customHeight="1">
      <c r="A34" s="759"/>
      <c r="B34" s="813">
        <v>17</v>
      </c>
      <c r="C34" s="757" t="s">
        <v>2405</v>
      </c>
      <c r="D34" s="878"/>
      <c r="E34" s="757"/>
      <c r="F34" s="757"/>
      <c r="G34" s="805"/>
      <c r="H34" s="869"/>
      <c r="I34" s="916" t="str">
        <f t="shared" si="1"/>
        <v>2.5.1</v>
      </c>
      <c r="J34" s="916" t="str">
        <f t="shared" si="2"/>
        <v>Расходы на оплату труда административно-управленческого персонала</v>
      </c>
      <c r="K34" s="916">
        <f t="shared" si="3"/>
        <v>0</v>
      </c>
      <c r="L34" s="758" t="str">
        <f t="shared" si="4"/>
        <v>2.5.1</v>
      </c>
      <c r="M34" s="758" t="str">
        <f t="shared" si="5"/>
        <v>Расходы на оплату труда административно-управленческого персонала</v>
      </c>
      <c r="N34" s="758" t="str">
        <f t="shared" si="6"/>
        <v/>
      </c>
      <c r="O34" s="868" t="s">
        <v>2406</v>
      </c>
      <c r="P34" s="868" t="s">
        <v>2387</v>
      </c>
      <c r="Q34" s="868" t="s">
        <v>2406</v>
      </c>
      <c r="R34" s="868" t="s">
        <v>2387</v>
      </c>
      <c r="S34" s="868"/>
      <c r="T34" s="877" t="s">
        <v>2407</v>
      </c>
      <c r="U34" s="760" t="s">
        <v>2407</v>
      </c>
      <c r="V34" s="760" t="s">
        <v>2407</v>
      </c>
      <c r="W34" s="760" t="s">
        <v>2408</v>
      </c>
      <c r="X34" s="757"/>
      <c r="Y34" s="911"/>
      <c r="Z34" s="760"/>
      <c r="AA34" s="763"/>
      <c r="AB34" s="760"/>
      <c r="AC34" s="760"/>
      <c r="AD34" s="760"/>
    </row>
    <row r="35" spans="1:30" ht="45" customHeight="1">
      <c r="A35" s="759"/>
      <c r="B35" s="813">
        <v>18</v>
      </c>
      <c r="C35" s="757" t="s">
        <v>2409</v>
      </c>
      <c r="D35" s="878"/>
      <c r="E35" s="757"/>
      <c r="F35" s="757"/>
      <c r="G35" s="805"/>
      <c r="H35" s="869"/>
      <c r="I35" s="916" t="str">
        <f t="shared" si="1"/>
        <v>2.5.2</v>
      </c>
      <c r="J35" s="91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6">
        <f t="shared" si="3"/>
        <v>0</v>
      </c>
      <c r="L35" s="758" t="str">
        <f t="shared" si="4"/>
        <v>2.5.2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8" t="s">
        <v>2410</v>
      </c>
      <c r="P35" s="868" t="s">
        <v>2390</v>
      </c>
      <c r="Q35" s="868" t="s">
        <v>2410</v>
      </c>
      <c r="R35" s="868" t="s">
        <v>2390</v>
      </c>
      <c r="S35" s="868"/>
      <c r="T35" s="875" t="s">
        <v>2411</v>
      </c>
      <c r="U35" s="760" t="s">
        <v>2411</v>
      </c>
      <c r="V35" s="760" t="s">
        <v>2411</v>
      </c>
      <c r="W35" s="760" t="s">
        <v>2411</v>
      </c>
      <c r="X35" s="757"/>
      <c r="Y35" s="911"/>
      <c r="Z35" s="760"/>
      <c r="AA35" s="763"/>
      <c r="AB35" s="760"/>
      <c r="AC35" s="760"/>
      <c r="AD35" s="760"/>
    </row>
    <row r="36" spans="1:30" ht="18" customHeight="1">
      <c r="A36" s="759"/>
      <c r="B36" s="813">
        <v>19</v>
      </c>
      <c r="C36" s="757">
        <v>11</v>
      </c>
      <c r="D36" s="878"/>
      <c r="E36" s="757"/>
      <c r="F36" s="757"/>
      <c r="G36" s="805"/>
      <c r="H36" s="869"/>
      <c r="I36" s="916" t="str">
        <f t="shared" si="1"/>
        <v>2.6</v>
      </c>
      <c r="J36" s="916" t="str">
        <f t="shared" si="2"/>
        <v>Расходы на амортизацию основных средств и нематериальных активов</v>
      </c>
      <c r="K36" s="916">
        <f t="shared" si="3"/>
        <v>0</v>
      </c>
      <c r="L36" s="758" t="str">
        <f t="shared" si="4"/>
        <v>2.6</v>
      </c>
      <c r="M36" s="758" t="str">
        <f t="shared" si="5"/>
        <v>Расходы на амортизацию основных средств и нематериальных активов</v>
      </c>
      <c r="N36" s="758" t="str">
        <f t="shared" si="6"/>
        <v/>
      </c>
      <c r="O36" s="868" t="s">
        <v>1113</v>
      </c>
      <c r="P36" s="868" t="s">
        <v>1109</v>
      </c>
      <c r="Q36" s="868" t="s">
        <v>1113</v>
      </c>
      <c r="R36" s="868" t="s">
        <v>1109</v>
      </c>
      <c r="S36" s="868"/>
      <c r="T36" s="875" t="s">
        <v>2412</v>
      </c>
      <c r="U36" s="760" t="s">
        <v>2412</v>
      </c>
      <c r="V36" s="760" t="s">
        <v>2412</v>
      </c>
      <c r="W36" s="760" t="s">
        <v>2412</v>
      </c>
      <c r="X36" s="757"/>
      <c r="Y36" s="911"/>
      <c r="Z36" s="760"/>
      <c r="AA36" s="763"/>
      <c r="AB36" s="760"/>
      <c r="AC36" s="760"/>
      <c r="AD36" s="760"/>
    </row>
    <row r="37" spans="1:30" ht="18" customHeight="1">
      <c r="A37" s="759"/>
      <c r="B37" s="813">
        <v>20</v>
      </c>
      <c r="C37" s="757" t="s">
        <v>2413</v>
      </c>
      <c r="D37" s="878"/>
      <c r="E37" s="757"/>
      <c r="F37" s="757"/>
      <c r="G37" s="805"/>
      <c r="H37" s="869"/>
      <c r="I37" s="916" t="str">
        <f t="shared" si="1"/>
        <v>2.6.1</v>
      </c>
      <c r="J37" s="916" t="str">
        <f t="shared" si="2"/>
        <v>Расходы на амортизацию основных средств</v>
      </c>
      <c r="K37" s="916">
        <f t="shared" si="3"/>
        <v>0</v>
      </c>
      <c r="L37" s="758" t="str">
        <f t="shared" si="4"/>
        <v>2.6.1</v>
      </c>
      <c r="M37" s="758" t="str">
        <f t="shared" si="5"/>
        <v>Расходы на амортизацию основных средств</v>
      </c>
      <c r="N37" s="758" t="str">
        <f t="shared" si="6"/>
        <v/>
      </c>
      <c r="O37" s="868" t="s">
        <v>2414</v>
      </c>
      <c r="P37" s="868" t="s">
        <v>2397</v>
      </c>
      <c r="Q37" s="868" t="s">
        <v>2414</v>
      </c>
      <c r="R37" s="868" t="s">
        <v>2397</v>
      </c>
      <c r="S37" s="868"/>
      <c r="T37" s="875" t="s">
        <v>2415</v>
      </c>
      <c r="U37" s="760" t="s">
        <v>2415</v>
      </c>
      <c r="V37" s="760" t="s">
        <v>2415</v>
      </c>
      <c r="W37" s="760" t="s">
        <v>2415</v>
      </c>
      <c r="X37" s="757"/>
      <c r="Y37" s="911"/>
      <c r="Z37" s="760"/>
      <c r="AA37" s="763"/>
      <c r="AB37" s="760"/>
      <c r="AC37" s="760"/>
      <c r="AD37" s="760"/>
    </row>
    <row r="38" spans="1:30" ht="18" customHeight="1">
      <c r="A38" s="759"/>
      <c r="B38" s="813">
        <v>21</v>
      </c>
      <c r="C38" s="757" t="s">
        <v>2416</v>
      </c>
      <c r="D38" s="878"/>
      <c r="E38" s="757"/>
      <c r="F38" s="757"/>
      <c r="G38" s="805"/>
      <c r="H38" s="869"/>
      <c r="I38" s="916" t="str">
        <f t="shared" si="1"/>
        <v>2.6.2</v>
      </c>
      <c r="J38" s="916" t="str">
        <f t="shared" si="2"/>
        <v>Расходы на амортизацию нематериальных активов</v>
      </c>
      <c r="K38" s="916">
        <f t="shared" si="3"/>
        <v>0</v>
      </c>
      <c r="L38" s="758" t="str">
        <f t="shared" si="4"/>
        <v>2.6.2</v>
      </c>
      <c r="M38" s="758" t="str">
        <f t="shared" si="5"/>
        <v>Расходы на амортизацию нематериальных активов</v>
      </c>
      <c r="N38" s="758" t="str">
        <f t="shared" si="6"/>
        <v/>
      </c>
      <c r="O38" s="868" t="s">
        <v>2417</v>
      </c>
      <c r="P38" s="868" t="s">
        <v>2400</v>
      </c>
      <c r="Q38" s="868" t="s">
        <v>2417</v>
      </c>
      <c r="R38" s="868" t="s">
        <v>2400</v>
      </c>
      <c r="S38" s="868"/>
      <c r="T38" s="875" t="s">
        <v>2418</v>
      </c>
      <c r="U38" s="760" t="s">
        <v>2418</v>
      </c>
      <c r="V38" s="760" t="s">
        <v>2418</v>
      </c>
      <c r="W38" s="760" t="s">
        <v>2418</v>
      </c>
      <c r="X38" s="757"/>
      <c r="Y38" s="911"/>
      <c r="Z38" s="760"/>
      <c r="AA38" s="763"/>
      <c r="AB38" s="760"/>
      <c r="AC38" s="760"/>
      <c r="AD38" s="760"/>
    </row>
    <row r="39" spans="1:30" ht="36" customHeight="1">
      <c r="A39" s="759"/>
      <c r="B39" s="813">
        <v>22</v>
      </c>
      <c r="C39" s="757">
        <v>12</v>
      </c>
      <c r="D39" s="878"/>
      <c r="E39" s="757"/>
      <c r="F39" s="757"/>
      <c r="G39" s="805"/>
      <c r="H39" s="869"/>
      <c r="I39" s="916" t="str">
        <f t="shared" si="1"/>
        <v>2.7</v>
      </c>
      <c r="J39" s="916" t="str">
        <f t="shared" si="2"/>
        <v>Расходы на аренду имущества, используемого для осуществления регулируемых видов деятельности в сфере холодного водоснабжения</v>
      </c>
      <c r="K39" s="916">
        <f t="shared" si="3"/>
        <v>0</v>
      </c>
      <c r="L39" s="758" t="str">
        <f t="shared" si="4"/>
        <v>2.7</v>
      </c>
      <c r="M39" s="758" t="str">
        <f t="shared" si="5"/>
        <v>Расходы на аренду имущества, используемого для осуществления регулируемых видов деятельности в сфере холодного водоснабжения</v>
      </c>
      <c r="N39" s="758" t="str">
        <f t="shared" si="6"/>
        <v/>
      </c>
      <c r="O39" s="868" t="s">
        <v>1117</v>
      </c>
      <c r="P39" s="868" t="s">
        <v>1111</v>
      </c>
      <c r="Q39" s="868" t="s">
        <v>1117</v>
      </c>
      <c r="R39" s="868" t="s">
        <v>1111</v>
      </c>
      <c r="S39" s="868"/>
      <c r="T39" s="875" t="s">
        <v>2419</v>
      </c>
      <c r="U39" s="760" t="s">
        <v>2420</v>
      </c>
      <c r="V39" s="760" t="s">
        <v>2421</v>
      </c>
      <c r="W39" s="760" t="s">
        <v>2422</v>
      </c>
      <c r="X39" s="757"/>
      <c r="Y39" s="911"/>
      <c r="Z39" s="760"/>
      <c r="AA39" s="763"/>
      <c r="AB39" s="760"/>
      <c r="AC39" s="760"/>
      <c r="AD39" s="760"/>
    </row>
    <row r="40" spans="1:30" ht="18" customHeight="1">
      <c r="A40" s="759"/>
      <c r="B40" s="813">
        <v>23</v>
      </c>
      <c r="C40" s="757">
        <v>13</v>
      </c>
      <c r="D40" s="878"/>
      <c r="E40" s="757"/>
      <c r="F40" s="757"/>
      <c r="G40" s="757"/>
      <c r="H40" s="808"/>
      <c r="I40" s="916" t="str">
        <f t="shared" si="1"/>
        <v>2.8</v>
      </c>
      <c r="J40" s="916" t="str">
        <f t="shared" si="2"/>
        <v>Общепроизводственные расходы, в том числе:</v>
      </c>
      <c r="K40" s="916" t="str">
        <f t="shared" si="3"/>
        <v>Указывается общая сумма общепроизводственных расходов.</v>
      </c>
      <c r="L40" s="758" t="str">
        <f t="shared" si="4"/>
        <v>2.8</v>
      </c>
      <c r="M40" s="758" t="str">
        <f t="shared" si="5"/>
        <v>Общепроизводственные расходы, в том числе:</v>
      </c>
      <c r="N40" s="758" t="str">
        <f t="shared" si="6"/>
        <v>Указывается общая сумма общепроизводственных расходов.</v>
      </c>
      <c r="O40" s="868" t="s">
        <v>2423</v>
      </c>
      <c r="P40" s="868" t="s">
        <v>1113</v>
      </c>
      <c r="Q40" s="868" t="s">
        <v>2423</v>
      </c>
      <c r="R40" s="868" t="s">
        <v>1113</v>
      </c>
      <c r="S40" s="868"/>
      <c r="T40" s="757" t="s">
        <v>2424</v>
      </c>
      <c r="U40" s="757" t="s">
        <v>2424</v>
      </c>
      <c r="V40" s="757" t="s">
        <v>2424</v>
      </c>
      <c r="W40" s="757" t="s">
        <v>2424</v>
      </c>
      <c r="X40" s="757"/>
      <c r="Y40" s="911"/>
      <c r="Z40" s="760" t="s">
        <v>2425</v>
      </c>
      <c r="AA40" s="763" t="s">
        <v>2425</v>
      </c>
      <c r="AB40" s="763" t="s">
        <v>2425</v>
      </c>
      <c r="AC40" s="763" t="s">
        <v>2425</v>
      </c>
      <c r="AD40" s="760"/>
    </row>
    <row r="41" spans="1:30" ht="27" customHeight="1">
      <c r="A41" s="759"/>
      <c r="B41" s="813">
        <v>24</v>
      </c>
      <c r="C41" s="757" t="s">
        <v>2426</v>
      </c>
      <c r="D41" s="878"/>
      <c r="E41" s="757"/>
      <c r="F41" s="757"/>
      <c r="G41" s="757"/>
      <c r="H41" s="805"/>
      <c r="I41" s="916" t="str">
        <f t="shared" si="1"/>
        <v>2.8.1</v>
      </c>
      <c r="J41" s="916" t="str">
        <f t="shared" si="2"/>
        <v>Расходы на текущий ремонт</v>
      </c>
      <c r="K41" s="916" t="str">
        <f t="shared" si="3"/>
        <v>Указываются расходы на текущий ремонт, отнесенные к общепроизводственным расходам.</v>
      </c>
      <c r="L41" s="758" t="str">
        <f t="shared" si="4"/>
        <v>2.8.1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8" t="s">
        <v>2427</v>
      </c>
      <c r="P41" s="868" t="s">
        <v>2414</v>
      </c>
      <c r="Q41" s="868" t="s">
        <v>2427</v>
      </c>
      <c r="R41" s="868" t="s">
        <v>2414</v>
      </c>
      <c r="S41" s="868"/>
      <c r="T41" s="757" t="s">
        <v>2428</v>
      </c>
      <c r="U41" s="757" t="s">
        <v>2428</v>
      </c>
      <c r="V41" s="757" t="s">
        <v>2428</v>
      </c>
      <c r="W41" s="757" t="s">
        <v>2428</v>
      </c>
      <c r="X41" s="757"/>
      <c r="Y41" s="911"/>
      <c r="Z41" s="760" t="s">
        <v>2429</v>
      </c>
      <c r="AA41" s="760" t="s">
        <v>2429</v>
      </c>
      <c r="AB41" s="760" t="s">
        <v>2429</v>
      </c>
      <c r="AC41" s="760" t="s">
        <v>2429</v>
      </c>
      <c r="AD41" s="760"/>
    </row>
    <row r="42" spans="1:30" ht="27" customHeight="1">
      <c r="A42" s="759"/>
      <c r="B42" s="813">
        <v>25</v>
      </c>
      <c r="C42" s="757" t="s">
        <v>2430</v>
      </c>
      <c r="D42" s="878"/>
      <c r="E42" s="757"/>
      <c r="F42" s="757"/>
      <c r="G42" s="757"/>
      <c r="H42" s="805"/>
      <c r="I42" s="916" t="str">
        <f t="shared" si="1"/>
        <v>2.8.2</v>
      </c>
      <c r="J42" s="916" t="str">
        <f t="shared" si="2"/>
        <v>Расходы на капитальный ремонт</v>
      </c>
      <c r="K42" s="916" t="str">
        <f t="shared" si="3"/>
        <v>Указываются расходы на капитальный ремонт, отнесенные к общепроизводственным расходам.</v>
      </c>
      <c r="L42" s="758" t="str">
        <f t="shared" si="4"/>
        <v>2.8.2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8" t="s">
        <v>2431</v>
      </c>
      <c r="P42" s="868" t="s">
        <v>2417</v>
      </c>
      <c r="Q42" s="868" t="s">
        <v>2431</v>
      </c>
      <c r="R42" s="868" t="s">
        <v>2417</v>
      </c>
      <c r="S42" s="868"/>
      <c r="T42" s="757" t="s">
        <v>2432</v>
      </c>
      <c r="U42" s="757" t="s">
        <v>2432</v>
      </c>
      <c r="V42" s="757" t="s">
        <v>2432</v>
      </c>
      <c r="W42" s="757" t="s">
        <v>2432</v>
      </c>
      <c r="X42" s="757"/>
      <c r="Y42" s="911"/>
      <c r="Z42" s="760" t="s">
        <v>2433</v>
      </c>
      <c r="AA42" s="760" t="s">
        <v>2433</v>
      </c>
      <c r="AB42" s="760" t="s">
        <v>2433</v>
      </c>
      <c r="AC42" s="760" t="s">
        <v>2433</v>
      </c>
      <c r="AD42" s="760"/>
    </row>
    <row r="43" spans="1:30" ht="18" customHeight="1">
      <c r="A43" s="759"/>
      <c r="B43" s="813">
        <v>26</v>
      </c>
      <c r="C43" s="757">
        <v>14</v>
      </c>
      <c r="D43" s="878"/>
      <c r="E43" s="757"/>
      <c r="F43" s="757"/>
      <c r="G43" s="757"/>
      <c r="H43" s="805"/>
      <c r="I43" s="916" t="str">
        <f t="shared" si="1"/>
        <v>2.9</v>
      </c>
      <c r="J43" s="916" t="str">
        <f t="shared" si="2"/>
        <v>Общехозяйственные расходы, в том числе:</v>
      </c>
      <c r="K43" s="916" t="str">
        <f t="shared" si="3"/>
        <v>Указывается общая сумма общехозяйственных расходов.</v>
      </c>
      <c r="L43" s="758" t="str">
        <f t="shared" si="4"/>
        <v>2.9</v>
      </c>
      <c r="M43" s="758" t="str">
        <f t="shared" si="5"/>
        <v>Общехозяйственные расходы, в том числе:</v>
      </c>
      <c r="N43" s="758" t="str">
        <f t="shared" si="6"/>
        <v>Указывается общая сумма общехозяйственных расходов.</v>
      </c>
      <c r="O43" s="868" t="s">
        <v>2434</v>
      </c>
      <c r="P43" s="868" t="s">
        <v>1117</v>
      </c>
      <c r="Q43" s="868" t="s">
        <v>2434</v>
      </c>
      <c r="R43" s="868" t="s">
        <v>1117</v>
      </c>
      <c r="S43" s="868"/>
      <c r="T43" s="757" t="s">
        <v>2435</v>
      </c>
      <c r="U43" s="757" t="s">
        <v>2435</v>
      </c>
      <c r="V43" s="757" t="s">
        <v>2435</v>
      </c>
      <c r="W43" s="757" t="s">
        <v>2435</v>
      </c>
      <c r="X43" s="757"/>
      <c r="Y43" s="911"/>
      <c r="Z43" s="760" t="s">
        <v>2436</v>
      </c>
      <c r="AA43" s="760" t="s">
        <v>2436</v>
      </c>
      <c r="AB43" s="760" t="s">
        <v>2436</v>
      </c>
      <c r="AC43" s="760" t="s">
        <v>2436</v>
      </c>
      <c r="AD43" s="760"/>
    </row>
    <row r="44" spans="1:30" ht="27" customHeight="1">
      <c r="A44" s="759"/>
      <c r="B44" s="813">
        <v>27</v>
      </c>
      <c r="C44" s="757" t="s">
        <v>2437</v>
      </c>
      <c r="D44" s="878"/>
      <c r="E44" s="757"/>
      <c r="F44" s="757"/>
      <c r="G44" s="757"/>
      <c r="H44" s="805"/>
      <c r="I44" s="916" t="str">
        <f t="shared" si="1"/>
        <v>2.9.1</v>
      </c>
      <c r="J44" s="916" t="str">
        <f t="shared" si="2"/>
        <v>Расходы на текущий ремонт</v>
      </c>
      <c r="K44" s="916" t="str">
        <f t="shared" si="3"/>
        <v>Указываются расходы на текущий ремонт, отнесенные к общехозяйственным расходам.</v>
      </c>
      <c r="L44" s="758" t="str">
        <f t="shared" si="4"/>
        <v>2.9.1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8" t="s">
        <v>2438</v>
      </c>
      <c r="P44" s="868" t="s">
        <v>2439</v>
      </c>
      <c r="Q44" s="868" t="s">
        <v>2438</v>
      </c>
      <c r="R44" s="868" t="s">
        <v>2439</v>
      </c>
      <c r="S44" s="868"/>
      <c r="T44" s="757" t="s">
        <v>2428</v>
      </c>
      <c r="U44" s="757" t="s">
        <v>2428</v>
      </c>
      <c r="V44" s="757" t="s">
        <v>2428</v>
      </c>
      <c r="W44" s="757" t="s">
        <v>2428</v>
      </c>
      <c r="X44" s="757"/>
      <c r="Y44" s="911"/>
      <c r="Z44" s="760" t="s">
        <v>2440</v>
      </c>
      <c r="AA44" s="760" t="s">
        <v>2440</v>
      </c>
      <c r="AB44" s="760" t="s">
        <v>2440</v>
      </c>
      <c r="AC44" s="760" t="s">
        <v>2440</v>
      </c>
      <c r="AD44" s="760"/>
    </row>
    <row r="45" spans="1:30" ht="27" customHeight="1">
      <c r="A45" s="759"/>
      <c r="B45" s="813">
        <v>28</v>
      </c>
      <c r="C45" s="757" t="s">
        <v>2441</v>
      </c>
      <c r="D45" s="878"/>
      <c r="E45" s="757"/>
      <c r="F45" s="757"/>
      <c r="G45" s="757"/>
      <c r="H45" s="805"/>
      <c r="I45" s="916" t="str">
        <f t="shared" si="1"/>
        <v>2.9.2</v>
      </c>
      <c r="J45" s="916" t="str">
        <f t="shared" si="2"/>
        <v>Расходы на капитальный ремонт</v>
      </c>
      <c r="K45" s="916" t="str">
        <f t="shared" si="3"/>
        <v>Указываются расходы на капитальный ремонт, отнесенные к общехозяйственным расходам.</v>
      </c>
      <c r="L45" s="758" t="str">
        <f t="shared" si="4"/>
        <v>2.9.2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8" t="s">
        <v>2442</v>
      </c>
      <c r="P45" s="868" t="s">
        <v>2443</v>
      </c>
      <c r="Q45" s="868" t="s">
        <v>2442</v>
      </c>
      <c r="R45" s="868" t="s">
        <v>2443</v>
      </c>
      <c r="S45" s="868"/>
      <c r="T45" s="757" t="s">
        <v>2432</v>
      </c>
      <c r="U45" s="757" t="s">
        <v>2432</v>
      </c>
      <c r="V45" s="757" t="s">
        <v>2432</v>
      </c>
      <c r="W45" s="757" t="s">
        <v>2432</v>
      </c>
      <c r="X45" s="757"/>
      <c r="Y45" s="911"/>
      <c r="Z45" s="760" t="s">
        <v>2444</v>
      </c>
      <c r="AA45" s="760" t="s">
        <v>2444</v>
      </c>
      <c r="AB45" s="760" t="s">
        <v>2444</v>
      </c>
      <c r="AC45" s="760" t="s">
        <v>2444</v>
      </c>
      <c r="AD45" s="760"/>
    </row>
    <row r="46" spans="1:30" ht="54" customHeight="1">
      <c r="A46" s="759"/>
      <c r="B46" s="813">
        <v>29</v>
      </c>
      <c r="C46" s="757">
        <v>15</v>
      </c>
      <c r="D46" s="878"/>
      <c r="E46" s="757"/>
      <c r="F46" s="757"/>
      <c r="G46" s="757"/>
      <c r="H46" s="805"/>
      <c r="I46" s="916" t="str">
        <f t="shared" si="1"/>
        <v>2.10</v>
      </c>
      <c r="J46" s="916" t="str">
        <f t="shared" si="2"/>
        <v>Расходы на капитальный и текущий ремонт основных средств</v>
      </c>
      <c r="K46" s="91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2.10</v>
      </c>
      <c r="M46" s="758" t="str">
        <f t="shared" si="5"/>
        <v>Расходы на капитальный и текущий ремонт основных средств</v>
      </c>
      <c r="N46"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2445</v>
      </c>
      <c r="P46" s="868" t="s">
        <v>2423</v>
      </c>
      <c r="Q46" s="868" t="s">
        <v>2445</v>
      </c>
      <c r="R46" s="868" t="s">
        <v>2423</v>
      </c>
      <c r="S46" s="868"/>
      <c r="T46" s="757" t="s">
        <v>2446</v>
      </c>
      <c r="U46" s="757" t="s">
        <v>2446</v>
      </c>
      <c r="V46" s="757" t="s">
        <v>2446</v>
      </c>
      <c r="W46" s="757" t="s">
        <v>2446</v>
      </c>
      <c r="X46" s="757"/>
      <c r="Y46" s="911"/>
      <c r="Z46" s="760" t="s">
        <v>2447</v>
      </c>
      <c r="AA46" s="760" t="s">
        <v>2448</v>
      </c>
      <c r="AB46" s="760" t="s">
        <v>2448</v>
      </c>
      <c r="AC46" s="760" t="s">
        <v>2448</v>
      </c>
      <c r="AD46" s="760"/>
    </row>
    <row r="47" spans="1:30" ht="54" customHeight="1">
      <c r="A47" s="759"/>
      <c r="B47" s="813">
        <v>30</v>
      </c>
      <c r="C47" s="757" t="s">
        <v>2449</v>
      </c>
      <c r="D47" s="878"/>
      <c r="E47" s="757"/>
      <c r="F47" s="757"/>
      <c r="G47" s="757"/>
      <c r="H47" s="805"/>
      <c r="I47" s="916" t="str">
        <f t="shared" si="1"/>
        <v>2.10.1</v>
      </c>
      <c r="J47" s="91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6">
        <f t="shared" si="3"/>
        <v>0</v>
      </c>
      <c r="L47" s="758" t="str">
        <f t="shared" si="4"/>
        <v>2.10.1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8" t="s">
        <v>2450</v>
      </c>
      <c r="P47" s="868" t="s">
        <v>2427</v>
      </c>
      <c r="Q47" s="868" t="s">
        <v>2450</v>
      </c>
      <c r="R47" s="868" t="s">
        <v>2427</v>
      </c>
      <c r="S47" s="868"/>
      <c r="T47" s="757" t="s">
        <v>2451</v>
      </c>
      <c r="U47" s="757" t="s">
        <v>2451</v>
      </c>
      <c r="V47" s="757" t="s">
        <v>2451</v>
      </c>
      <c r="W47" s="757" t="s">
        <v>2451</v>
      </c>
      <c r="X47" s="757"/>
      <c r="Y47" s="911"/>
      <c r="Z47" s="760"/>
      <c r="AA47" s="763"/>
      <c r="AB47" s="763"/>
      <c r="AC47" s="763"/>
      <c r="AD47" s="760"/>
    </row>
    <row r="48" spans="1:30" ht="54" customHeight="1">
      <c r="A48" s="759"/>
      <c r="B48" s="813">
        <v>31</v>
      </c>
      <c r="C48" s="757">
        <v>16</v>
      </c>
      <c r="D48" s="878"/>
      <c r="E48" s="757"/>
      <c r="F48" s="757"/>
      <c r="G48" s="757"/>
      <c r="H48" s="805"/>
      <c r="I48" s="916" t="str">
        <f t="shared" si="1"/>
        <v>2.11</v>
      </c>
      <c r="J48" s="91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1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8" t="str">
        <f t="shared" si="4"/>
        <v>2.11</v>
      </c>
      <c r="M48" s="758"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8"/>
      <c r="P48" s="868" t="s">
        <v>2434</v>
      </c>
      <c r="Q48" s="868" t="s">
        <v>2452</v>
      </c>
      <c r="R48" s="868" t="s">
        <v>2434</v>
      </c>
      <c r="S48" s="868"/>
      <c r="T48" s="757"/>
      <c r="U48" s="757" t="s">
        <v>2453</v>
      </c>
      <c r="V48" s="757" t="s">
        <v>2454</v>
      </c>
      <c r="W48" s="757" t="s">
        <v>2454</v>
      </c>
      <c r="X48" s="757"/>
      <c r="Y48" s="911"/>
      <c r="Z48" s="760"/>
      <c r="AA48" s="763" t="s">
        <v>2448</v>
      </c>
      <c r="AB48" s="763" t="s">
        <v>2448</v>
      </c>
      <c r="AC48" s="763" t="s">
        <v>2448</v>
      </c>
      <c r="AD48" s="760"/>
    </row>
    <row r="49" spans="1:30" ht="54" customHeight="1">
      <c r="A49" s="759"/>
      <c r="B49" s="813">
        <v>32</v>
      </c>
      <c r="C49" s="757" t="s">
        <v>2455</v>
      </c>
      <c r="D49" s="878"/>
      <c r="E49" s="757"/>
      <c r="F49" s="757"/>
      <c r="G49" s="757"/>
      <c r="H49" s="805"/>
      <c r="I49" s="916" t="str">
        <f t="shared" si="1"/>
        <v>2.11.1</v>
      </c>
      <c r="J49" s="91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6">
        <f t="shared" si="3"/>
        <v>0</v>
      </c>
      <c r="L49" s="758" t="str">
        <f t="shared" si="4"/>
        <v>2.11.1</v>
      </c>
      <c r="M49"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8" t="str">
        <f t="shared" si="6"/>
        <v/>
      </c>
      <c r="O49" s="868"/>
      <c r="P49" s="868" t="s">
        <v>2438</v>
      </c>
      <c r="Q49" s="868" t="s">
        <v>2456</v>
      </c>
      <c r="R49" s="868" t="s">
        <v>2438</v>
      </c>
      <c r="S49" s="868"/>
      <c r="T49" s="757"/>
      <c r="U49" s="757" t="s">
        <v>2451</v>
      </c>
      <c r="V49" s="757" t="s">
        <v>2451</v>
      </c>
      <c r="W49" s="757" t="s">
        <v>2451</v>
      </c>
      <c r="X49" s="757"/>
      <c r="Y49" s="911"/>
      <c r="Z49" s="760"/>
      <c r="AA49" s="763"/>
      <c r="AB49" s="763"/>
      <c r="AC49" s="763"/>
      <c r="AD49" s="760"/>
    </row>
    <row r="50" spans="1:30" ht="126" customHeight="1">
      <c r="A50" s="759"/>
      <c r="B50" s="813">
        <v>33</v>
      </c>
      <c r="C50" s="757">
        <v>17</v>
      </c>
      <c r="D50" s="878"/>
      <c r="E50" s="757"/>
      <c r="F50" s="757"/>
      <c r="G50" s="757"/>
      <c r="H50" s="805"/>
      <c r="I50" s="916" t="str">
        <f t="shared" ref="I50:I81" si="7">INDEX(TEMPLATE_NUMBER_POINT_FHD,B50,MATCH(TEMPLATE_SPHERE,TEMPLATE_SPHERE_LIST_FOR_NOTE,0))</f>
        <v>2.12</v>
      </c>
      <c r="J50" s="91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1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8" t="str">
        <f t="shared" ref="L50:L81" si="10">IF(I50=0,"",I50)</f>
        <v>2.12</v>
      </c>
      <c r="M50" s="758"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5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8" t="s">
        <v>2452</v>
      </c>
      <c r="P50" s="868" t="s">
        <v>2445</v>
      </c>
      <c r="Q50" s="868" t="s">
        <v>2457</v>
      </c>
      <c r="R50" s="868" t="s">
        <v>2445</v>
      </c>
      <c r="S50" s="868"/>
      <c r="T50" s="757" t="s">
        <v>2458</v>
      </c>
      <c r="U50" s="757" t="s">
        <v>2459</v>
      </c>
      <c r="V50" s="757" t="s">
        <v>2460</v>
      </c>
      <c r="W50" s="757" t="s">
        <v>2461</v>
      </c>
      <c r="X50" s="757"/>
      <c r="Y50" s="911"/>
      <c r="Z50" s="760" t="s">
        <v>2462</v>
      </c>
      <c r="AA50" s="763" t="s">
        <v>2463</v>
      </c>
      <c r="AB50" s="763" t="s">
        <v>2463</v>
      </c>
      <c r="AC50" s="763" t="s">
        <v>2463</v>
      </c>
      <c r="AD50" s="760"/>
    </row>
    <row r="51" spans="1:30" ht="27" customHeight="1">
      <c r="A51" s="759"/>
      <c r="B51" s="813">
        <v>34</v>
      </c>
      <c r="C51" s="757" t="s">
        <v>2464</v>
      </c>
      <c r="D51" s="878"/>
      <c r="E51" s="757"/>
      <c r="F51" s="757"/>
      <c r="G51" s="757"/>
      <c r="H51" s="805"/>
      <c r="I51" s="916">
        <f t="shared" si="7"/>
        <v>0</v>
      </c>
      <c r="J51" s="916">
        <f t="shared" si="8"/>
        <v>0</v>
      </c>
      <c r="K51" s="916">
        <f t="shared" si="9"/>
        <v>0</v>
      </c>
      <c r="L51" s="758" t="str">
        <f t="shared" si="10"/>
        <v/>
      </c>
      <c r="M51" s="758" t="str">
        <f t="shared" si="11"/>
        <v/>
      </c>
      <c r="N51" s="758" t="str">
        <f t="shared" si="12"/>
        <v/>
      </c>
      <c r="O51" s="868" t="s">
        <v>86</v>
      </c>
      <c r="P51" s="868"/>
      <c r="Q51" s="868"/>
      <c r="R51" s="868"/>
      <c r="S51" s="868"/>
      <c r="T51" s="757" t="s">
        <v>2465</v>
      </c>
      <c r="U51" s="757"/>
      <c r="V51" s="757"/>
      <c r="W51" s="757"/>
      <c r="X51" s="757"/>
      <c r="Y51" s="911"/>
      <c r="Z51" s="760"/>
      <c r="AA51" s="763"/>
      <c r="AB51" s="763"/>
      <c r="AC51" s="763"/>
      <c r="AD51" s="760"/>
    </row>
    <row r="52" spans="1:30" ht="36" customHeight="1">
      <c r="A52" s="759"/>
      <c r="B52" s="813">
        <v>35</v>
      </c>
      <c r="C52" s="757" t="s">
        <v>2357</v>
      </c>
      <c r="D52" s="878" t="s">
        <v>2357</v>
      </c>
      <c r="E52" s="757" t="s">
        <v>2357</v>
      </c>
      <c r="F52" s="757" t="s">
        <v>2357</v>
      </c>
      <c r="G52" s="757"/>
      <c r="H52" s="805"/>
      <c r="I52" s="916" t="str">
        <f t="shared" si="7"/>
        <v>3</v>
      </c>
      <c r="J52" s="916" t="str">
        <f t="shared" si="8"/>
        <v>Чистая прибыль, полученная от регулируемого вида деятельности в сфере холодного водоснабжения, в том числе:</v>
      </c>
      <c r="K52" s="916" t="str">
        <f t="shared" si="9"/>
        <v>Указывается общая сумма чистой прибыли, полученной от регулируемого вида деятельности.</v>
      </c>
      <c r="L52" s="758" t="str">
        <f t="shared" si="10"/>
        <v>3</v>
      </c>
      <c r="M52" s="758" t="str">
        <f t="shared" si="11"/>
        <v>Чистая прибыль, полученная от регулируемого вида деятельности в сфере холодного водоснабжения, в том числе:</v>
      </c>
      <c r="N52" s="758" t="str">
        <f t="shared" si="12"/>
        <v>Указывается общая сумма чистой прибыли, полученной от регулируемого вида деятельности.</v>
      </c>
      <c r="O52" s="868" t="s">
        <v>87</v>
      </c>
      <c r="P52" s="868" t="s">
        <v>86</v>
      </c>
      <c r="Q52" s="868" t="s">
        <v>86</v>
      </c>
      <c r="R52" s="868" t="s">
        <v>86</v>
      </c>
      <c r="S52" s="868"/>
      <c r="T52" s="757" t="s">
        <v>2466</v>
      </c>
      <c r="U52" s="757" t="s">
        <v>2467</v>
      </c>
      <c r="V52" s="757" t="s">
        <v>2468</v>
      </c>
      <c r="W52" s="757" t="s">
        <v>2469</v>
      </c>
      <c r="X52" s="757"/>
      <c r="Y52" s="911"/>
      <c r="Z52" s="760" t="s">
        <v>1121</v>
      </c>
      <c r="AA52" s="763" t="s">
        <v>1121</v>
      </c>
      <c r="AB52" s="763" t="s">
        <v>1121</v>
      </c>
      <c r="AC52" s="763" t="s">
        <v>1121</v>
      </c>
      <c r="AD52" s="760"/>
    </row>
    <row r="53" spans="1:30" ht="36" customHeight="1">
      <c r="A53" s="759"/>
      <c r="B53" s="813">
        <v>36</v>
      </c>
      <c r="C53" s="757">
        <v>1</v>
      </c>
      <c r="D53" s="878"/>
      <c r="E53" s="757"/>
      <c r="F53" s="757"/>
      <c r="G53" s="757"/>
      <c r="H53" s="805"/>
      <c r="I53" s="916" t="str">
        <f t="shared" si="7"/>
        <v>3.1</v>
      </c>
      <c r="J53" s="91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6">
        <f t="shared" si="9"/>
        <v>0</v>
      </c>
      <c r="L53" s="758" t="str">
        <f t="shared" si="10"/>
        <v>3.1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8" t="s">
        <v>1125</v>
      </c>
      <c r="P53" s="868" t="s">
        <v>789</v>
      </c>
      <c r="Q53" s="868" t="s">
        <v>789</v>
      </c>
      <c r="R53" s="868" t="s">
        <v>789</v>
      </c>
      <c r="S53" s="868"/>
      <c r="T53" s="757" t="s">
        <v>2470</v>
      </c>
      <c r="U53" s="757" t="s">
        <v>2470</v>
      </c>
      <c r="V53" s="757" t="s">
        <v>2470</v>
      </c>
      <c r="W53" s="757" t="s">
        <v>2470</v>
      </c>
      <c r="X53" s="757"/>
      <c r="Y53" s="911"/>
      <c r="Z53" s="760"/>
      <c r="AA53" s="763"/>
      <c r="AB53" s="760"/>
      <c r="AC53" s="760"/>
      <c r="AD53" s="760"/>
    </row>
    <row r="54" spans="1:30" ht="18" customHeight="1">
      <c r="A54" s="759"/>
      <c r="B54" s="813">
        <v>37</v>
      </c>
      <c r="C54" s="757" t="s">
        <v>2363</v>
      </c>
      <c r="D54" s="878" t="s">
        <v>2363</v>
      </c>
      <c r="E54" s="757" t="s">
        <v>2363</v>
      </c>
      <c r="F54" s="757" t="s">
        <v>2363</v>
      </c>
      <c r="G54" s="757"/>
      <c r="H54" s="805"/>
      <c r="I54" s="916" t="str">
        <f t="shared" si="7"/>
        <v>4</v>
      </c>
      <c r="J54" s="916" t="str">
        <f t="shared" si="8"/>
        <v>Изменение стоимости основных фондов, в том числе:</v>
      </c>
      <c r="K54" s="916" t="str">
        <f t="shared" si="9"/>
        <v>Указывается общее изменение стоимости основных фондов.</v>
      </c>
      <c r="L54" s="758" t="str">
        <f t="shared" si="10"/>
        <v>4</v>
      </c>
      <c r="M54" s="758" t="str">
        <f t="shared" si="11"/>
        <v>Изменение стоимости основных фондов, в том числе:</v>
      </c>
      <c r="N54" s="758" t="str">
        <f t="shared" si="12"/>
        <v>Указывается общее изменение стоимости основных фондов.</v>
      </c>
      <c r="O54" s="868" t="s">
        <v>113</v>
      </c>
      <c r="P54" s="868" t="s">
        <v>87</v>
      </c>
      <c r="Q54" s="868" t="s">
        <v>87</v>
      </c>
      <c r="R54" s="868" t="s">
        <v>87</v>
      </c>
      <c r="S54" s="868"/>
      <c r="T54" s="757" t="s">
        <v>1123</v>
      </c>
      <c r="U54" s="757" t="s">
        <v>1123</v>
      </c>
      <c r="V54" s="757" t="s">
        <v>1123</v>
      </c>
      <c r="W54" s="757" t="s">
        <v>1123</v>
      </c>
      <c r="X54" s="757"/>
      <c r="Y54" s="911"/>
      <c r="Z54" s="760" t="s">
        <v>1124</v>
      </c>
      <c r="AA54" s="760" t="s">
        <v>1124</v>
      </c>
      <c r="AB54" s="760" t="s">
        <v>1124</v>
      </c>
      <c r="AC54" s="760" t="s">
        <v>1124</v>
      </c>
      <c r="AD54" s="760"/>
    </row>
    <row r="55" spans="1:30" ht="36" customHeight="1">
      <c r="A55" s="759"/>
      <c r="B55" s="813">
        <v>38</v>
      </c>
      <c r="C55" s="757">
        <v>1</v>
      </c>
      <c r="D55" s="878"/>
      <c r="E55" s="757"/>
      <c r="F55" s="757"/>
      <c r="G55" s="757"/>
      <c r="H55" s="805"/>
      <c r="I55" s="916" t="str">
        <f t="shared" si="7"/>
        <v>4.1</v>
      </c>
      <c r="J55" s="916" t="str">
        <f t="shared" si="8"/>
        <v>Изменение стоимости основных фондов за счет их ввода в эксплуатацию (вывода из эксплуатации)</v>
      </c>
      <c r="K55" s="916" t="str">
        <f t="shared" si="9"/>
        <v>Указываются общее изменение стоимости основных фондов за счет их ввода в эксплуатацию и вывода из эксплуатации.</v>
      </c>
      <c r="L55" s="758" t="str">
        <f t="shared" si="10"/>
        <v>4.1</v>
      </c>
      <c r="M55" s="758" t="str">
        <f t="shared" si="11"/>
        <v>Изменение стоимости основных фондов за счет их ввода в эксплуатацию (вывода из эксплуатации)</v>
      </c>
      <c r="N55" s="758" t="str">
        <f t="shared" si="12"/>
        <v>Указываются общее изменение стоимости основных фондов за счет их ввода в эксплуатацию и вывода из эксплуатации.</v>
      </c>
      <c r="O55" s="868" t="s">
        <v>778</v>
      </c>
      <c r="P55" s="868" t="s">
        <v>1125</v>
      </c>
      <c r="Q55" s="868" t="s">
        <v>1125</v>
      </c>
      <c r="R55" s="868" t="s">
        <v>1125</v>
      </c>
      <c r="S55" s="868"/>
      <c r="T55" s="757" t="s">
        <v>2471</v>
      </c>
      <c r="U55" s="757" t="s">
        <v>2472</v>
      </c>
      <c r="V55" s="757" t="s">
        <v>2472</v>
      </c>
      <c r="W55" s="757" t="s">
        <v>2472</v>
      </c>
      <c r="X55" s="757"/>
      <c r="Y55" s="911"/>
      <c r="Z55" s="760" t="s">
        <v>2473</v>
      </c>
      <c r="AA55" s="760" t="s">
        <v>2473</v>
      </c>
      <c r="AB55" s="760" t="s">
        <v>2473</v>
      </c>
      <c r="AC55" s="760" t="s">
        <v>2473</v>
      </c>
      <c r="AD55" s="760"/>
    </row>
    <row r="56" spans="1:30" ht="27" customHeight="1">
      <c r="A56" s="759"/>
      <c r="B56" s="813">
        <v>39</v>
      </c>
      <c r="C56" s="757" t="s">
        <v>1394</v>
      </c>
      <c r="D56" s="878"/>
      <c r="E56" s="757"/>
      <c r="F56" s="757"/>
      <c r="G56" s="757"/>
      <c r="H56" s="805"/>
      <c r="I56" s="916" t="str">
        <f t="shared" si="7"/>
        <v>4.1.1</v>
      </c>
      <c r="J56" s="916" t="str">
        <f t="shared" si="8"/>
        <v>Изменение стоимости основных фондов за счет их ввода в эксплуатацию</v>
      </c>
      <c r="K56" s="916" t="str">
        <f t="shared" si="9"/>
        <v>Указываются изменение стоимости основных фондов за счет их ввода в эксплуатацию.</v>
      </c>
      <c r="L56" s="758" t="str">
        <f t="shared" si="10"/>
        <v>4.1.1</v>
      </c>
      <c r="M56" s="758" t="str">
        <f t="shared" si="11"/>
        <v>Изменение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8" t="s">
        <v>1512</v>
      </c>
      <c r="P56" s="868" t="s">
        <v>1128</v>
      </c>
      <c r="Q56" s="868" t="s">
        <v>1128</v>
      </c>
      <c r="R56" s="868" t="s">
        <v>1128</v>
      </c>
      <c r="S56" s="868"/>
      <c r="T56" s="757" t="s">
        <v>2474</v>
      </c>
      <c r="U56" s="757" t="s">
        <v>2475</v>
      </c>
      <c r="V56" s="757" t="s">
        <v>2475</v>
      </c>
      <c r="W56" s="757" t="s">
        <v>2475</v>
      </c>
      <c r="X56" s="757"/>
      <c r="Y56" s="911"/>
      <c r="Z56" s="760" t="s">
        <v>1130</v>
      </c>
      <c r="AA56" s="760" t="s">
        <v>1130</v>
      </c>
      <c r="AB56" s="760" t="s">
        <v>1130</v>
      </c>
      <c r="AC56" s="760" t="s">
        <v>1130</v>
      </c>
      <c r="AD56" s="760"/>
    </row>
    <row r="57" spans="1:30" ht="27" customHeight="1">
      <c r="A57" s="759"/>
      <c r="B57" s="813">
        <v>40</v>
      </c>
      <c r="C57" s="757" t="s">
        <v>1396</v>
      </c>
      <c r="D57" s="878"/>
      <c r="E57" s="757"/>
      <c r="F57" s="757"/>
      <c r="G57" s="757"/>
      <c r="H57" s="805"/>
      <c r="I57" s="916" t="str">
        <f t="shared" si="7"/>
        <v>4.1.2</v>
      </c>
      <c r="J57" s="916" t="str">
        <f t="shared" si="8"/>
        <v>Изменение стоимости основных фондов за счет их вывода в эксплуатацию</v>
      </c>
      <c r="K57" s="916" t="str">
        <f t="shared" si="9"/>
        <v>Указываются изменение стоимости основных фондов за счет их вывода из эксплуатации.</v>
      </c>
      <c r="L57" s="758" t="str">
        <f t="shared" si="10"/>
        <v>4.1.2</v>
      </c>
      <c r="M57" s="758" t="str">
        <f t="shared" si="11"/>
        <v>Изменение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8" t="s">
        <v>2476</v>
      </c>
      <c r="P57" s="868" t="s">
        <v>1131</v>
      </c>
      <c r="Q57" s="868" t="s">
        <v>1131</v>
      </c>
      <c r="R57" s="868" t="s">
        <v>1131</v>
      </c>
      <c r="S57" s="868"/>
      <c r="T57" s="757" t="s">
        <v>2477</v>
      </c>
      <c r="U57" s="757" t="s">
        <v>2478</v>
      </c>
      <c r="V57" s="757" t="s">
        <v>2478</v>
      </c>
      <c r="W57" s="757" t="s">
        <v>2478</v>
      </c>
      <c r="X57" s="757"/>
      <c r="Y57" s="911"/>
      <c r="Z57" s="760" t="s">
        <v>1133</v>
      </c>
      <c r="AA57" s="760" t="s">
        <v>1133</v>
      </c>
      <c r="AB57" s="760" t="s">
        <v>1133</v>
      </c>
      <c r="AC57" s="760" t="s">
        <v>1133</v>
      </c>
      <c r="AD57" s="760"/>
    </row>
    <row r="58" spans="1:30" ht="18" customHeight="1">
      <c r="A58" s="759"/>
      <c r="B58" s="813">
        <v>41</v>
      </c>
      <c r="C58" s="757">
        <v>2</v>
      </c>
      <c r="D58" s="878"/>
      <c r="E58" s="757"/>
      <c r="F58" s="757"/>
      <c r="G58" s="757"/>
      <c r="H58" s="805"/>
      <c r="I58" s="916" t="str">
        <f t="shared" si="7"/>
        <v>4.2</v>
      </c>
      <c r="J58" s="916" t="str">
        <f t="shared" si="8"/>
        <v>Изменение стоимости основных фондов за счет их переоценки</v>
      </c>
      <c r="K58" s="916">
        <f t="shared" si="9"/>
        <v>0</v>
      </c>
      <c r="L58" s="758" t="str">
        <f t="shared" si="10"/>
        <v>4.2</v>
      </c>
      <c r="M58" s="758" t="str">
        <f t="shared" si="11"/>
        <v>Изменение стоимости основных фондов за счет их переоценки</v>
      </c>
      <c r="N58" s="758" t="str">
        <f t="shared" si="12"/>
        <v/>
      </c>
      <c r="O58" s="868" t="s">
        <v>780</v>
      </c>
      <c r="P58" s="868" t="s">
        <v>1168</v>
      </c>
      <c r="Q58" s="868" t="s">
        <v>1168</v>
      </c>
      <c r="R58" s="868" t="s">
        <v>1168</v>
      </c>
      <c r="S58" s="868"/>
      <c r="T58" s="757" t="s">
        <v>2479</v>
      </c>
      <c r="U58" s="757" t="s">
        <v>2479</v>
      </c>
      <c r="V58" s="757" t="s">
        <v>2479</v>
      </c>
      <c r="W58" s="757" t="s">
        <v>2479</v>
      </c>
      <c r="X58" s="757"/>
      <c r="Y58" s="911"/>
      <c r="Z58" s="760"/>
      <c r="AA58" s="763"/>
      <c r="AB58" s="760"/>
      <c r="AC58" s="760"/>
      <c r="AD58" s="760"/>
    </row>
    <row r="59" spans="1:30" ht="36" customHeight="1">
      <c r="A59" s="759"/>
      <c r="B59" s="813">
        <v>42</v>
      </c>
      <c r="C59" s="757">
        <v>3</v>
      </c>
      <c r="D59" s="878" t="s">
        <v>2464</v>
      </c>
      <c r="E59" s="757" t="s">
        <v>2464</v>
      </c>
      <c r="F59" s="757" t="s">
        <v>2464</v>
      </c>
      <c r="G59" s="757"/>
      <c r="H59" s="805"/>
      <c r="I59" s="916" t="str">
        <f t="shared" si="7"/>
        <v>5</v>
      </c>
      <c r="J59" s="916" t="str">
        <f t="shared" si="8"/>
        <v>Валовая прибыль (убытки) от продажи товаров и услуг по регулируемым видам деятельности в сфере холодного водоснабжения</v>
      </c>
      <c r="K59" s="916">
        <f t="shared" si="9"/>
        <v>0</v>
      </c>
      <c r="L59" s="758" t="str">
        <f t="shared" si="10"/>
        <v>5</v>
      </c>
      <c r="M59" s="758" t="str">
        <f t="shared" si="11"/>
        <v>Валовая прибыль (убытки) от продажи товаров и услуг по регулируемым видам деятельности в сфере холодного водоснабжения</v>
      </c>
      <c r="N59" s="758" t="str">
        <f t="shared" si="12"/>
        <v/>
      </c>
      <c r="O59" s="868"/>
      <c r="P59" s="868" t="s">
        <v>113</v>
      </c>
      <c r="Q59" s="868" t="s">
        <v>113</v>
      </c>
      <c r="R59" s="868" t="s">
        <v>113</v>
      </c>
      <c r="S59" s="868"/>
      <c r="T59" s="757"/>
      <c r="U59" s="757" t="s">
        <v>2480</v>
      </c>
      <c r="V59" s="757" t="s">
        <v>2481</v>
      </c>
      <c r="W59" s="757" t="s">
        <v>2482</v>
      </c>
      <c r="X59" s="757"/>
      <c r="Y59" s="911"/>
      <c r="Z59" s="760"/>
      <c r="AA59" s="763"/>
      <c r="AB59" s="760"/>
      <c r="AC59" s="760"/>
      <c r="AD59" s="760"/>
    </row>
    <row r="60" spans="1:30" ht="81" customHeight="1">
      <c r="A60" s="759"/>
      <c r="B60" s="813">
        <v>43</v>
      </c>
      <c r="C60" s="757" t="s">
        <v>2483</v>
      </c>
      <c r="D60" s="878" t="s">
        <v>2483</v>
      </c>
      <c r="E60" s="757" t="s">
        <v>2483</v>
      </c>
      <c r="F60" s="757" t="s">
        <v>2483</v>
      </c>
      <c r="G60" s="757"/>
      <c r="H60" s="805"/>
      <c r="I60" s="916" t="str">
        <f t="shared" si="7"/>
        <v>6</v>
      </c>
      <c r="J60" s="916" t="str">
        <f t="shared" si="8"/>
        <v>Годовая бухгалтерская (финансовая) отчетность, включая бухгалтерский баланс и приложения к нему</v>
      </c>
      <c r="K60" s="91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8" t="s">
        <v>88</v>
      </c>
      <c r="P60" s="868" t="s">
        <v>88</v>
      </c>
      <c r="Q60" s="868" t="s">
        <v>88</v>
      </c>
      <c r="R60" s="868" t="s">
        <v>88</v>
      </c>
      <c r="S60" s="868"/>
      <c r="T60" s="757" t="s">
        <v>1137</v>
      </c>
      <c r="U60" s="757" t="s">
        <v>1137</v>
      </c>
      <c r="V60" s="757" t="s">
        <v>1137</v>
      </c>
      <c r="W60" s="757" t="s">
        <v>1137</v>
      </c>
      <c r="X60" s="757"/>
      <c r="Y60" s="911"/>
      <c r="Z60" s="760" t="s">
        <v>2484</v>
      </c>
      <c r="AA60" s="763" t="s">
        <v>2485</v>
      </c>
      <c r="AB60" s="760" t="s">
        <v>2486</v>
      </c>
      <c r="AC60" s="760" t="s">
        <v>2485</v>
      </c>
      <c r="AD60" s="760"/>
    </row>
    <row r="61" spans="1:30" ht="9" customHeight="1">
      <c r="A61" s="759"/>
      <c r="B61" s="813">
        <v>44</v>
      </c>
      <c r="C61" s="757"/>
      <c r="D61" s="878" t="s">
        <v>2487</v>
      </c>
      <c r="E61" s="757"/>
      <c r="F61" s="757"/>
      <c r="G61" s="757"/>
      <c r="H61" s="805"/>
      <c r="I61" s="916" t="str">
        <f t="shared" si="7"/>
        <v>7</v>
      </c>
      <c r="J61" s="916" t="str">
        <f t="shared" si="8"/>
        <v>Объём поднятой воды</v>
      </c>
      <c r="K61" s="916">
        <f t="shared" si="9"/>
        <v>0</v>
      </c>
      <c r="L61" s="758" t="str">
        <f t="shared" si="10"/>
        <v>7</v>
      </c>
      <c r="M61" s="758" t="str">
        <f t="shared" si="11"/>
        <v>Объём поднятой воды</v>
      </c>
      <c r="N61" s="758" t="str">
        <f t="shared" si="12"/>
        <v/>
      </c>
      <c r="O61" s="868"/>
      <c r="P61" s="868" t="s">
        <v>89</v>
      </c>
      <c r="Q61" s="868"/>
      <c r="R61" s="868"/>
      <c r="S61" s="868"/>
      <c r="T61" s="757"/>
      <c r="U61" s="757" t="s">
        <v>2488</v>
      </c>
      <c r="V61" s="757"/>
      <c r="W61" s="757"/>
      <c r="X61" s="757"/>
      <c r="Y61" s="911"/>
      <c r="Z61" s="760"/>
      <c r="AA61" s="763"/>
      <c r="AB61" s="760"/>
      <c r="AC61" s="760"/>
      <c r="AD61" s="760"/>
    </row>
    <row r="62" spans="1:30" ht="9" customHeight="1">
      <c r="A62" s="759"/>
      <c r="B62" s="813">
        <v>45</v>
      </c>
      <c r="C62" s="757"/>
      <c r="D62" s="878" t="s">
        <v>2489</v>
      </c>
      <c r="E62" s="757"/>
      <c r="F62" s="757"/>
      <c r="G62" s="757"/>
      <c r="H62" s="805"/>
      <c r="I62" s="916" t="str">
        <f t="shared" si="7"/>
        <v>8</v>
      </c>
      <c r="J62" s="916" t="str">
        <f t="shared" si="8"/>
        <v>Объём покупной воды</v>
      </c>
      <c r="K62" s="916">
        <f t="shared" si="9"/>
        <v>0</v>
      </c>
      <c r="L62" s="758" t="str">
        <f t="shared" si="10"/>
        <v>8</v>
      </c>
      <c r="M62" s="758" t="str">
        <f t="shared" si="11"/>
        <v>Объём покупной воды</v>
      </c>
      <c r="N62" s="758" t="str">
        <f t="shared" si="12"/>
        <v/>
      </c>
      <c r="O62" s="868"/>
      <c r="P62" s="868" t="s">
        <v>126</v>
      </c>
      <c r="Q62" s="868"/>
      <c r="R62" s="868"/>
      <c r="S62" s="868"/>
      <c r="T62" s="757"/>
      <c r="U62" s="757" t="s">
        <v>2490</v>
      </c>
      <c r="V62" s="757"/>
      <c r="W62" s="757"/>
      <c r="X62" s="757"/>
      <c r="Y62" s="911"/>
      <c r="Z62" s="760"/>
      <c r="AA62" s="763"/>
      <c r="AB62" s="760"/>
      <c r="AC62" s="760"/>
      <c r="AD62" s="760"/>
    </row>
    <row r="63" spans="1:30" ht="18" customHeight="1">
      <c r="A63" s="759"/>
      <c r="B63" s="813">
        <v>46</v>
      </c>
      <c r="C63" s="757"/>
      <c r="D63" s="878" t="s">
        <v>2491</v>
      </c>
      <c r="E63" s="757"/>
      <c r="F63" s="757"/>
      <c r="G63" s="757"/>
      <c r="H63" s="805"/>
      <c r="I63" s="916" t="str">
        <f t="shared" si="7"/>
        <v>9</v>
      </c>
      <c r="J63" s="916" t="str">
        <f t="shared" si="8"/>
        <v>Объём воды, пропущенной через очистные сооружения</v>
      </c>
      <c r="K63" s="916">
        <f t="shared" si="9"/>
        <v>0</v>
      </c>
      <c r="L63" s="758" t="str">
        <f t="shared" si="10"/>
        <v>9</v>
      </c>
      <c r="M63" s="758" t="str">
        <f t="shared" si="11"/>
        <v>Объём воды, пропущенной через очистные сооружения</v>
      </c>
      <c r="N63" s="758" t="str">
        <f t="shared" si="12"/>
        <v/>
      </c>
      <c r="O63" s="868"/>
      <c r="P63" s="868" t="s">
        <v>131</v>
      </c>
      <c r="Q63" s="868"/>
      <c r="R63" s="868"/>
      <c r="S63" s="868"/>
      <c r="T63" s="757"/>
      <c r="U63" s="757" t="s">
        <v>2492</v>
      </c>
      <c r="V63" s="757"/>
      <c r="W63" s="757"/>
      <c r="X63" s="757"/>
      <c r="Y63" s="911"/>
      <c r="Z63" s="760"/>
      <c r="AA63" s="763"/>
      <c r="AB63" s="760"/>
      <c r="AC63" s="760"/>
      <c r="AD63" s="760"/>
    </row>
    <row r="64" spans="1:30" ht="18" customHeight="1">
      <c r="A64" s="759"/>
      <c r="B64" s="813">
        <v>47</v>
      </c>
      <c r="C64" s="757"/>
      <c r="D64" s="878" t="s">
        <v>2493</v>
      </c>
      <c r="E64" s="757"/>
      <c r="F64" s="757"/>
      <c r="G64" s="757"/>
      <c r="H64" s="805"/>
      <c r="I64" s="916" t="str">
        <f t="shared" si="7"/>
        <v>10</v>
      </c>
      <c r="J64" s="916" t="str">
        <f t="shared" si="8"/>
        <v>Объём отпущенной потребителям воды, в том числе:</v>
      </c>
      <c r="K64" s="916" t="str">
        <f t="shared" si="9"/>
        <v>Указывается общий объем отпущенной потребителям воды.</v>
      </c>
      <c r="L64" s="758" t="str">
        <f t="shared" si="10"/>
        <v>10</v>
      </c>
      <c r="M64" s="758" t="str">
        <f t="shared" si="11"/>
        <v>Объём отпущенной потребителям воды, в том числе:</v>
      </c>
      <c r="N64" s="758" t="str">
        <f t="shared" si="12"/>
        <v>Указывается общий объем отпущенной потребителям воды.</v>
      </c>
      <c r="O64" s="868"/>
      <c r="P64" s="868" t="s">
        <v>136</v>
      </c>
      <c r="Q64" s="868"/>
      <c r="R64" s="868"/>
      <c r="S64" s="868"/>
      <c r="T64" s="757"/>
      <c r="U64" s="757" t="s">
        <v>2494</v>
      </c>
      <c r="V64" s="757"/>
      <c r="W64" s="757"/>
      <c r="X64" s="757"/>
      <c r="Y64" s="911"/>
      <c r="Z64" s="760"/>
      <c r="AA64" s="763" t="s">
        <v>2495</v>
      </c>
      <c r="AB64" s="760"/>
      <c r="AC64" s="760"/>
      <c r="AD64" s="760"/>
    </row>
    <row r="65" spans="1:30" ht="18" customHeight="1">
      <c r="A65" s="759"/>
      <c r="B65" s="813">
        <v>48</v>
      </c>
      <c r="C65" s="757"/>
      <c r="D65" s="878"/>
      <c r="E65" s="757"/>
      <c r="F65" s="757"/>
      <c r="G65" s="757"/>
      <c r="H65" s="805"/>
      <c r="I65" s="916" t="str">
        <f t="shared" si="7"/>
        <v>10.1</v>
      </c>
      <c r="J65" s="916" t="str">
        <f t="shared" si="8"/>
        <v>Объём отпущенной потребителям воды, определенный по приборам учета</v>
      </c>
      <c r="K65" s="916">
        <f t="shared" si="9"/>
        <v>0</v>
      </c>
      <c r="L65" s="758" t="str">
        <f t="shared" si="10"/>
        <v>10.1</v>
      </c>
      <c r="M65" s="758" t="str">
        <f t="shared" si="11"/>
        <v>Объём отпущенной потребителям воды, определенный по приборам учета</v>
      </c>
      <c r="N65" s="758" t="str">
        <f t="shared" si="12"/>
        <v/>
      </c>
      <c r="O65" s="868"/>
      <c r="P65" s="868" t="s">
        <v>2405</v>
      </c>
      <c r="Q65" s="868"/>
      <c r="R65" s="868"/>
      <c r="S65" s="868"/>
      <c r="T65" s="757"/>
      <c r="U65" s="757" t="s">
        <v>2496</v>
      </c>
      <c r="V65" s="757"/>
      <c r="W65" s="757"/>
      <c r="X65" s="757"/>
      <c r="Y65" s="911"/>
      <c r="Z65" s="760"/>
      <c r="AA65" s="763"/>
      <c r="AB65" s="760"/>
      <c r="AC65" s="760"/>
      <c r="AD65" s="760"/>
    </row>
    <row r="66" spans="1:30" ht="18" customHeight="1">
      <c r="A66" s="759"/>
      <c r="B66" s="813">
        <v>49</v>
      </c>
      <c r="C66" s="757"/>
      <c r="D66" s="878"/>
      <c r="E66" s="757"/>
      <c r="F66" s="757"/>
      <c r="G66" s="757"/>
      <c r="H66" s="805"/>
      <c r="I66" s="916" t="str">
        <f t="shared" si="7"/>
        <v>10.2</v>
      </c>
      <c r="J66" s="916" t="str">
        <f t="shared" si="8"/>
        <v>Объём отпущенной потребителям воды, определенный расчетным способом</v>
      </c>
      <c r="K66" s="916">
        <f t="shared" si="9"/>
        <v>0</v>
      </c>
      <c r="L66" s="758" t="str">
        <f t="shared" si="10"/>
        <v>10.2</v>
      </c>
      <c r="M66" s="758" t="str">
        <f t="shared" si="11"/>
        <v>Объём отпущенной потребителям воды, определенный расчетным способом</v>
      </c>
      <c r="N66" s="758" t="str">
        <f t="shared" si="12"/>
        <v/>
      </c>
      <c r="O66" s="868"/>
      <c r="P66" s="868" t="s">
        <v>2409</v>
      </c>
      <c r="Q66" s="868"/>
      <c r="R66" s="868"/>
      <c r="S66" s="868"/>
      <c r="T66" s="757"/>
      <c r="U66" s="757" t="s">
        <v>2497</v>
      </c>
      <c r="V66" s="757"/>
      <c r="W66" s="757"/>
      <c r="X66" s="757"/>
      <c r="Y66" s="911"/>
      <c r="Z66" s="760"/>
      <c r="AA66" s="763"/>
      <c r="AB66" s="760"/>
      <c r="AC66" s="760"/>
      <c r="AD66" s="760"/>
    </row>
    <row r="67" spans="1:30" ht="27" customHeight="1">
      <c r="A67" s="759"/>
      <c r="B67" s="813">
        <v>50</v>
      </c>
      <c r="C67" s="757"/>
      <c r="D67" s="878"/>
      <c r="E67" s="757"/>
      <c r="F67" s="757"/>
      <c r="G67" s="757"/>
      <c r="H67" s="805"/>
      <c r="I67" s="916" t="str">
        <f t="shared" si="7"/>
        <v>10.2.1</v>
      </c>
      <c r="J67" s="916" t="str">
        <f t="shared" si="8"/>
        <v>Объём отпущенной потребителям воды, определенный по нормативам потребления коммунальных услуг</v>
      </c>
      <c r="K67" s="916">
        <f t="shared" si="9"/>
        <v>0</v>
      </c>
      <c r="L67" s="758" t="str">
        <f t="shared" si="10"/>
        <v>10.2.1</v>
      </c>
      <c r="M67" s="758" t="str">
        <f t="shared" si="11"/>
        <v>Объём отпущенной потребителям воды, определенный по нормативам потребления коммунальных услуг</v>
      </c>
      <c r="N67" s="758" t="str">
        <f t="shared" si="12"/>
        <v/>
      </c>
      <c r="O67" s="868"/>
      <c r="P67" s="868" t="s">
        <v>2498</v>
      </c>
      <c r="Q67" s="868"/>
      <c r="R67" s="868"/>
      <c r="S67" s="868"/>
      <c r="T67" s="757"/>
      <c r="U67" s="757" t="s">
        <v>2499</v>
      </c>
      <c r="V67" s="757"/>
      <c r="W67" s="757"/>
      <c r="X67" s="757"/>
      <c r="Y67" s="911"/>
      <c r="Z67" s="760"/>
      <c r="AA67" s="763"/>
      <c r="AB67" s="760"/>
      <c r="AC67" s="760"/>
      <c r="AD67" s="760"/>
    </row>
    <row r="68" spans="1:30" ht="27" customHeight="1">
      <c r="A68" s="759"/>
      <c r="B68" s="813">
        <v>51</v>
      </c>
      <c r="C68" s="757"/>
      <c r="D68" s="878"/>
      <c r="E68" s="757"/>
      <c r="F68" s="757"/>
      <c r="G68" s="757"/>
      <c r="H68" s="805"/>
      <c r="I68" s="916" t="str">
        <f t="shared" si="7"/>
        <v>10.2.2</v>
      </c>
      <c r="J68" s="916" t="str">
        <f t="shared" si="8"/>
        <v xml:space="preserve">Объём отпущенной потребителям воды, определенный по нормативам потребления коммунальных ресурсов </v>
      </c>
      <c r="K68" s="916">
        <f t="shared" si="9"/>
        <v>0</v>
      </c>
      <c r="L68" s="758" t="str">
        <f t="shared" si="10"/>
        <v>10.2.2</v>
      </c>
      <c r="M68" s="758" t="str">
        <f t="shared" si="11"/>
        <v xml:space="preserve">Объём отпущенной потребителям воды, определенный по нормативам потребления коммунальных ресурсов </v>
      </c>
      <c r="N68" s="758" t="str">
        <f t="shared" si="12"/>
        <v/>
      </c>
      <c r="O68" s="868"/>
      <c r="P68" s="868" t="s">
        <v>2500</v>
      </c>
      <c r="Q68" s="868"/>
      <c r="R68" s="868"/>
      <c r="S68" s="868"/>
      <c r="T68" s="757"/>
      <c r="U68" s="757" t="s">
        <v>2501</v>
      </c>
      <c r="V68" s="757"/>
      <c r="W68" s="757"/>
      <c r="X68" s="757"/>
      <c r="Y68" s="911"/>
      <c r="Z68" s="760"/>
      <c r="AA68" s="763"/>
      <c r="AB68" s="760"/>
      <c r="AC68" s="760"/>
      <c r="AD68" s="760"/>
    </row>
    <row r="69" spans="1:30" ht="9" customHeight="1">
      <c r="A69" s="759"/>
      <c r="B69" s="813">
        <v>52</v>
      </c>
      <c r="C69" s="757"/>
      <c r="D69" s="878" t="s">
        <v>2502</v>
      </c>
      <c r="E69" s="757"/>
      <c r="F69" s="757"/>
      <c r="G69" s="757"/>
      <c r="H69" s="805"/>
      <c r="I69" s="916" t="str">
        <f t="shared" si="7"/>
        <v>11</v>
      </c>
      <c r="J69" s="916" t="str">
        <f t="shared" si="8"/>
        <v>Потери воды в сетях</v>
      </c>
      <c r="K69" s="916">
        <f t="shared" si="9"/>
        <v>0</v>
      </c>
      <c r="L69" s="758" t="str">
        <f t="shared" si="10"/>
        <v>11</v>
      </c>
      <c r="M69" s="758" t="str">
        <f t="shared" si="11"/>
        <v>Потери воды в сетях</v>
      </c>
      <c r="N69" s="758" t="str">
        <f t="shared" si="12"/>
        <v/>
      </c>
      <c r="O69" s="868"/>
      <c r="P69" s="868" t="s">
        <v>102</v>
      </c>
      <c r="Q69" s="868"/>
      <c r="R69" s="868"/>
      <c r="S69" s="868"/>
      <c r="T69" s="757"/>
      <c r="U69" s="757" t="s">
        <v>2503</v>
      </c>
      <c r="V69" s="757"/>
      <c r="W69" s="757"/>
      <c r="X69" s="757"/>
      <c r="Y69" s="911"/>
      <c r="Z69" s="760"/>
      <c r="AA69" s="763"/>
      <c r="AB69" s="760"/>
      <c r="AC69" s="760"/>
      <c r="AD69" s="760"/>
    </row>
    <row r="70" spans="1:30" ht="27" customHeight="1">
      <c r="A70" s="759"/>
      <c r="B70" s="813">
        <v>53</v>
      </c>
      <c r="C70" s="757"/>
      <c r="D70" s="878"/>
      <c r="E70" s="757" t="s">
        <v>2487</v>
      </c>
      <c r="F70" s="757"/>
      <c r="G70" s="757"/>
      <c r="H70" s="805"/>
      <c r="I70" s="916">
        <f t="shared" si="7"/>
        <v>0</v>
      </c>
      <c r="J70" s="916">
        <f t="shared" si="8"/>
        <v>0</v>
      </c>
      <c r="K70" s="916">
        <f t="shared" si="9"/>
        <v>0</v>
      </c>
      <c r="L70" s="758" t="str">
        <f t="shared" si="10"/>
        <v/>
      </c>
      <c r="M70" s="758" t="str">
        <f t="shared" si="11"/>
        <v/>
      </c>
      <c r="N70" s="758" t="str">
        <f t="shared" si="12"/>
        <v/>
      </c>
      <c r="O70" s="868"/>
      <c r="P70" s="868"/>
      <c r="Q70" s="868" t="s">
        <v>89</v>
      </c>
      <c r="R70" s="868"/>
      <c r="S70" s="868"/>
      <c r="T70" s="757"/>
      <c r="U70" s="757"/>
      <c r="V70" s="757" t="s">
        <v>2504</v>
      </c>
      <c r="W70" s="757"/>
      <c r="X70" s="757"/>
      <c r="Y70" s="911"/>
      <c r="Z70" s="760"/>
      <c r="AA70" s="763"/>
      <c r="AB70" s="760"/>
      <c r="AC70" s="760"/>
      <c r="AD70" s="760"/>
    </row>
    <row r="71" spans="1:30" ht="36" customHeight="1">
      <c r="A71" s="759"/>
      <c r="B71" s="813">
        <v>54</v>
      </c>
      <c r="C71" s="757"/>
      <c r="D71" s="878"/>
      <c r="E71" s="757" t="s">
        <v>2489</v>
      </c>
      <c r="F71" s="757"/>
      <c r="G71" s="757"/>
      <c r="H71" s="805"/>
      <c r="I71" s="916">
        <f t="shared" si="7"/>
        <v>0</v>
      </c>
      <c r="J71" s="916">
        <f t="shared" si="8"/>
        <v>0</v>
      </c>
      <c r="K71" s="916">
        <f t="shared" si="9"/>
        <v>0</v>
      </c>
      <c r="L71" s="758" t="str">
        <f t="shared" si="10"/>
        <v/>
      </c>
      <c r="M71" s="758" t="str">
        <f t="shared" si="11"/>
        <v/>
      </c>
      <c r="N71" s="758" t="str">
        <f t="shared" si="12"/>
        <v/>
      </c>
      <c r="O71" s="868"/>
      <c r="P71" s="868"/>
      <c r="Q71" s="868" t="s">
        <v>126</v>
      </c>
      <c r="R71" s="868"/>
      <c r="S71" s="868"/>
      <c r="T71" s="757"/>
      <c r="U71" s="757"/>
      <c r="V71" s="757" t="s">
        <v>2505</v>
      </c>
      <c r="W71" s="757"/>
      <c r="X71" s="757"/>
      <c r="Y71" s="911"/>
      <c r="Z71" s="760"/>
      <c r="AA71" s="763"/>
      <c r="AB71" s="760"/>
      <c r="AC71" s="760"/>
      <c r="AD71" s="760"/>
    </row>
    <row r="72" spans="1:30" ht="27" customHeight="1">
      <c r="A72" s="759"/>
      <c r="B72" s="813">
        <v>55</v>
      </c>
      <c r="C72" s="757"/>
      <c r="D72" s="878"/>
      <c r="E72" s="757" t="s">
        <v>2491</v>
      </c>
      <c r="F72" s="757"/>
      <c r="G72" s="757"/>
      <c r="H72" s="805"/>
      <c r="I72" s="916">
        <f t="shared" si="7"/>
        <v>0</v>
      </c>
      <c r="J72" s="916">
        <f t="shared" si="8"/>
        <v>0</v>
      </c>
      <c r="K72" s="916">
        <f t="shared" si="9"/>
        <v>0</v>
      </c>
      <c r="L72" s="758" t="str">
        <f t="shared" si="10"/>
        <v/>
      </c>
      <c r="M72" s="758" t="str">
        <f t="shared" si="11"/>
        <v/>
      </c>
      <c r="N72" s="758" t="str">
        <f t="shared" si="12"/>
        <v/>
      </c>
      <c r="O72" s="868"/>
      <c r="P72" s="868"/>
      <c r="Q72" s="868" t="s">
        <v>131</v>
      </c>
      <c r="R72" s="868"/>
      <c r="S72" s="868"/>
      <c r="T72" s="757"/>
      <c r="U72" s="757"/>
      <c r="V72" s="757" t="s">
        <v>2506</v>
      </c>
      <c r="W72" s="757"/>
      <c r="X72" s="757"/>
      <c r="Y72" s="911"/>
      <c r="Z72" s="760"/>
      <c r="AA72" s="763"/>
      <c r="AB72" s="760"/>
      <c r="AC72" s="760"/>
      <c r="AD72" s="760"/>
    </row>
    <row r="73" spans="1:30" ht="36" customHeight="1">
      <c r="A73" s="759"/>
      <c r="B73" s="813">
        <v>56</v>
      </c>
      <c r="C73" s="757"/>
      <c r="D73" s="878"/>
      <c r="E73" s="757" t="s">
        <v>2493</v>
      </c>
      <c r="F73" s="757"/>
      <c r="G73" s="757"/>
      <c r="H73" s="805"/>
      <c r="I73" s="916">
        <f t="shared" si="7"/>
        <v>0</v>
      </c>
      <c r="J73" s="916">
        <f t="shared" si="8"/>
        <v>0</v>
      </c>
      <c r="K73" s="916">
        <f t="shared" si="9"/>
        <v>0</v>
      </c>
      <c r="L73" s="758" t="str">
        <f t="shared" si="10"/>
        <v/>
      </c>
      <c r="M73" s="758" t="str">
        <f t="shared" si="11"/>
        <v/>
      </c>
      <c r="N73" s="758" t="str">
        <f t="shared" si="12"/>
        <v/>
      </c>
      <c r="O73" s="868"/>
      <c r="P73" s="868"/>
      <c r="Q73" s="868" t="s">
        <v>136</v>
      </c>
      <c r="R73" s="868"/>
      <c r="S73" s="868"/>
      <c r="T73" s="757"/>
      <c r="U73" s="757"/>
      <c r="V73" s="757" t="s">
        <v>2507</v>
      </c>
      <c r="W73" s="757"/>
      <c r="X73" s="757"/>
      <c r="Y73" s="911"/>
      <c r="Z73" s="760"/>
      <c r="AA73" s="763"/>
      <c r="AB73" s="760"/>
      <c r="AC73" s="760"/>
      <c r="AD73" s="760"/>
    </row>
    <row r="74" spans="1:30" ht="18" customHeight="1">
      <c r="A74" s="759"/>
      <c r="B74" s="813">
        <v>57</v>
      </c>
      <c r="C74" s="757"/>
      <c r="D74" s="878"/>
      <c r="E74" s="757" t="s">
        <v>2502</v>
      </c>
      <c r="F74" s="757"/>
      <c r="G74" s="757"/>
      <c r="H74" s="805"/>
      <c r="I74" s="916">
        <f t="shared" si="7"/>
        <v>0</v>
      </c>
      <c r="J74" s="916">
        <f t="shared" si="8"/>
        <v>0</v>
      </c>
      <c r="K74" s="916">
        <f t="shared" si="9"/>
        <v>0</v>
      </c>
      <c r="L74" s="758" t="str">
        <f t="shared" si="10"/>
        <v/>
      </c>
      <c r="M74" s="758" t="str">
        <f t="shared" si="11"/>
        <v/>
      </c>
      <c r="N74" s="758" t="str">
        <f t="shared" si="12"/>
        <v/>
      </c>
      <c r="O74" s="868"/>
      <c r="P74" s="868"/>
      <c r="Q74" s="868" t="s">
        <v>102</v>
      </c>
      <c r="R74" s="868"/>
      <c r="S74" s="868"/>
      <c r="T74" s="757"/>
      <c r="U74" s="757"/>
      <c r="V74" s="757" t="s">
        <v>2508</v>
      </c>
      <c r="W74" s="757"/>
      <c r="X74" s="757"/>
      <c r="Y74" s="911"/>
      <c r="Z74" s="760"/>
      <c r="AA74" s="763"/>
      <c r="AB74" s="760"/>
      <c r="AC74" s="760"/>
      <c r="AD74" s="760"/>
    </row>
    <row r="75" spans="1:30" ht="18" customHeight="1">
      <c r="A75" s="759"/>
      <c r="B75" s="813">
        <v>58</v>
      </c>
      <c r="C75" s="757"/>
      <c r="D75" s="878"/>
      <c r="E75" s="757"/>
      <c r="F75" s="757" t="s">
        <v>2487</v>
      </c>
      <c r="G75" s="757"/>
      <c r="H75" s="805"/>
      <c r="I75" s="916">
        <f t="shared" si="7"/>
        <v>0</v>
      </c>
      <c r="J75" s="916">
        <f t="shared" si="8"/>
        <v>0</v>
      </c>
      <c r="K75" s="916">
        <f t="shared" si="9"/>
        <v>0</v>
      </c>
      <c r="L75" s="758" t="str">
        <f t="shared" si="10"/>
        <v/>
      </c>
      <c r="M75" s="758" t="str">
        <f t="shared" si="11"/>
        <v/>
      </c>
      <c r="N75" s="758" t="str">
        <f t="shared" si="12"/>
        <v/>
      </c>
      <c r="O75" s="868"/>
      <c r="P75" s="868"/>
      <c r="Q75" s="868"/>
      <c r="R75" s="868" t="s">
        <v>89</v>
      </c>
      <c r="S75" s="868"/>
      <c r="T75" s="757"/>
      <c r="U75" s="757"/>
      <c r="V75" s="757"/>
      <c r="W75" s="757" t="s">
        <v>2509</v>
      </c>
      <c r="X75" s="757"/>
      <c r="Y75" s="911"/>
      <c r="Z75" s="760"/>
      <c r="AA75" s="763"/>
      <c r="AB75" s="760"/>
      <c r="AC75" s="760"/>
      <c r="AD75" s="760"/>
    </row>
    <row r="76" spans="1:30" ht="36" customHeight="1">
      <c r="A76" s="759"/>
      <c r="B76" s="813">
        <v>59</v>
      </c>
      <c r="C76" s="757"/>
      <c r="D76" s="878"/>
      <c r="E76" s="757"/>
      <c r="F76" s="757" t="s">
        <v>2489</v>
      </c>
      <c r="G76" s="757"/>
      <c r="H76" s="805"/>
      <c r="I76" s="916">
        <f t="shared" si="7"/>
        <v>0</v>
      </c>
      <c r="J76" s="916">
        <f t="shared" si="8"/>
        <v>0</v>
      </c>
      <c r="K76" s="916">
        <f t="shared" si="9"/>
        <v>0</v>
      </c>
      <c r="L76" s="758" t="str">
        <f t="shared" si="10"/>
        <v/>
      </c>
      <c r="M76" s="758" t="str">
        <f t="shared" si="11"/>
        <v/>
      </c>
      <c r="N76" s="758" t="str">
        <f t="shared" si="12"/>
        <v/>
      </c>
      <c r="O76" s="868"/>
      <c r="P76" s="868"/>
      <c r="Q76" s="868"/>
      <c r="R76" s="868" t="s">
        <v>126</v>
      </c>
      <c r="S76" s="868"/>
      <c r="T76" s="757"/>
      <c r="U76" s="757"/>
      <c r="V76" s="757"/>
      <c r="W76" s="757" t="s">
        <v>2510</v>
      </c>
      <c r="X76" s="757"/>
      <c r="Y76" s="911"/>
      <c r="Z76" s="760"/>
      <c r="AA76" s="763"/>
      <c r="AB76" s="760"/>
      <c r="AC76" s="760"/>
      <c r="AD76" s="760"/>
    </row>
    <row r="77" spans="1:30" ht="18" customHeight="1">
      <c r="A77" s="759"/>
      <c r="B77" s="813">
        <v>60</v>
      </c>
      <c r="C77" s="757"/>
      <c r="D77" s="878"/>
      <c r="E77" s="757"/>
      <c r="F77" s="757" t="s">
        <v>2491</v>
      </c>
      <c r="G77" s="757"/>
      <c r="H77" s="805"/>
      <c r="I77" s="916">
        <f t="shared" si="7"/>
        <v>0</v>
      </c>
      <c r="J77" s="916">
        <f t="shared" si="8"/>
        <v>0</v>
      </c>
      <c r="K77" s="916">
        <f t="shared" si="9"/>
        <v>0</v>
      </c>
      <c r="L77" s="758" t="str">
        <f t="shared" si="10"/>
        <v/>
      </c>
      <c r="M77" s="758" t="str">
        <f t="shared" si="11"/>
        <v/>
      </c>
      <c r="N77" s="758" t="str">
        <f t="shared" si="12"/>
        <v/>
      </c>
      <c r="O77" s="868"/>
      <c r="P77" s="868"/>
      <c r="Q77" s="868"/>
      <c r="R77" s="868" t="s">
        <v>131</v>
      </c>
      <c r="S77" s="868"/>
      <c r="T77" s="757"/>
      <c r="U77" s="757"/>
      <c r="V77" s="757"/>
      <c r="W77" s="757" t="s">
        <v>2511</v>
      </c>
      <c r="X77" s="757"/>
      <c r="Y77" s="911"/>
      <c r="Z77" s="760"/>
      <c r="AA77" s="763"/>
      <c r="AB77" s="760"/>
      <c r="AC77" s="760"/>
      <c r="AD77" s="760"/>
    </row>
    <row r="78" spans="1:30" ht="72" customHeight="1">
      <c r="A78" s="759"/>
      <c r="B78" s="813">
        <v>61</v>
      </c>
      <c r="C78" s="757" t="s">
        <v>2487</v>
      </c>
      <c r="D78" s="878"/>
      <c r="E78" s="757"/>
      <c r="F78" s="757"/>
      <c r="G78" s="757"/>
      <c r="H78" s="805"/>
      <c r="I78" s="916">
        <f t="shared" si="7"/>
        <v>0</v>
      </c>
      <c r="J78" s="916">
        <f t="shared" si="8"/>
        <v>0</v>
      </c>
      <c r="K78" s="916">
        <f t="shared" si="9"/>
        <v>0</v>
      </c>
      <c r="L78" s="758" t="str">
        <f t="shared" si="10"/>
        <v/>
      </c>
      <c r="M78" s="758" t="str">
        <f t="shared" si="11"/>
        <v/>
      </c>
      <c r="N78" s="758" t="str">
        <f t="shared" si="12"/>
        <v/>
      </c>
      <c r="O78" s="868" t="s">
        <v>89</v>
      </c>
      <c r="P78" s="868"/>
      <c r="Q78" s="868"/>
      <c r="R78" s="868"/>
      <c r="S78" s="868"/>
      <c r="T78" s="757" t="s">
        <v>2512</v>
      </c>
      <c r="U78" s="757"/>
      <c r="V78" s="757"/>
      <c r="W78" s="757"/>
      <c r="X78" s="757"/>
      <c r="Y78" s="911"/>
      <c r="Z78" s="760" t="s">
        <v>2513</v>
      </c>
      <c r="AA78" s="763"/>
      <c r="AB78" s="760"/>
      <c r="AC78" s="760"/>
      <c r="AD78" s="760"/>
    </row>
    <row r="79" spans="1:30" ht="36" customHeight="1">
      <c r="A79" s="759"/>
      <c r="B79" s="813">
        <v>62</v>
      </c>
      <c r="C79" s="757" t="s">
        <v>2489</v>
      </c>
      <c r="D79" s="878"/>
      <c r="E79" s="757"/>
      <c r="F79" s="757"/>
      <c r="G79" s="757"/>
      <c r="H79" s="805"/>
      <c r="I79" s="916">
        <f t="shared" si="7"/>
        <v>0</v>
      </c>
      <c r="J79" s="916">
        <f t="shared" si="8"/>
        <v>0</v>
      </c>
      <c r="K79" s="916">
        <f t="shared" si="9"/>
        <v>0</v>
      </c>
      <c r="L79" s="758" t="str">
        <f t="shared" si="10"/>
        <v/>
      </c>
      <c r="M79" s="758" t="str">
        <f t="shared" si="11"/>
        <v/>
      </c>
      <c r="N79" s="758" t="str">
        <f t="shared" si="12"/>
        <v/>
      </c>
      <c r="O79" s="868" t="s">
        <v>126</v>
      </c>
      <c r="P79" s="868"/>
      <c r="Q79" s="868"/>
      <c r="R79" s="868"/>
      <c r="S79" s="868"/>
      <c r="T79" s="757" t="s">
        <v>2514</v>
      </c>
      <c r="U79" s="757"/>
      <c r="V79" s="757"/>
      <c r="W79" s="757"/>
      <c r="X79" s="757"/>
      <c r="Y79" s="911"/>
      <c r="Z79" s="760" t="s">
        <v>2515</v>
      </c>
      <c r="AA79" s="763"/>
      <c r="AB79" s="760"/>
      <c r="AC79" s="760"/>
      <c r="AD79" s="760"/>
    </row>
    <row r="80" spans="1:30" ht="45" customHeight="1">
      <c r="A80" s="759"/>
      <c r="B80" s="813">
        <v>63</v>
      </c>
      <c r="C80" s="757" t="s">
        <v>2491</v>
      </c>
      <c r="D80" s="878"/>
      <c r="E80" s="757"/>
      <c r="F80" s="757"/>
      <c r="G80" s="757"/>
      <c r="H80" s="805"/>
      <c r="I80" s="916">
        <f t="shared" si="7"/>
        <v>0</v>
      </c>
      <c r="J80" s="916">
        <f t="shared" si="8"/>
        <v>0</v>
      </c>
      <c r="K80" s="916">
        <f t="shared" si="9"/>
        <v>0</v>
      </c>
      <c r="L80" s="758" t="str">
        <f t="shared" si="10"/>
        <v/>
      </c>
      <c r="M80" s="758" t="str">
        <f t="shared" si="11"/>
        <v/>
      </c>
      <c r="N80" s="758" t="str">
        <f t="shared" si="12"/>
        <v/>
      </c>
      <c r="O80" s="868" t="s">
        <v>131</v>
      </c>
      <c r="P80" s="868"/>
      <c r="Q80" s="868"/>
      <c r="R80" s="868"/>
      <c r="S80" s="868"/>
      <c r="T80" s="757" t="s">
        <v>2516</v>
      </c>
      <c r="U80" s="757"/>
      <c r="V80" s="757"/>
      <c r="W80" s="757"/>
      <c r="X80" s="757"/>
      <c r="Y80" s="911"/>
      <c r="Z80" s="760" t="s">
        <v>2517</v>
      </c>
      <c r="AA80" s="763"/>
      <c r="AB80" s="760"/>
      <c r="AC80" s="760"/>
      <c r="AD80" s="760"/>
    </row>
    <row r="81" spans="1:30" ht="36" customHeight="1">
      <c r="A81" s="759"/>
      <c r="B81" s="813">
        <v>64</v>
      </c>
      <c r="C81" s="757" t="s">
        <v>2493</v>
      </c>
      <c r="D81" s="878"/>
      <c r="E81" s="757"/>
      <c r="F81" s="757"/>
      <c r="G81" s="757"/>
      <c r="H81" s="805"/>
      <c r="I81" s="916">
        <f t="shared" si="7"/>
        <v>0</v>
      </c>
      <c r="J81" s="916">
        <f t="shared" si="8"/>
        <v>0</v>
      </c>
      <c r="K81" s="916">
        <f t="shared" si="9"/>
        <v>0</v>
      </c>
      <c r="L81" s="758" t="str">
        <f t="shared" si="10"/>
        <v/>
      </c>
      <c r="M81" s="758" t="str">
        <f t="shared" si="11"/>
        <v/>
      </c>
      <c r="N81" s="758" t="str">
        <f t="shared" si="12"/>
        <v/>
      </c>
      <c r="O81" s="868" t="s">
        <v>2396</v>
      </c>
      <c r="P81" s="868"/>
      <c r="Q81" s="868"/>
      <c r="R81" s="868"/>
      <c r="S81" s="868"/>
      <c r="T81" s="757" t="s">
        <v>2518</v>
      </c>
      <c r="U81" s="757"/>
      <c r="V81" s="757"/>
      <c r="W81" s="757"/>
      <c r="X81" s="757"/>
      <c r="Y81" s="911"/>
      <c r="Z81" s="760" t="s">
        <v>2519</v>
      </c>
      <c r="AA81" s="763"/>
      <c r="AB81" s="760"/>
      <c r="AC81" s="760"/>
      <c r="AD81" s="760"/>
    </row>
    <row r="82" spans="1:30" ht="90" customHeight="1">
      <c r="A82" s="759"/>
      <c r="B82" s="813">
        <v>65</v>
      </c>
      <c r="C82" s="757" t="s">
        <v>2502</v>
      </c>
      <c r="D82" s="878"/>
      <c r="E82" s="757"/>
      <c r="F82" s="757"/>
      <c r="G82" s="757"/>
      <c r="H82" s="805"/>
      <c r="I82" s="916">
        <f t="shared" ref="I82:I101" si="13">INDEX(TEMPLATE_NUMBER_POINT_FHD,B82,MATCH(TEMPLATE_SPHERE,TEMPLATE_SPHERE_LIST_FOR_NOTE,0))</f>
        <v>0</v>
      </c>
      <c r="J82" s="916">
        <f t="shared" ref="J82:J101" si="14">INDEX(TEMPLATE_DATA_POINT_FHD,B82,MATCH(TEMPLATE_SPHERE,TEMPLATE_SPHERE_LIST_FOR_NOTE,0))</f>
        <v>0</v>
      </c>
      <c r="K82" s="916">
        <f t="shared" ref="K82:K101" si="15">INDEX(TEMPLATE_NOTE_POINT_FHD,B82,MATCH(TEMPLATE_SPHERE,TEMPLATE_SPHERE_LIST_FOR_NOTE,0))</f>
        <v>0</v>
      </c>
      <c r="L82" s="758" t="str">
        <f t="shared" ref="L82:L101" si="16">IF(I82=0,"",I82)</f>
        <v/>
      </c>
      <c r="M82" s="758" t="str">
        <f t="shared" ref="M82:M101" si="17">IF(J82=0,"",J82)</f>
        <v/>
      </c>
      <c r="N82" s="758" t="str">
        <f t="shared" ref="N82:N101" si="18">IF(K82=0,"",K82)</f>
        <v/>
      </c>
      <c r="O82" s="868" t="s">
        <v>136</v>
      </c>
      <c r="P82" s="868"/>
      <c r="Q82" s="868"/>
      <c r="R82" s="868"/>
      <c r="S82" s="868"/>
      <c r="T82" s="757" t="s">
        <v>2520</v>
      </c>
      <c r="U82" s="757"/>
      <c r="V82" s="757"/>
      <c r="W82" s="757"/>
      <c r="X82" s="757"/>
      <c r="Y82" s="911"/>
      <c r="Z82" s="760" t="s">
        <v>2521</v>
      </c>
      <c r="AA82" s="763"/>
      <c r="AB82" s="760"/>
      <c r="AC82" s="760"/>
      <c r="AD82" s="760"/>
    </row>
    <row r="83" spans="1:30" ht="9" customHeight="1">
      <c r="A83" s="759"/>
      <c r="B83" s="813">
        <v>66</v>
      </c>
      <c r="C83" s="757"/>
      <c r="D83" s="878"/>
      <c r="E83" s="757"/>
      <c r="F83" s="757"/>
      <c r="G83" s="757"/>
      <c r="H83" s="805"/>
      <c r="I83" s="916">
        <f t="shared" si="13"/>
        <v>0</v>
      </c>
      <c r="J83" s="916">
        <f t="shared" si="14"/>
        <v>0</v>
      </c>
      <c r="K83" s="916">
        <f t="shared" si="15"/>
        <v>0</v>
      </c>
      <c r="L83" s="758" t="str">
        <f t="shared" si="16"/>
        <v/>
      </c>
      <c r="M83" s="758" t="str">
        <f t="shared" si="17"/>
        <v/>
      </c>
      <c r="N83" s="758" t="str">
        <f t="shared" si="18"/>
        <v/>
      </c>
      <c r="O83" s="868" t="s">
        <v>2405</v>
      </c>
      <c r="P83" s="868"/>
      <c r="Q83" s="868"/>
      <c r="R83" s="868"/>
      <c r="S83" s="868"/>
      <c r="T83" s="757" t="s">
        <v>2522</v>
      </c>
      <c r="U83" s="757"/>
      <c r="V83" s="757"/>
      <c r="W83" s="757"/>
      <c r="X83" s="757"/>
      <c r="Y83" s="911"/>
      <c r="Z83" s="760"/>
      <c r="AA83" s="763"/>
      <c r="AB83" s="760"/>
      <c r="AC83" s="760"/>
      <c r="AD83" s="760"/>
    </row>
    <row r="84" spans="1:30" ht="54" customHeight="1">
      <c r="A84" s="759"/>
      <c r="B84" s="813">
        <v>67</v>
      </c>
      <c r="C84" s="757"/>
      <c r="D84" s="878"/>
      <c r="E84" s="757"/>
      <c r="F84" s="757"/>
      <c r="G84" s="757"/>
      <c r="H84" s="805"/>
      <c r="I84" s="916">
        <f t="shared" si="13"/>
        <v>0</v>
      </c>
      <c r="J84" s="916">
        <f t="shared" si="14"/>
        <v>0</v>
      </c>
      <c r="K84" s="916">
        <f t="shared" si="15"/>
        <v>0</v>
      </c>
      <c r="L84" s="758" t="str">
        <f t="shared" si="16"/>
        <v/>
      </c>
      <c r="M84" s="758" t="str">
        <f t="shared" si="17"/>
        <v/>
      </c>
      <c r="N84" s="758" t="str">
        <f t="shared" si="18"/>
        <v/>
      </c>
      <c r="O84" s="868" t="s">
        <v>2523</v>
      </c>
      <c r="P84" s="868"/>
      <c r="Q84" s="868"/>
      <c r="R84" s="868"/>
      <c r="S84" s="868"/>
      <c r="T84" s="757" t="s">
        <v>2524</v>
      </c>
      <c r="U84" s="757"/>
      <c r="V84" s="757"/>
      <c r="W84" s="757"/>
      <c r="X84" s="757"/>
      <c r="Y84" s="911"/>
      <c r="Z84" s="760"/>
      <c r="AA84" s="763"/>
      <c r="AB84" s="760"/>
      <c r="AC84" s="760"/>
      <c r="AD84" s="760"/>
    </row>
    <row r="85" spans="1:30" ht="9" customHeight="1">
      <c r="A85" s="759"/>
      <c r="B85" s="813">
        <v>68</v>
      </c>
      <c r="C85" s="757"/>
      <c r="D85" s="878"/>
      <c r="E85" s="757"/>
      <c r="F85" s="757"/>
      <c r="G85" s="757"/>
      <c r="H85" s="805"/>
      <c r="I85" s="916">
        <f t="shared" si="13"/>
        <v>0</v>
      </c>
      <c r="J85" s="916">
        <f t="shared" si="14"/>
        <v>0</v>
      </c>
      <c r="K85" s="916">
        <f t="shared" si="15"/>
        <v>0</v>
      </c>
      <c r="L85" s="758" t="str">
        <f t="shared" si="16"/>
        <v/>
      </c>
      <c r="M85" s="758" t="str">
        <f t="shared" si="17"/>
        <v/>
      </c>
      <c r="N85" s="758" t="str">
        <f t="shared" si="18"/>
        <v/>
      </c>
      <c r="O85" s="868" t="s">
        <v>2409</v>
      </c>
      <c r="P85" s="868"/>
      <c r="Q85" s="868"/>
      <c r="R85" s="868"/>
      <c r="S85" s="868"/>
      <c r="T85" s="757" t="s">
        <v>2525</v>
      </c>
      <c r="U85" s="757"/>
      <c r="V85" s="757"/>
      <c r="W85" s="757"/>
      <c r="X85" s="757"/>
      <c r="Y85" s="911"/>
      <c r="Z85" s="760"/>
      <c r="AA85" s="763"/>
      <c r="AB85" s="760"/>
      <c r="AC85" s="760"/>
      <c r="AD85" s="760"/>
    </row>
    <row r="86" spans="1:30" ht="27" customHeight="1">
      <c r="A86" s="759"/>
      <c r="B86" s="813">
        <v>69</v>
      </c>
      <c r="C86" s="757"/>
      <c r="D86" s="878"/>
      <c r="E86" s="757"/>
      <c r="F86" s="757"/>
      <c r="G86" s="757"/>
      <c r="H86" s="805"/>
      <c r="I86" s="916">
        <f t="shared" si="13"/>
        <v>0</v>
      </c>
      <c r="J86" s="916">
        <f t="shared" si="14"/>
        <v>0</v>
      </c>
      <c r="K86" s="916">
        <f t="shared" si="15"/>
        <v>0</v>
      </c>
      <c r="L86" s="758" t="str">
        <f t="shared" si="16"/>
        <v/>
      </c>
      <c r="M86" s="758" t="str">
        <f t="shared" si="17"/>
        <v/>
      </c>
      <c r="N86" s="758" t="str">
        <f t="shared" si="18"/>
        <v/>
      </c>
      <c r="O86" s="868" t="s">
        <v>2526</v>
      </c>
      <c r="P86" s="868"/>
      <c r="Q86" s="868"/>
      <c r="R86" s="868"/>
      <c r="S86" s="868"/>
      <c r="T86" s="757" t="s">
        <v>2527</v>
      </c>
      <c r="U86" s="757"/>
      <c r="V86" s="757"/>
      <c r="W86" s="757"/>
      <c r="X86" s="757"/>
      <c r="Y86" s="911"/>
      <c r="Z86" s="760"/>
      <c r="AA86" s="763"/>
      <c r="AB86" s="760"/>
      <c r="AC86" s="760"/>
      <c r="AD86" s="760"/>
    </row>
    <row r="87" spans="1:30" ht="36" customHeight="1">
      <c r="A87" s="759"/>
      <c r="B87" s="813">
        <v>70</v>
      </c>
      <c r="C87" s="757" t="s">
        <v>2528</v>
      </c>
      <c r="D87" s="878"/>
      <c r="E87" s="757"/>
      <c r="F87" s="757"/>
      <c r="G87" s="757"/>
      <c r="H87" s="805"/>
      <c r="I87" s="916">
        <f t="shared" si="13"/>
        <v>0</v>
      </c>
      <c r="J87" s="916">
        <f t="shared" si="14"/>
        <v>0</v>
      </c>
      <c r="K87" s="916">
        <f t="shared" si="15"/>
        <v>0</v>
      </c>
      <c r="L87" s="758" t="str">
        <f t="shared" si="16"/>
        <v/>
      </c>
      <c r="M87" s="758" t="str">
        <f t="shared" si="17"/>
        <v/>
      </c>
      <c r="N87" s="758" t="str">
        <f t="shared" si="18"/>
        <v/>
      </c>
      <c r="O87" s="868" t="s">
        <v>102</v>
      </c>
      <c r="P87" s="868"/>
      <c r="Q87" s="868"/>
      <c r="R87" s="868"/>
      <c r="S87" s="868"/>
      <c r="T87" s="757" t="s">
        <v>2529</v>
      </c>
      <c r="U87" s="757"/>
      <c r="V87" s="757"/>
      <c r="W87" s="757"/>
      <c r="X87" s="757"/>
      <c r="Y87" s="911"/>
      <c r="Z87" s="760"/>
      <c r="AA87" s="763"/>
      <c r="AB87" s="760"/>
      <c r="AC87" s="760"/>
      <c r="AD87" s="760"/>
    </row>
    <row r="88" spans="1:30" ht="18" customHeight="1">
      <c r="A88" s="759"/>
      <c r="B88" s="813">
        <v>71</v>
      </c>
      <c r="C88" s="757" t="s">
        <v>2530</v>
      </c>
      <c r="D88" s="878"/>
      <c r="E88" s="757"/>
      <c r="F88" s="757"/>
      <c r="G88" s="757"/>
      <c r="H88" s="805"/>
      <c r="I88" s="916">
        <f t="shared" si="13"/>
        <v>0</v>
      </c>
      <c r="J88" s="916">
        <f t="shared" si="14"/>
        <v>0</v>
      </c>
      <c r="K88" s="916">
        <f t="shared" si="15"/>
        <v>0</v>
      </c>
      <c r="L88" s="758" t="str">
        <f t="shared" si="16"/>
        <v/>
      </c>
      <c r="M88" s="758" t="str">
        <f t="shared" si="17"/>
        <v/>
      </c>
      <c r="N88" s="758" t="str">
        <f t="shared" si="18"/>
        <v/>
      </c>
      <c r="O88" s="868" t="s">
        <v>145</v>
      </c>
      <c r="P88" s="868"/>
      <c r="Q88" s="868"/>
      <c r="R88" s="868"/>
      <c r="S88" s="868"/>
      <c r="T88" s="757" t="s">
        <v>2531</v>
      </c>
      <c r="U88" s="757"/>
      <c r="V88" s="757"/>
      <c r="W88" s="757"/>
      <c r="X88" s="757"/>
      <c r="Y88" s="911"/>
      <c r="Z88" s="760"/>
      <c r="AA88" s="763"/>
      <c r="AB88" s="760"/>
      <c r="AC88" s="760"/>
      <c r="AD88" s="760"/>
    </row>
    <row r="89" spans="1:30" ht="18" customHeight="1">
      <c r="A89" s="759"/>
      <c r="B89" s="813">
        <v>72</v>
      </c>
      <c r="C89" s="757" t="s">
        <v>2532</v>
      </c>
      <c r="D89" s="878" t="s">
        <v>2528</v>
      </c>
      <c r="E89" s="757" t="s">
        <v>2528</v>
      </c>
      <c r="F89" s="757" t="s">
        <v>2493</v>
      </c>
      <c r="G89" s="757"/>
      <c r="H89" s="805"/>
      <c r="I89" s="916" t="str">
        <f t="shared" si="13"/>
        <v>12</v>
      </c>
      <c r="J89" s="916" t="str">
        <f t="shared" si="14"/>
        <v>Среднесписочная численность основного производственного персонала</v>
      </c>
      <c r="K89" s="916">
        <f t="shared" si="15"/>
        <v>0</v>
      </c>
      <c r="L89" s="758" t="str">
        <f t="shared" si="16"/>
        <v>12</v>
      </c>
      <c r="M89" s="758" t="str">
        <f t="shared" si="17"/>
        <v>Среднесписочная численность основного производственного персонала</v>
      </c>
      <c r="N89" s="758" t="str">
        <f t="shared" si="18"/>
        <v/>
      </c>
      <c r="O89" s="868" t="s">
        <v>150</v>
      </c>
      <c r="P89" s="868" t="s">
        <v>145</v>
      </c>
      <c r="Q89" s="868" t="s">
        <v>145</v>
      </c>
      <c r="R89" s="868" t="s">
        <v>136</v>
      </c>
      <c r="S89" s="868"/>
      <c r="T89" s="757" t="s">
        <v>2533</v>
      </c>
      <c r="U89" s="757" t="s">
        <v>2533</v>
      </c>
      <c r="V89" s="757" t="s">
        <v>2533</v>
      </c>
      <c r="W89" s="757" t="s">
        <v>2533</v>
      </c>
      <c r="X89" s="757"/>
      <c r="Y89" s="911"/>
      <c r="Z89" s="760"/>
      <c r="AA89" s="763"/>
      <c r="AB89" s="760"/>
      <c r="AC89" s="760"/>
      <c r="AD89" s="760"/>
    </row>
    <row r="90" spans="1:30" ht="27" customHeight="1">
      <c r="A90" s="759"/>
      <c r="B90" s="813">
        <v>73</v>
      </c>
      <c r="C90" s="757" t="s">
        <v>2534</v>
      </c>
      <c r="D90" s="878"/>
      <c r="E90" s="757"/>
      <c r="F90" s="757"/>
      <c r="G90" s="757"/>
      <c r="H90" s="805"/>
      <c r="I90" s="916">
        <f t="shared" si="13"/>
        <v>0</v>
      </c>
      <c r="J90" s="916">
        <f t="shared" si="14"/>
        <v>0</v>
      </c>
      <c r="K90" s="916">
        <f t="shared" si="15"/>
        <v>0</v>
      </c>
      <c r="L90" s="758" t="str">
        <f t="shared" si="16"/>
        <v/>
      </c>
      <c r="M90" s="758" t="str">
        <f t="shared" si="17"/>
        <v/>
      </c>
      <c r="N90" s="758" t="str">
        <f t="shared" si="18"/>
        <v/>
      </c>
      <c r="O90" s="868" t="s">
        <v>155</v>
      </c>
      <c r="P90" s="868"/>
      <c r="Q90" s="868"/>
      <c r="R90" s="868"/>
      <c r="S90" s="868"/>
      <c r="T90" s="757" t="s">
        <v>2535</v>
      </c>
      <c r="U90" s="757"/>
      <c r="V90" s="757"/>
      <c r="W90" s="757"/>
      <c r="X90" s="757"/>
      <c r="Y90" s="911"/>
      <c r="Z90" s="760"/>
      <c r="AA90" s="763"/>
      <c r="AB90" s="760"/>
      <c r="AC90" s="760"/>
      <c r="AD90" s="760"/>
    </row>
    <row r="91" spans="1:30" ht="18" customHeight="1">
      <c r="A91" s="759"/>
      <c r="B91" s="813">
        <v>74</v>
      </c>
      <c r="C91" s="757"/>
      <c r="D91" s="878" t="s">
        <v>2530</v>
      </c>
      <c r="E91" s="757" t="s">
        <v>2530</v>
      </c>
      <c r="F91" s="757"/>
      <c r="G91" s="757"/>
      <c r="H91" s="805"/>
      <c r="I91" s="916" t="str">
        <f t="shared" si="13"/>
        <v>13</v>
      </c>
      <c r="J91" s="916" t="str">
        <f t="shared" si="14"/>
        <v>Удельный расход электрической энергии на подачу воды в сеть</v>
      </c>
      <c r="K91" s="916">
        <f t="shared" si="15"/>
        <v>0</v>
      </c>
      <c r="L91" s="758" t="str">
        <f t="shared" si="16"/>
        <v>13</v>
      </c>
      <c r="M91" s="758" t="str">
        <f t="shared" si="17"/>
        <v>Удельный расход электрической энергии на подачу воды в сеть</v>
      </c>
      <c r="N91" s="758" t="str">
        <f t="shared" si="18"/>
        <v/>
      </c>
      <c r="O91" s="868"/>
      <c r="P91" s="868" t="s">
        <v>150</v>
      </c>
      <c r="Q91" s="868" t="s">
        <v>150</v>
      </c>
      <c r="R91" s="868"/>
      <c r="S91" s="868"/>
      <c r="T91" s="757"/>
      <c r="U91" s="757" t="s">
        <v>2536</v>
      </c>
      <c r="V91" s="757" t="s">
        <v>2536</v>
      </c>
      <c r="W91" s="757"/>
      <c r="X91" s="757"/>
      <c r="Y91" s="911"/>
      <c r="Z91" s="760"/>
      <c r="AA91" s="763"/>
      <c r="AB91" s="760"/>
      <c r="AC91" s="760"/>
      <c r="AD91" s="760"/>
    </row>
    <row r="92" spans="1:30" ht="27" customHeight="1">
      <c r="A92" s="759"/>
      <c r="B92" s="813">
        <v>75</v>
      </c>
      <c r="C92" s="757"/>
      <c r="D92" s="878" t="s">
        <v>2532</v>
      </c>
      <c r="E92" s="757"/>
      <c r="F92" s="757"/>
      <c r="G92" s="757"/>
      <c r="H92" s="805"/>
      <c r="I92" s="916" t="str">
        <f t="shared" si="13"/>
        <v>14</v>
      </c>
      <c r="J92" s="916" t="str">
        <f t="shared" si="14"/>
        <v>Расход воды на собственные нужды, в том числе:</v>
      </c>
      <c r="K92" s="916" t="str">
        <f t="shared" si="15"/>
        <v>Указывается доля общего расхода воды на собственные нужны от объема отпуска воды потребителям.</v>
      </c>
      <c r="L92" s="758" t="str">
        <f t="shared" si="16"/>
        <v>14</v>
      </c>
      <c r="M92" s="758" t="str">
        <f t="shared" si="17"/>
        <v>Расход воды на собственные нужды, в том числе:</v>
      </c>
      <c r="N92" s="758" t="str">
        <f t="shared" si="18"/>
        <v>Указывается доля общего расхода воды на собственные нужны от объема отпуска воды потребителям.</v>
      </c>
      <c r="O92" s="868"/>
      <c r="P92" s="868" t="s">
        <v>155</v>
      </c>
      <c r="Q92" s="868"/>
      <c r="R92" s="868"/>
      <c r="S92" s="868"/>
      <c r="T92" s="757"/>
      <c r="U92" s="757" t="s">
        <v>2537</v>
      </c>
      <c r="V92" s="757"/>
      <c r="W92" s="757"/>
      <c r="X92" s="757"/>
      <c r="Y92" s="911"/>
      <c r="Z92" s="760"/>
      <c r="AA92" s="763" t="s">
        <v>2538</v>
      </c>
      <c r="AB92" s="760"/>
      <c r="AC92" s="760"/>
      <c r="AD92" s="760"/>
    </row>
    <row r="93" spans="1:30" ht="27" customHeight="1">
      <c r="A93" s="759"/>
      <c r="B93" s="813">
        <v>76</v>
      </c>
      <c r="C93" s="757"/>
      <c r="D93" s="878"/>
      <c r="E93" s="757"/>
      <c r="F93" s="757"/>
      <c r="G93" s="757"/>
      <c r="H93" s="805"/>
      <c r="I93" s="916" t="str">
        <f t="shared" si="13"/>
        <v>14.1</v>
      </c>
      <c r="J93" s="916" t="str">
        <f t="shared" si="14"/>
        <v>Расход воды на хозяйственно-бытовые нужды</v>
      </c>
      <c r="K93" s="916" t="str">
        <f t="shared" si="15"/>
        <v>Указывается доля расхода воды на хозяйственно-бытовые нужны от объема отпуска воды потребителям.</v>
      </c>
      <c r="L93" s="758" t="str">
        <f t="shared" si="16"/>
        <v>14.1</v>
      </c>
      <c r="M93" s="758" t="str">
        <f t="shared" si="17"/>
        <v>Расход воды на хозяйственно-бытовые нужды</v>
      </c>
      <c r="N93" s="758" t="str">
        <f t="shared" si="18"/>
        <v>Указывается доля расхода воды на хозяйственно-бытовые нужны от объема отпуска воды потребителям.</v>
      </c>
      <c r="O93" s="868"/>
      <c r="P93" s="868" t="s">
        <v>2437</v>
      </c>
      <c r="Q93" s="868"/>
      <c r="R93" s="868"/>
      <c r="S93" s="868"/>
      <c r="T93" s="757"/>
      <c r="U93" s="757" t="s">
        <v>2539</v>
      </c>
      <c r="V93" s="757"/>
      <c r="W93" s="757"/>
      <c r="X93" s="757"/>
      <c r="Y93" s="911"/>
      <c r="Z93" s="760"/>
      <c r="AA93" s="763" t="s">
        <v>2540</v>
      </c>
      <c r="AB93" s="760"/>
      <c r="AC93" s="760"/>
      <c r="AD93" s="760"/>
    </row>
    <row r="94" spans="1:30" ht="45" customHeight="1">
      <c r="A94" s="759"/>
      <c r="B94" s="813">
        <v>77</v>
      </c>
      <c r="C94" s="757"/>
      <c r="D94" s="878" t="s">
        <v>2534</v>
      </c>
      <c r="E94" s="757"/>
      <c r="F94" s="757"/>
      <c r="G94" s="757"/>
      <c r="H94" s="805"/>
      <c r="I94" s="916" t="str">
        <f t="shared" si="13"/>
        <v>15</v>
      </c>
      <c r="J94" s="916" t="str">
        <f t="shared" si="14"/>
        <v>Показатель использования производственных объектов (по объему перекачки), в том числе:</v>
      </c>
      <c r="K94" s="91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58" t="str">
        <f t="shared" si="16"/>
        <v>15</v>
      </c>
      <c r="M94" s="758" t="str">
        <f t="shared" si="17"/>
        <v>Показатель использования производственных объектов (по объему перекачки), в том числе:</v>
      </c>
      <c r="N94" s="758"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8"/>
      <c r="P94" s="868" t="s">
        <v>160</v>
      </c>
      <c r="Q94" s="868"/>
      <c r="R94" s="868"/>
      <c r="S94" s="868"/>
      <c r="T94" s="757"/>
      <c r="U94" s="757" t="s">
        <v>2541</v>
      </c>
      <c r="V94" s="757"/>
      <c r="W94" s="757"/>
      <c r="X94" s="757"/>
      <c r="Y94" s="911"/>
      <c r="Z94" s="760"/>
      <c r="AA94" s="763" t="s">
        <v>2542</v>
      </c>
      <c r="AB94" s="760"/>
      <c r="AC94" s="760"/>
      <c r="AD94" s="760"/>
    </row>
    <row r="95" spans="1:30" ht="99" customHeight="1">
      <c r="A95" s="759"/>
      <c r="B95" s="813">
        <v>78</v>
      </c>
      <c r="C95" s="757" t="s">
        <v>2543</v>
      </c>
      <c r="D95" s="878"/>
      <c r="E95" s="757"/>
      <c r="F95" s="757"/>
      <c r="G95" s="757"/>
      <c r="H95" s="805"/>
      <c r="I95" s="916">
        <f t="shared" si="13"/>
        <v>0</v>
      </c>
      <c r="J95" s="916">
        <f t="shared" si="14"/>
        <v>0</v>
      </c>
      <c r="K95" s="916">
        <f t="shared" si="15"/>
        <v>0</v>
      </c>
      <c r="L95" s="758" t="str">
        <f t="shared" si="16"/>
        <v/>
      </c>
      <c r="M95" s="758" t="str">
        <f t="shared" si="17"/>
        <v/>
      </c>
      <c r="N95" s="758" t="str">
        <f t="shared" si="18"/>
        <v/>
      </c>
      <c r="O95" s="868" t="s">
        <v>160</v>
      </c>
      <c r="P95" s="868"/>
      <c r="Q95" s="868"/>
      <c r="R95" s="868"/>
      <c r="S95" s="868"/>
      <c r="T95" s="757" t="s">
        <v>2544</v>
      </c>
      <c r="U95" s="757"/>
      <c r="V95" s="757"/>
      <c r="W95" s="757"/>
      <c r="X95" s="757"/>
      <c r="Y95" s="911"/>
      <c r="Z95" s="760"/>
      <c r="AA95" s="763"/>
      <c r="AB95" s="760"/>
      <c r="AC95" s="760"/>
      <c r="AD95" s="760"/>
    </row>
    <row r="96" spans="1:30" ht="99" customHeight="1">
      <c r="A96" s="759"/>
      <c r="B96" s="813">
        <v>79</v>
      </c>
      <c r="C96" s="757" t="s">
        <v>1521</v>
      </c>
      <c r="D96" s="878"/>
      <c r="E96" s="757"/>
      <c r="F96" s="757"/>
      <c r="G96" s="757"/>
      <c r="H96" s="805"/>
      <c r="I96" s="916">
        <f t="shared" si="13"/>
        <v>0</v>
      </c>
      <c r="J96" s="916">
        <f t="shared" si="14"/>
        <v>0</v>
      </c>
      <c r="K96" s="916">
        <f t="shared" si="15"/>
        <v>0</v>
      </c>
      <c r="L96" s="758" t="str">
        <f t="shared" si="16"/>
        <v/>
      </c>
      <c r="M96" s="758" t="str">
        <f t="shared" si="17"/>
        <v/>
      </c>
      <c r="N96" s="758" t="str">
        <f t="shared" si="18"/>
        <v/>
      </c>
      <c r="O96" s="868" t="s">
        <v>165</v>
      </c>
      <c r="P96" s="868"/>
      <c r="Q96" s="868"/>
      <c r="R96" s="868"/>
      <c r="S96" s="868"/>
      <c r="T96" s="757" t="s">
        <v>2545</v>
      </c>
      <c r="U96" s="757"/>
      <c r="V96" s="757"/>
      <c r="W96" s="757"/>
      <c r="X96" s="757"/>
      <c r="Y96" s="911"/>
      <c r="Z96" s="760" t="s">
        <v>2546</v>
      </c>
      <c r="AA96" s="763"/>
      <c r="AB96" s="760"/>
      <c r="AC96" s="760"/>
      <c r="AD96" s="760"/>
    </row>
    <row r="97" spans="1:30" ht="63" customHeight="1">
      <c r="A97" s="759"/>
      <c r="B97" s="813">
        <v>80</v>
      </c>
      <c r="C97" s="757" t="s">
        <v>2547</v>
      </c>
      <c r="D97" s="878"/>
      <c r="E97" s="757"/>
      <c r="F97" s="757"/>
      <c r="G97" s="757"/>
      <c r="H97" s="805"/>
      <c r="I97" s="916">
        <f t="shared" si="13"/>
        <v>0</v>
      </c>
      <c r="J97" s="916">
        <f t="shared" si="14"/>
        <v>0</v>
      </c>
      <c r="K97" s="916">
        <f t="shared" si="15"/>
        <v>0</v>
      </c>
      <c r="L97" s="758" t="str">
        <f t="shared" si="16"/>
        <v/>
      </c>
      <c r="M97" s="758" t="str">
        <f t="shared" si="17"/>
        <v/>
      </c>
      <c r="N97" s="758" t="str">
        <f t="shared" si="18"/>
        <v/>
      </c>
      <c r="O97" s="868" t="s">
        <v>170</v>
      </c>
      <c r="P97" s="868"/>
      <c r="Q97" s="868"/>
      <c r="R97" s="868"/>
      <c r="S97" s="868"/>
      <c r="T97" s="757" t="s">
        <v>2548</v>
      </c>
      <c r="U97" s="757"/>
      <c r="V97" s="757"/>
      <c r="W97" s="757"/>
      <c r="X97" s="757"/>
      <c r="Y97" s="911"/>
      <c r="Z97" s="760" t="s">
        <v>2549</v>
      </c>
      <c r="AA97" s="763"/>
      <c r="AB97" s="760"/>
      <c r="AC97" s="760"/>
      <c r="AD97" s="760"/>
    </row>
    <row r="98" spans="1:30" ht="63" customHeight="1">
      <c r="A98" s="759"/>
      <c r="B98" s="813">
        <v>81</v>
      </c>
      <c r="C98" s="757" t="s">
        <v>2550</v>
      </c>
      <c r="D98" s="878"/>
      <c r="E98" s="757"/>
      <c r="F98" s="757"/>
      <c r="G98" s="757"/>
      <c r="H98" s="805"/>
      <c r="I98" s="916">
        <f t="shared" si="13"/>
        <v>0</v>
      </c>
      <c r="J98" s="916">
        <f t="shared" si="14"/>
        <v>0</v>
      </c>
      <c r="K98" s="916">
        <f t="shared" si="15"/>
        <v>0</v>
      </c>
      <c r="L98" s="758" t="str">
        <f t="shared" si="16"/>
        <v/>
      </c>
      <c r="M98" s="758" t="str">
        <f t="shared" si="17"/>
        <v/>
      </c>
      <c r="N98" s="758" t="str">
        <f t="shared" si="18"/>
        <v/>
      </c>
      <c r="O98" s="868" t="s">
        <v>175</v>
      </c>
      <c r="P98" s="868"/>
      <c r="Q98" s="868"/>
      <c r="R98" s="868"/>
      <c r="S98" s="868"/>
      <c r="T98" s="757" t="s">
        <v>2551</v>
      </c>
      <c r="U98" s="757"/>
      <c r="V98" s="757"/>
      <c r="W98" s="757"/>
      <c r="X98" s="757"/>
      <c r="Y98" s="911"/>
      <c r="Z98" s="760" t="s">
        <v>2549</v>
      </c>
      <c r="AA98" s="763"/>
      <c r="AB98" s="760"/>
      <c r="AC98" s="760"/>
      <c r="AD98" s="760"/>
    </row>
    <row r="99" spans="1:30" ht="90" customHeight="1">
      <c r="A99" s="759"/>
      <c r="B99" s="813">
        <v>82</v>
      </c>
      <c r="C99" s="757" t="s">
        <v>2552</v>
      </c>
      <c r="D99" s="878"/>
      <c r="E99" s="757"/>
      <c r="F99" s="757"/>
      <c r="G99" s="757"/>
      <c r="H99" s="805"/>
      <c r="I99" s="916">
        <f t="shared" si="13"/>
        <v>0</v>
      </c>
      <c r="J99" s="916">
        <f t="shared" si="14"/>
        <v>0</v>
      </c>
      <c r="K99" s="916">
        <f t="shared" si="15"/>
        <v>0</v>
      </c>
      <c r="L99" s="758" t="str">
        <f t="shared" si="16"/>
        <v/>
      </c>
      <c r="M99" s="758" t="str">
        <f t="shared" si="17"/>
        <v/>
      </c>
      <c r="N99" s="758" t="str">
        <f t="shared" si="18"/>
        <v/>
      </c>
      <c r="O99" s="868" t="s">
        <v>180</v>
      </c>
      <c r="P99" s="868"/>
      <c r="Q99" s="868"/>
      <c r="R99" s="868"/>
      <c r="S99" s="868"/>
      <c r="T99" s="757" t="s">
        <v>2553</v>
      </c>
      <c r="U99" s="757"/>
      <c r="V99" s="757"/>
      <c r="W99" s="757"/>
      <c r="X99" s="757"/>
      <c r="Y99" s="911"/>
      <c r="Z99" s="760" t="s">
        <v>1261</v>
      </c>
      <c r="AA99" s="763"/>
      <c r="AB99" s="760"/>
      <c r="AC99" s="760"/>
      <c r="AD99" s="760"/>
    </row>
    <row r="100" spans="1:30" ht="27" customHeight="1">
      <c r="A100" s="759"/>
      <c r="B100" s="813">
        <v>83</v>
      </c>
      <c r="C100" s="757"/>
      <c r="D100" s="878"/>
      <c r="E100" s="757"/>
      <c r="F100" s="757"/>
      <c r="G100" s="757"/>
      <c r="H100" s="805"/>
      <c r="I100" s="916">
        <f t="shared" si="13"/>
        <v>0</v>
      </c>
      <c r="J100" s="916">
        <f t="shared" si="14"/>
        <v>0</v>
      </c>
      <c r="K100" s="916">
        <f t="shared" si="15"/>
        <v>0</v>
      </c>
      <c r="L100" s="758" t="str">
        <f t="shared" si="16"/>
        <v/>
      </c>
      <c r="M100" s="758" t="str">
        <f t="shared" si="17"/>
        <v/>
      </c>
      <c r="N100" s="758" t="str">
        <f t="shared" si="18"/>
        <v/>
      </c>
      <c r="O100" s="868" t="s">
        <v>2554</v>
      </c>
      <c r="P100" s="868"/>
      <c r="Q100" s="868"/>
      <c r="R100" s="868"/>
      <c r="S100" s="868"/>
      <c r="T100" s="757" t="s">
        <v>2555</v>
      </c>
      <c r="U100" s="757"/>
      <c r="V100" s="757"/>
      <c r="W100" s="757"/>
      <c r="X100" s="757"/>
      <c r="Y100" s="911"/>
      <c r="Z100" s="760" t="s">
        <v>1261</v>
      </c>
      <c r="AA100" s="763"/>
      <c r="AB100" s="760"/>
      <c r="AC100" s="760"/>
      <c r="AD100" s="760"/>
    </row>
    <row r="101" spans="1:30" ht="27" customHeight="1">
      <c r="A101" s="759"/>
      <c r="B101" s="813">
        <v>84</v>
      </c>
      <c r="C101" s="757"/>
      <c r="D101" s="878"/>
      <c r="E101" s="757"/>
      <c r="F101" s="757"/>
      <c r="G101" s="757"/>
      <c r="H101" s="805"/>
      <c r="I101" s="916">
        <f t="shared" si="13"/>
        <v>0</v>
      </c>
      <c r="J101" s="916">
        <f t="shared" si="14"/>
        <v>0</v>
      </c>
      <c r="K101" s="916">
        <f t="shared" si="15"/>
        <v>0</v>
      </c>
      <c r="L101" s="758" t="str">
        <f t="shared" si="16"/>
        <v/>
      </c>
      <c r="M101" s="758" t="str">
        <f t="shared" si="17"/>
        <v/>
      </c>
      <c r="N101" s="758" t="str">
        <f t="shared" si="18"/>
        <v/>
      </c>
      <c r="O101" s="868" t="s">
        <v>2556</v>
      </c>
      <c r="P101" s="868"/>
      <c r="Q101" s="868"/>
      <c r="R101" s="868"/>
      <c r="S101" s="868"/>
      <c r="T101" s="757" t="s">
        <v>2557</v>
      </c>
      <c r="U101" s="757"/>
      <c r="V101" s="757"/>
      <c r="W101" s="757"/>
      <c r="X101" s="757"/>
      <c r="Y101" s="911"/>
      <c r="Z101" s="760" t="s">
        <v>1261</v>
      </c>
      <c r="AA101" s="763"/>
      <c r="AB101" s="760"/>
      <c r="AC101" s="760"/>
      <c r="AD101" s="760"/>
    </row>
    <row r="102" spans="1:30" ht="9" customHeight="1">
      <c r="A102" s="759"/>
      <c r="B102" s="759"/>
      <c r="C102" s="757"/>
      <c r="D102" s="757"/>
      <c r="E102" s="757"/>
      <c r="F102" s="757"/>
      <c r="G102" s="757"/>
      <c r="H102" s="805"/>
      <c r="I102" s="805"/>
      <c r="J102" s="805"/>
      <c r="K102" s="805"/>
      <c r="L102" s="805"/>
      <c r="M102" s="757"/>
      <c r="N102" s="804"/>
      <c r="O102" s="868"/>
      <c r="P102" s="868"/>
      <c r="Q102" s="868"/>
      <c r="R102" s="868"/>
      <c r="S102" s="757"/>
      <c r="T102" s="757"/>
      <c r="U102" s="757"/>
      <c r="V102" s="757"/>
      <c r="W102" s="757"/>
      <c r="X102" s="757"/>
      <c r="Y102" s="911"/>
      <c r="Z102" s="760"/>
      <c r="AA102" s="763"/>
      <c r="AB102" s="760"/>
      <c r="AC102" s="760"/>
      <c r="AD102" s="760"/>
    </row>
    <row r="103" spans="1:30" ht="9" customHeight="1">
      <c r="A103" s="759"/>
      <c r="B103" s="759"/>
      <c r="C103" s="757"/>
      <c r="D103" s="757"/>
      <c r="E103" s="757"/>
      <c r="F103" s="757"/>
      <c r="G103" s="757"/>
      <c r="H103" s="805"/>
      <c r="I103" s="805"/>
      <c r="J103" s="805"/>
      <c r="K103" s="805"/>
      <c r="L103" s="805"/>
      <c r="M103" s="757"/>
      <c r="N103" s="804"/>
      <c r="O103" s="868"/>
      <c r="P103" s="868"/>
      <c r="Q103" s="868"/>
      <c r="R103" s="868"/>
      <c r="S103" s="757"/>
      <c r="T103" s="757"/>
      <c r="U103" s="757"/>
      <c r="V103" s="757"/>
      <c r="W103" s="757"/>
      <c r="X103" s="757"/>
      <c r="Y103" s="911"/>
      <c r="Z103" s="760"/>
      <c r="AA103" s="763"/>
      <c r="AB103" s="760"/>
      <c r="AC103" s="760"/>
      <c r="AD103" s="760"/>
    </row>
    <row r="104" spans="1:30" ht="9" customHeight="1">
      <c r="A104" s="759"/>
      <c r="B104" s="759"/>
      <c r="C104" s="757"/>
      <c r="D104" s="757"/>
      <c r="E104" s="757"/>
      <c r="F104" s="757"/>
      <c r="G104" s="757"/>
      <c r="H104" s="805"/>
      <c r="I104" s="805"/>
      <c r="J104" s="805"/>
      <c r="K104" s="805"/>
      <c r="L104" s="805"/>
      <c r="M104" s="757"/>
      <c r="N104" s="804"/>
      <c r="O104" s="868"/>
      <c r="P104" s="868"/>
      <c r="Q104" s="868"/>
      <c r="R104" s="868"/>
      <c r="S104" s="757"/>
      <c r="T104" s="757"/>
      <c r="U104" s="757"/>
      <c r="V104" s="757"/>
      <c r="W104" s="757"/>
      <c r="X104" s="757"/>
      <c r="Y104" s="911"/>
      <c r="Z104" s="760"/>
      <c r="AA104" s="763"/>
      <c r="AB104" s="760"/>
      <c r="AC104" s="760"/>
      <c r="AD104" s="760"/>
    </row>
    <row r="105" spans="1:30" ht="9" customHeight="1">
      <c r="A105" s="759"/>
      <c r="B105" s="759"/>
      <c r="C105" s="757"/>
      <c r="D105" s="757"/>
      <c r="E105" s="757"/>
      <c r="F105" s="757"/>
      <c r="G105" s="757"/>
      <c r="H105" s="805"/>
      <c r="I105" s="805"/>
      <c r="J105" s="805"/>
      <c r="K105" s="805"/>
      <c r="L105" s="805"/>
      <c r="M105" s="757"/>
      <c r="N105" s="804"/>
      <c r="O105" s="868"/>
      <c r="P105" s="868"/>
      <c r="Q105" s="868"/>
      <c r="R105" s="868"/>
      <c r="S105" s="757"/>
      <c r="T105" s="757"/>
      <c r="U105" s="757"/>
      <c r="V105" s="757"/>
      <c r="W105" s="757"/>
      <c r="X105" s="757"/>
      <c r="Y105" s="911"/>
      <c r="Z105" s="760"/>
      <c r="AA105" s="763"/>
      <c r="AB105" s="760"/>
      <c r="AC105" s="760"/>
      <c r="AD105" s="760"/>
    </row>
    <row r="106" spans="1:30" ht="9" customHeight="1">
      <c r="A106" s="759"/>
      <c r="B106" s="759"/>
      <c r="C106" s="757"/>
      <c r="D106" s="757"/>
      <c r="E106" s="757"/>
      <c r="F106" s="757"/>
      <c r="G106" s="757"/>
      <c r="H106" s="805"/>
      <c r="I106" s="805"/>
      <c r="J106" s="805"/>
      <c r="K106" s="805"/>
      <c r="L106" s="805"/>
      <c r="M106" s="757"/>
      <c r="N106" s="804"/>
      <c r="O106" s="868"/>
      <c r="P106" s="868"/>
      <c r="Q106" s="868"/>
      <c r="R106" s="868"/>
      <c r="S106" s="757"/>
      <c r="T106" s="757"/>
      <c r="U106" s="757"/>
      <c r="V106" s="757"/>
      <c r="W106" s="757"/>
      <c r="X106" s="757"/>
      <c r="Y106" s="911"/>
      <c r="Z106" s="760"/>
      <c r="AA106" s="763"/>
      <c r="AB106" s="760"/>
      <c r="AC106" s="760"/>
      <c r="AD106" s="760"/>
    </row>
    <row r="107" spans="1:30" ht="9" customHeight="1">
      <c r="A107" s="759"/>
      <c r="B107" s="759"/>
      <c r="C107" s="757"/>
      <c r="D107" s="757"/>
      <c r="E107" s="757"/>
      <c r="F107" s="757"/>
      <c r="G107" s="757"/>
      <c r="H107" s="805"/>
      <c r="I107" s="805"/>
      <c r="J107" s="805"/>
      <c r="K107" s="805"/>
      <c r="L107" s="805"/>
      <c r="M107" s="757"/>
      <c r="N107" s="804"/>
      <c r="O107" s="868"/>
      <c r="P107" s="868"/>
      <c r="Q107" s="868"/>
      <c r="R107" s="868"/>
      <c r="S107" s="757"/>
      <c r="T107" s="757"/>
      <c r="U107" s="757"/>
      <c r="V107" s="757"/>
      <c r="W107" s="757"/>
      <c r="X107" s="757"/>
      <c r="Y107" s="911"/>
      <c r="Z107" s="760"/>
      <c r="AA107" s="763"/>
      <c r="AB107" s="760"/>
      <c r="AC107" s="760"/>
      <c r="AD107" s="760"/>
    </row>
    <row r="108" spans="1:30" ht="9" customHeight="1">
      <c r="A108" s="759"/>
      <c r="B108" s="759"/>
      <c r="C108" s="757"/>
      <c r="D108" s="757"/>
      <c r="E108" s="757"/>
      <c r="F108" s="757"/>
      <c r="G108" s="757"/>
      <c r="H108" s="805"/>
      <c r="I108" s="805"/>
      <c r="J108" s="805"/>
      <c r="K108" s="805"/>
      <c r="L108" s="805"/>
      <c r="M108" s="757"/>
      <c r="N108" s="804"/>
      <c r="O108" s="868"/>
      <c r="P108" s="868"/>
      <c r="Q108" s="868"/>
      <c r="R108" s="868"/>
      <c r="S108" s="757"/>
      <c r="T108" s="757"/>
      <c r="U108" s="757"/>
      <c r="V108" s="757"/>
      <c r="W108" s="757"/>
      <c r="X108" s="757"/>
      <c r="Y108" s="911"/>
      <c r="Z108" s="760"/>
      <c r="AA108" s="763"/>
      <c r="AB108" s="760"/>
      <c r="AC108" s="760"/>
      <c r="AD108" s="760"/>
    </row>
    <row r="109" spans="1:30" ht="9" customHeight="1">
      <c r="A109" s="759"/>
      <c r="B109" s="759"/>
      <c r="C109" s="757"/>
      <c r="D109" s="757"/>
      <c r="E109" s="757"/>
      <c r="F109" s="757"/>
      <c r="G109" s="757"/>
      <c r="H109" s="805"/>
      <c r="I109" s="805"/>
      <c r="J109" s="805"/>
      <c r="K109" s="805"/>
      <c r="L109" s="805"/>
      <c r="M109" s="757"/>
      <c r="N109" s="804"/>
      <c r="O109" s="868"/>
      <c r="P109" s="868"/>
      <c r="Q109" s="868"/>
      <c r="R109" s="868"/>
      <c r="S109" s="757"/>
      <c r="T109" s="757"/>
      <c r="U109" s="757"/>
      <c r="V109" s="757"/>
      <c r="W109" s="757"/>
      <c r="X109" s="757"/>
      <c r="Y109" s="911"/>
      <c r="Z109" s="760"/>
      <c r="AA109" s="763"/>
      <c r="AB109" s="760"/>
      <c r="AC109" s="760"/>
      <c r="AD109" s="760"/>
    </row>
    <row r="110" spans="1:30" ht="9" customHeight="1">
      <c r="A110" s="759"/>
      <c r="B110" s="759"/>
      <c r="C110" s="757"/>
      <c r="D110" s="757"/>
      <c r="E110" s="757"/>
      <c r="F110" s="757"/>
      <c r="G110" s="757"/>
      <c r="H110" s="805"/>
      <c r="I110" s="805"/>
      <c r="J110" s="805"/>
      <c r="K110" s="805"/>
      <c r="L110" s="805"/>
      <c r="M110" s="757"/>
      <c r="N110" s="804"/>
      <c r="O110" s="868"/>
      <c r="P110" s="868"/>
      <c r="Q110" s="868"/>
      <c r="R110" s="868"/>
      <c r="S110" s="757"/>
      <c r="T110" s="757"/>
      <c r="U110" s="757"/>
      <c r="V110" s="757"/>
      <c r="W110" s="757"/>
      <c r="X110" s="757"/>
      <c r="Y110" s="911"/>
      <c r="Z110" s="760"/>
      <c r="AA110" s="763"/>
      <c r="AB110" s="760"/>
      <c r="AC110" s="760"/>
      <c r="AD110" s="760"/>
    </row>
    <row r="111" spans="1:30" ht="9" customHeight="1">
      <c r="A111" s="759"/>
      <c r="B111" s="759"/>
      <c r="C111" s="757"/>
      <c r="D111" s="757"/>
      <c r="E111" s="757"/>
      <c r="F111" s="757"/>
      <c r="G111" s="757"/>
      <c r="H111" s="805"/>
      <c r="I111" s="805"/>
      <c r="J111" s="805"/>
      <c r="K111" s="805"/>
      <c r="L111" s="805"/>
      <c r="M111" s="757"/>
      <c r="N111" s="804"/>
      <c r="O111" s="868"/>
      <c r="P111" s="868"/>
      <c r="Q111" s="868"/>
      <c r="R111" s="868"/>
      <c r="S111" s="757"/>
      <c r="T111" s="757"/>
      <c r="U111" s="757"/>
      <c r="V111" s="757"/>
      <c r="W111" s="757"/>
      <c r="X111" s="757"/>
      <c r="Y111" s="911"/>
      <c r="Z111" s="760"/>
      <c r="AA111" s="763"/>
      <c r="AB111" s="760"/>
      <c r="AC111" s="760"/>
      <c r="AD111" s="760"/>
    </row>
    <row r="112" spans="1:30" ht="9" customHeight="1">
      <c r="A112" s="759"/>
      <c r="B112" s="759"/>
      <c r="C112" s="757"/>
      <c r="D112" s="757"/>
      <c r="E112" s="757"/>
      <c r="F112" s="757"/>
      <c r="G112" s="757"/>
      <c r="H112" s="805"/>
      <c r="I112" s="805"/>
      <c r="J112" s="805"/>
      <c r="K112" s="805"/>
      <c r="L112" s="805"/>
      <c r="M112" s="757"/>
      <c r="N112" s="804"/>
      <c r="O112" s="868"/>
      <c r="P112" s="868"/>
      <c r="Q112" s="868"/>
      <c r="R112" s="868"/>
      <c r="S112" s="757"/>
      <c r="T112" s="757"/>
      <c r="U112" s="757"/>
      <c r="V112" s="757"/>
      <c r="W112" s="757"/>
      <c r="X112" s="757"/>
      <c r="Y112" s="911"/>
      <c r="Z112" s="760"/>
      <c r="AA112" s="763"/>
      <c r="AB112" s="760"/>
      <c r="AC112" s="760"/>
      <c r="AD112" s="760"/>
    </row>
    <row r="113" spans="1:30" ht="9" customHeight="1">
      <c r="A113" s="759"/>
      <c r="B113" s="759"/>
      <c r="C113" s="757"/>
      <c r="D113" s="757"/>
      <c r="E113" s="757"/>
      <c r="F113" s="757"/>
      <c r="G113" s="757"/>
      <c r="H113" s="805"/>
      <c r="I113" s="805"/>
      <c r="J113" s="805"/>
      <c r="K113" s="805"/>
      <c r="L113" s="805"/>
      <c r="M113" s="757"/>
      <c r="N113" s="804"/>
      <c r="O113" s="868"/>
      <c r="P113" s="868"/>
      <c r="Q113" s="868"/>
      <c r="R113" s="868"/>
      <c r="S113" s="757"/>
      <c r="T113" s="757"/>
      <c r="U113" s="757"/>
      <c r="V113" s="757"/>
      <c r="W113" s="757"/>
      <c r="X113" s="757"/>
      <c r="Y113" s="911"/>
      <c r="Z113" s="760"/>
      <c r="AA113" s="763"/>
      <c r="AB113" s="760"/>
      <c r="AC113" s="760"/>
      <c r="AD113" s="760"/>
    </row>
    <row r="114" spans="1:30" ht="9" customHeight="1">
      <c r="A114" s="759"/>
      <c r="B114" s="759"/>
      <c r="C114" s="757"/>
      <c r="D114" s="757"/>
      <c r="E114" s="757"/>
      <c r="F114" s="757"/>
      <c r="G114" s="757"/>
      <c r="H114" s="805"/>
      <c r="I114" s="805"/>
      <c r="J114" s="805"/>
      <c r="K114" s="805"/>
      <c r="L114" s="805"/>
      <c r="M114" s="757"/>
      <c r="N114" s="804"/>
      <c r="O114" s="868"/>
      <c r="P114" s="868"/>
      <c r="Q114" s="868"/>
      <c r="R114" s="868"/>
      <c r="S114" s="757"/>
      <c r="T114" s="757"/>
      <c r="U114" s="757"/>
      <c r="V114" s="757"/>
      <c r="W114" s="757"/>
      <c r="X114" s="757"/>
      <c r="Y114" s="911"/>
      <c r="Z114" s="760"/>
      <c r="AA114" s="763"/>
      <c r="AB114" s="760"/>
      <c r="AC114" s="760"/>
      <c r="AD114" s="760"/>
    </row>
    <row r="115" spans="1:30" ht="9" customHeight="1">
      <c r="A115" s="759"/>
      <c r="B115" s="759"/>
      <c r="C115" s="757"/>
      <c r="D115" s="757"/>
      <c r="E115" s="757"/>
      <c r="F115" s="757"/>
      <c r="G115" s="757"/>
      <c r="H115" s="805"/>
      <c r="I115" s="805"/>
      <c r="J115" s="805"/>
      <c r="K115" s="805"/>
      <c r="L115" s="805"/>
      <c r="M115" s="757"/>
      <c r="N115" s="804"/>
      <c r="O115" s="868"/>
      <c r="P115" s="868"/>
      <c r="Q115" s="868"/>
      <c r="R115" s="868"/>
      <c r="S115" s="757"/>
      <c r="T115" s="757"/>
      <c r="U115" s="757"/>
      <c r="V115" s="757"/>
      <c r="W115" s="757"/>
      <c r="X115" s="757"/>
      <c r="Y115" s="911"/>
      <c r="Z115" s="760"/>
      <c r="AA115" s="763"/>
      <c r="AB115" s="760"/>
      <c r="AC115" s="760"/>
      <c r="AD115" s="760"/>
    </row>
    <row r="116" spans="1:30" ht="9" customHeight="1">
      <c r="A116" s="759"/>
      <c r="B116" s="759"/>
      <c r="C116" s="757"/>
      <c r="D116" s="757"/>
      <c r="E116" s="757"/>
      <c r="F116" s="757"/>
      <c r="G116" s="757"/>
      <c r="H116" s="805"/>
      <c r="I116" s="805"/>
      <c r="J116" s="805"/>
      <c r="K116" s="805"/>
      <c r="L116" s="805"/>
      <c r="M116" s="757"/>
      <c r="N116" s="804"/>
      <c r="O116" s="868"/>
      <c r="P116" s="868"/>
      <c r="Q116" s="868"/>
      <c r="R116" s="868"/>
      <c r="S116" s="757"/>
      <c r="T116" s="757"/>
      <c r="U116" s="757"/>
      <c r="V116" s="757"/>
      <c r="W116" s="757"/>
      <c r="X116" s="757"/>
      <c r="Y116" s="911"/>
      <c r="Z116" s="760"/>
      <c r="AA116" s="763"/>
      <c r="AB116" s="760"/>
      <c r="AC116" s="760"/>
      <c r="AD116" s="760"/>
    </row>
    <row r="117" spans="1:30" ht="9" customHeight="1">
      <c r="A117" s="759"/>
      <c r="B117" s="759"/>
      <c r="C117" s="757"/>
      <c r="D117" s="757"/>
      <c r="E117" s="757"/>
      <c r="F117" s="757"/>
      <c r="G117" s="757"/>
      <c r="H117" s="805"/>
      <c r="I117" s="805"/>
      <c r="J117" s="805"/>
      <c r="K117" s="805"/>
      <c r="L117" s="805"/>
      <c r="M117" s="757"/>
      <c r="N117" s="804"/>
      <c r="O117" s="868"/>
      <c r="P117" s="868"/>
      <c r="Q117" s="868"/>
      <c r="R117" s="868"/>
      <c r="S117" s="757"/>
      <c r="T117" s="757"/>
      <c r="U117" s="757"/>
      <c r="V117" s="757"/>
      <c r="W117" s="757"/>
      <c r="X117" s="757"/>
      <c r="Y117" s="911"/>
      <c r="Z117" s="760"/>
      <c r="AA117" s="763"/>
      <c r="AB117" s="760"/>
      <c r="AC117" s="760"/>
      <c r="AD117" s="760"/>
    </row>
    <row r="118" spans="1:30" ht="9" customHeight="1">
      <c r="A118" s="759"/>
      <c r="B118" s="759"/>
      <c r="C118" s="757"/>
      <c r="D118" s="757"/>
      <c r="E118" s="757"/>
      <c r="F118" s="757"/>
      <c r="G118" s="757"/>
      <c r="H118" s="805"/>
      <c r="I118" s="805"/>
      <c r="J118" s="805"/>
      <c r="K118" s="805"/>
      <c r="L118" s="805"/>
      <c r="M118" s="757"/>
      <c r="N118" s="804"/>
      <c r="O118" s="868"/>
      <c r="P118" s="868"/>
      <c r="Q118" s="868"/>
      <c r="R118" s="868"/>
      <c r="S118" s="757"/>
      <c r="T118" s="757"/>
      <c r="U118" s="757"/>
      <c r="V118" s="757"/>
      <c r="W118" s="757"/>
      <c r="X118" s="757"/>
      <c r="Y118" s="911"/>
      <c r="Z118" s="760"/>
      <c r="AA118" s="763"/>
      <c r="AB118" s="760"/>
      <c r="AC118" s="760"/>
      <c r="AD118" s="760"/>
    </row>
    <row r="119" spans="1:30" ht="9" customHeight="1">
      <c r="A119" s="759"/>
      <c r="B119" s="759"/>
      <c r="C119" s="757"/>
      <c r="D119" s="757"/>
      <c r="E119" s="757"/>
      <c r="F119" s="757"/>
      <c r="G119" s="757"/>
      <c r="H119" s="805"/>
      <c r="I119" s="805"/>
      <c r="J119" s="805"/>
      <c r="K119" s="805"/>
      <c r="L119" s="805"/>
      <c r="M119" s="757"/>
      <c r="N119" s="804"/>
      <c r="O119" s="868"/>
      <c r="P119" s="868"/>
      <c r="Q119" s="868"/>
      <c r="R119" s="868"/>
      <c r="S119" s="757"/>
      <c r="T119" s="757"/>
      <c r="U119" s="757"/>
      <c r="V119" s="757"/>
      <c r="W119" s="757"/>
      <c r="X119" s="757"/>
      <c r="Y119" s="911"/>
      <c r="Z119" s="760"/>
      <c r="AA119" s="763"/>
      <c r="AB119" s="760"/>
      <c r="AC119" s="760"/>
      <c r="AD119" s="760"/>
    </row>
    <row r="120" spans="1:30" ht="9" customHeight="1">
      <c r="A120" s="759"/>
      <c r="B120" s="759"/>
      <c r="C120" s="757"/>
      <c r="D120" s="757"/>
      <c r="E120" s="757"/>
      <c r="F120" s="757"/>
      <c r="G120" s="757"/>
      <c r="H120" s="805"/>
      <c r="I120" s="805"/>
      <c r="J120" s="805"/>
      <c r="K120" s="805"/>
      <c r="L120" s="805"/>
      <c r="M120" s="757"/>
      <c r="N120" s="804"/>
      <c r="O120" s="868"/>
      <c r="P120" s="868"/>
      <c r="Q120" s="868"/>
      <c r="R120" s="868"/>
      <c r="S120" s="757"/>
      <c r="T120" s="757"/>
      <c r="U120" s="757"/>
      <c r="V120" s="757"/>
      <c r="W120" s="757"/>
      <c r="X120" s="757"/>
      <c r="Y120" s="911"/>
      <c r="Z120" s="760"/>
      <c r="AA120" s="763"/>
      <c r="AB120" s="760"/>
      <c r="AC120" s="760"/>
      <c r="AD120" s="760"/>
    </row>
    <row r="121" spans="1:30" ht="9" customHeight="1">
      <c r="A121" s="759"/>
      <c r="B121" s="759"/>
      <c r="C121" s="757"/>
      <c r="D121" s="757"/>
      <c r="E121" s="757"/>
      <c r="F121" s="757"/>
      <c r="G121" s="757"/>
      <c r="H121" s="805"/>
      <c r="I121" s="805"/>
      <c r="J121" s="805"/>
      <c r="K121" s="805"/>
      <c r="L121" s="805"/>
      <c r="M121" s="757"/>
      <c r="N121" s="804"/>
      <c r="O121" s="868"/>
      <c r="P121" s="868"/>
      <c r="Q121" s="868"/>
      <c r="R121" s="868"/>
      <c r="S121" s="757"/>
      <c r="T121" s="757"/>
      <c r="U121" s="757"/>
      <c r="V121" s="757"/>
      <c r="W121" s="757"/>
      <c r="X121" s="757"/>
      <c r="Y121" s="911"/>
      <c r="Z121" s="760"/>
      <c r="AA121" s="763"/>
      <c r="AB121" s="760"/>
      <c r="AC121" s="760"/>
      <c r="AD121" s="760"/>
    </row>
    <row r="122" spans="1:30" ht="9" customHeight="1">
      <c r="A122" s="759"/>
      <c r="B122" s="759"/>
      <c r="C122" s="757"/>
      <c r="D122" s="757"/>
      <c r="E122" s="757"/>
      <c r="F122" s="757"/>
      <c r="G122" s="757"/>
      <c r="H122" s="805"/>
      <c r="I122" s="805"/>
      <c r="J122" s="805"/>
      <c r="K122" s="805"/>
      <c r="L122" s="805"/>
      <c r="M122" s="757"/>
      <c r="N122" s="804"/>
      <c r="O122" s="868"/>
      <c r="P122" s="868"/>
      <c r="Q122" s="868"/>
      <c r="R122" s="868"/>
      <c r="S122" s="757"/>
      <c r="T122" s="757"/>
      <c r="U122" s="757"/>
      <c r="V122" s="757"/>
      <c r="W122" s="757"/>
      <c r="X122" s="757"/>
      <c r="Y122" s="911"/>
      <c r="Z122" s="760"/>
      <c r="AA122" s="763"/>
      <c r="AB122" s="760"/>
      <c r="AC122" s="760"/>
      <c r="AD122" s="760"/>
    </row>
    <row r="123" spans="1:30" ht="9" customHeight="1">
      <c r="A123" s="759"/>
      <c r="B123" s="759"/>
      <c r="C123" s="757"/>
      <c r="D123" s="757"/>
      <c r="E123" s="757"/>
      <c r="F123" s="757"/>
      <c r="G123" s="757"/>
      <c r="H123" s="805"/>
      <c r="I123" s="805"/>
      <c r="J123" s="805"/>
      <c r="K123" s="805"/>
      <c r="L123" s="805"/>
      <c r="M123" s="757"/>
      <c r="N123" s="804"/>
      <c r="O123" s="868"/>
      <c r="P123" s="868"/>
      <c r="Q123" s="868"/>
      <c r="R123" s="868"/>
      <c r="S123" s="757"/>
      <c r="T123" s="757"/>
      <c r="U123" s="757"/>
      <c r="V123" s="757"/>
      <c r="W123" s="757"/>
      <c r="X123" s="757"/>
      <c r="Y123" s="911"/>
      <c r="Z123" s="760"/>
      <c r="AA123" s="763"/>
      <c r="AB123" s="760"/>
      <c r="AC123" s="760"/>
      <c r="AD123" s="760"/>
    </row>
    <row r="124" spans="1:30" ht="9" customHeight="1">
      <c r="A124" s="759"/>
      <c r="B124" s="759"/>
      <c r="C124" s="757"/>
      <c r="D124" s="757"/>
      <c r="E124" s="757"/>
      <c r="F124" s="757"/>
      <c r="G124" s="757"/>
      <c r="H124" s="805"/>
      <c r="I124" s="805"/>
      <c r="J124" s="805"/>
      <c r="K124" s="805"/>
      <c r="L124" s="805"/>
      <c r="M124" s="757"/>
      <c r="N124" s="804"/>
      <c r="O124" s="868"/>
      <c r="P124" s="868"/>
      <c r="Q124" s="868"/>
      <c r="R124" s="868"/>
      <c r="S124" s="757"/>
      <c r="T124" s="757"/>
      <c r="U124" s="757"/>
      <c r="V124" s="757"/>
      <c r="W124" s="757"/>
      <c r="X124" s="757"/>
      <c r="Y124" s="911"/>
      <c r="Z124" s="760"/>
      <c r="AA124" s="763"/>
      <c r="AB124" s="760"/>
      <c r="AC124" s="760"/>
      <c r="AD124" s="760"/>
    </row>
    <row r="125" spans="1:30" ht="9" customHeight="1">
      <c r="A125" s="759"/>
      <c r="B125" s="759"/>
      <c r="C125" s="757"/>
      <c r="D125" s="757"/>
      <c r="E125" s="757"/>
      <c r="F125" s="757"/>
      <c r="G125" s="757"/>
      <c r="H125" s="805"/>
      <c r="I125" s="805"/>
      <c r="J125" s="805"/>
      <c r="K125" s="805"/>
      <c r="L125" s="805"/>
      <c r="M125" s="757"/>
      <c r="N125" s="804"/>
      <c r="O125" s="868"/>
      <c r="P125" s="868"/>
      <c r="Q125" s="868"/>
      <c r="R125" s="868"/>
      <c r="S125" s="757"/>
      <c r="T125" s="757"/>
      <c r="U125" s="757"/>
      <c r="V125" s="757"/>
      <c r="W125" s="757"/>
      <c r="X125" s="757"/>
      <c r="Y125" s="911"/>
      <c r="Z125" s="760"/>
      <c r="AA125" s="763"/>
      <c r="AB125" s="760"/>
      <c r="AC125" s="760"/>
      <c r="AD125" s="760"/>
    </row>
    <row r="126" spans="1:30" ht="9" customHeight="1">
      <c r="A126" s="759"/>
      <c r="B126" s="759"/>
      <c r="C126" s="757"/>
      <c r="D126" s="757"/>
      <c r="E126" s="757"/>
      <c r="F126" s="757"/>
      <c r="G126" s="757"/>
      <c r="H126" s="805"/>
      <c r="I126" s="805"/>
      <c r="J126" s="805"/>
      <c r="K126" s="805"/>
      <c r="L126" s="805"/>
      <c r="M126" s="757"/>
      <c r="N126" s="804"/>
      <c r="O126" s="868"/>
      <c r="P126" s="868"/>
      <c r="Q126" s="868"/>
      <c r="R126" s="868"/>
      <c r="S126" s="757"/>
      <c r="T126" s="757"/>
      <c r="U126" s="757"/>
      <c r="V126" s="757"/>
      <c r="W126" s="757"/>
      <c r="X126" s="757"/>
      <c r="Y126" s="911"/>
      <c r="Z126" s="760"/>
      <c r="AA126" s="763"/>
      <c r="AB126" s="760"/>
      <c r="AC126" s="760"/>
      <c r="AD126" s="760"/>
    </row>
    <row r="127" spans="1:30" ht="9" customHeight="1">
      <c r="A127" s="759"/>
      <c r="B127" s="759"/>
      <c r="C127" s="757"/>
      <c r="D127" s="757"/>
      <c r="E127" s="757"/>
      <c r="F127" s="757"/>
      <c r="G127" s="757"/>
      <c r="H127" s="805"/>
      <c r="I127" s="805"/>
      <c r="J127" s="805"/>
      <c r="K127" s="805"/>
      <c r="L127" s="805"/>
      <c r="M127" s="757"/>
      <c r="N127" s="804"/>
      <c r="O127" s="868"/>
      <c r="P127" s="868"/>
      <c r="Q127" s="868"/>
      <c r="R127" s="868"/>
      <c r="S127" s="757"/>
      <c r="T127" s="757"/>
      <c r="U127" s="757"/>
      <c r="V127" s="757"/>
      <c r="W127" s="757"/>
      <c r="X127" s="757"/>
      <c r="Y127" s="911"/>
      <c r="Z127" s="760"/>
      <c r="AA127" s="763"/>
      <c r="AB127" s="760"/>
      <c r="AC127" s="760"/>
      <c r="AD127" s="760"/>
    </row>
    <row r="128" spans="1:30" ht="9" customHeight="1">
      <c r="A128" s="759"/>
      <c r="B128" s="759"/>
      <c r="C128" s="757"/>
      <c r="D128" s="757"/>
      <c r="E128" s="757"/>
      <c r="F128" s="757"/>
      <c r="G128" s="757"/>
      <c r="H128" s="805"/>
      <c r="I128" s="805"/>
      <c r="J128" s="805"/>
      <c r="K128" s="805"/>
      <c r="L128" s="805"/>
      <c r="M128" s="757"/>
      <c r="N128" s="804"/>
      <c r="O128" s="868"/>
      <c r="P128" s="868"/>
      <c r="Q128" s="868"/>
      <c r="R128" s="868"/>
      <c r="S128" s="757"/>
      <c r="T128" s="757"/>
      <c r="U128" s="757"/>
      <c r="V128" s="757"/>
      <c r="W128" s="757"/>
      <c r="X128" s="757"/>
      <c r="Y128" s="911"/>
      <c r="Z128" s="760"/>
      <c r="AA128" s="763"/>
      <c r="AB128" s="760"/>
      <c r="AC128" s="760"/>
      <c r="AD128" s="760"/>
    </row>
    <row r="129" spans="1:30" ht="9" customHeight="1">
      <c r="A129" s="759"/>
      <c r="B129" s="759"/>
      <c r="C129" s="757"/>
      <c r="D129" s="757"/>
      <c r="E129" s="757"/>
      <c r="F129" s="757"/>
      <c r="G129" s="757"/>
      <c r="H129" s="805"/>
      <c r="I129" s="805"/>
      <c r="J129" s="805"/>
      <c r="K129" s="805"/>
      <c r="L129" s="805"/>
      <c r="M129" s="757"/>
      <c r="N129" s="804"/>
      <c r="O129" s="868"/>
      <c r="P129" s="868"/>
      <c r="Q129" s="868"/>
      <c r="R129" s="868"/>
      <c r="S129" s="757"/>
      <c r="T129" s="757"/>
      <c r="U129" s="757"/>
      <c r="V129" s="757"/>
      <c r="W129" s="757"/>
      <c r="X129" s="757"/>
      <c r="Y129" s="911"/>
      <c r="Z129" s="760"/>
      <c r="AA129" s="763"/>
      <c r="AB129" s="760"/>
      <c r="AC129" s="760"/>
      <c r="AD129" s="760"/>
    </row>
    <row r="130" spans="1:30" ht="9" customHeight="1">
      <c r="A130" s="759"/>
      <c r="B130" s="759"/>
      <c r="C130" s="757"/>
      <c r="D130" s="757"/>
      <c r="E130" s="757"/>
      <c r="F130" s="757"/>
      <c r="G130" s="757"/>
      <c r="H130" s="805"/>
      <c r="I130" s="805"/>
      <c r="J130" s="805"/>
      <c r="K130" s="805"/>
      <c r="L130" s="805"/>
      <c r="M130" s="757"/>
      <c r="N130" s="804"/>
      <c r="O130" s="870"/>
      <c r="P130" s="870"/>
      <c r="Q130" s="870"/>
      <c r="R130" s="870"/>
      <c r="S130" s="757"/>
      <c r="T130" s="757"/>
      <c r="U130" s="757"/>
      <c r="V130" s="757"/>
      <c r="W130" s="757"/>
      <c r="X130" s="757"/>
      <c r="Y130" s="911"/>
      <c r="Z130" s="760"/>
      <c r="AA130" s="763"/>
      <c r="AB130" s="760"/>
      <c r="AC130" s="760"/>
      <c r="AD130" s="760"/>
    </row>
    <row r="131" spans="1:30" ht="9" customHeight="1">
      <c r="A131" s="759"/>
      <c r="B131" s="759"/>
      <c r="C131" s="757"/>
      <c r="D131" s="757"/>
      <c r="E131" s="757"/>
      <c r="F131" s="757"/>
      <c r="G131" s="757"/>
      <c r="H131" s="805"/>
      <c r="I131" s="805"/>
      <c r="J131" s="805"/>
      <c r="K131" s="805"/>
      <c r="L131" s="805"/>
      <c r="M131" s="757"/>
      <c r="N131" s="804"/>
      <c r="O131" s="871"/>
      <c r="P131" s="871"/>
      <c r="Q131" s="871"/>
      <c r="R131" s="871"/>
      <c r="S131" s="757"/>
      <c r="T131" s="757"/>
      <c r="U131" s="757"/>
      <c r="V131" s="757"/>
      <c r="W131" s="757"/>
      <c r="X131" s="757"/>
      <c r="Y131" s="911"/>
      <c r="Z131" s="760"/>
      <c r="AA131" s="763"/>
      <c r="AB131" s="760"/>
      <c r="AC131" s="760"/>
      <c r="AD131" s="760"/>
    </row>
    <row r="132" spans="1:30" ht="9" customHeight="1">
      <c r="A132" s="759"/>
      <c r="B132" s="759"/>
      <c r="C132" s="757"/>
      <c r="D132" s="757"/>
      <c r="E132" s="757"/>
      <c r="F132" s="757"/>
      <c r="G132" s="757"/>
      <c r="H132" s="805"/>
      <c r="I132" s="805"/>
      <c r="J132" s="805"/>
      <c r="K132" s="805"/>
      <c r="L132" s="805"/>
      <c r="M132" s="757"/>
      <c r="N132" s="804"/>
      <c r="O132" s="870"/>
      <c r="P132" s="870"/>
      <c r="Q132" s="870"/>
      <c r="R132" s="870"/>
      <c r="S132" s="757"/>
      <c r="T132" s="757"/>
      <c r="U132" s="757"/>
      <c r="V132" s="757"/>
      <c r="W132" s="757"/>
      <c r="X132" s="757"/>
      <c r="Y132" s="911"/>
      <c r="Z132" s="760"/>
      <c r="AA132" s="763"/>
      <c r="AB132" s="760"/>
      <c r="AC132" s="760"/>
      <c r="AD132" s="760"/>
    </row>
    <row r="133" spans="1:30" ht="9" customHeight="1">
      <c r="A133" s="759"/>
      <c r="B133" s="759"/>
      <c r="C133" s="757"/>
      <c r="D133" s="757"/>
      <c r="E133" s="757"/>
      <c r="F133" s="757"/>
      <c r="G133" s="757"/>
      <c r="H133" s="805"/>
      <c r="I133" s="805"/>
      <c r="J133" s="805"/>
      <c r="K133" s="805"/>
      <c r="L133" s="805"/>
      <c r="M133" s="757"/>
      <c r="N133" s="804"/>
      <c r="O133" s="871"/>
      <c r="P133" s="871"/>
      <c r="Q133" s="871"/>
      <c r="R133" s="871"/>
      <c r="S133" s="757"/>
      <c r="T133" s="757"/>
      <c r="U133" s="757"/>
      <c r="V133" s="757"/>
      <c r="W133" s="757"/>
      <c r="X133" s="757"/>
      <c r="Y133" s="911"/>
      <c r="Z133" s="760"/>
      <c r="AA133" s="763"/>
      <c r="AB133" s="760"/>
      <c r="AC133" s="760"/>
      <c r="AD133" s="760"/>
    </row>
    <row r="134" spans="1:30" ht="9" customHeight="1">
      <c r="A134" s="759"/>
      <c r="B134" s="759"/>
      <c r="C134" s="757"/>
      <c r="D134" s="757"/>
      <c r="E134" s="757"/>
      <c r="F134" s="757"/>
      <c r="G134" s="757"/>
      <c r="H134" s="805"/>
      <c r="I134" s="805"/>
      <c r="J134" s="805"/>
      <c r="K134" s="805"/>
      <c r="L134" s="805"/>
      <c r="M134" s="757"/>
      <c r="N134" s="804"/>
      <c r="O134" s="868"/>
      <c r="P134" s="868"/>
      <c r="Q134" s="868"/>
      <c r="R134" s="868"/>
      <c r="S134" s="757"/>
      <c r="T134" s="757"/>
      <c r="U134" s="757"/>
      <c r="V134" s="757"/>
      <c r="W134" s="757"/>
      <c r="X134" s="757"/>
      <c r="Y134" s="911"/>
      <c r="Z134" s="760"/>
      <c r="AA134" s="763"/>
      <c r="AB134" s="760"/>
      <c r="AC134" s="760"/>
      <c r="AD134" s="760"/>
    </row>
    <row r="135" spans="1:30" ht="9" customHeight="1">
      <c r="A135" s="759"/>
      <c r="B135" s="759"/>
      <c r="C135" s="757"/>
      <c r="D135" s="757"/>
      <c r="E135" s="757"/>
      <c r="F135" s="757"/>
      <c r="G135" s="757"/>
      <c r="H135" s="805"/>
      <c r="I135" s="805"/>
      <c r="J135" s="805"/>
      <c r="K135" s="805"/>
      <c r="L135" s="805"/>
      <c r="M135" s="757"/>
      <c r="N135" s="804"/>
      <c r="O135" s="868"/>
      <c r="P135" s="868"/>
      <c r="Q135" s="868"/>
      <c r="R135" s="868"/>
      <c r="S135" s="757"/>
      <c r="T135" s="757"/>
      <c r="U135" s="757"/>
      <c r="V135" s="757"/>
      <c r="W135" s="757"/>
      <c r="X135" s="757"/>
      <c r="Y135" s="911"/>
      <c r="Z135" s="760"/>
      <c r="AA135" s="763"/>
      <c r="AB135" s="760"/>
      <c r="AC135" s="760"/>
      <c r="AD135" s="760"/>
    </row>
    <row r="136" spans="1:30" ht="9" customHeight="1">
      <c r="A136" s="759"/>
      <c r="B136" s="759"/>
      <c r="C136" s="757"/>
      <c r="D136" s="757"/>
      <c r="E136" s="757"/>
      <c r="F136" s="757"/>
      <c r="G136" s="757"/>
      <c r="H136" s="805"/>
      <c r="I136" s="805"/>
      <c r="J136" s="805"/>
      <c r="K136" s="805"/>
      <c r="L136" s="805"/>
      <c r="M136" s="757"/>
      <c r="N136" s="804"/>
      <c r="O136" s="868"/>
      <c r="P136" s="868"/>
      <c r="Q136" s="868"/>
      <c r="R136" s="868"/>
      <c r="S136" s="757"/>
      <c r="T136" s="757"/>
      <c r="U136" s="757"/>
      <c r="V136" s="757"/>
      <c r="W136" s="757"/>
      <c r="X136" s="757"/>
      <c r="Y136" s="911"/>
      <c r="Z136" s="760"/>
      <c r="AA136" s="763"/>
      <c r="AB136" s="760"/>
      <c r="AC136" s="760"/>
      <c r="AD136" s="760"/>
    </row>
    <row r="137" spans="1:30" ht="9" customHeight="1">
      <c r="A137" s="759"/>
      <c r="B137" s="759"/>
      <c r="C137" s="757"/>
      <c r="D137" s="757"/>
      <c r="E137" s="757"/>
      <c r="F137" s="757"/>
      <c r="G137" s="757"/>
      <c r="H137" s="805"/>
      <c r="I137" s="805"/>
      <c r="J137" s="805"/>
      <c r="K137" s="805"/>
      <c r="L137" s="805"/>
      <c r="M137" s="757"/>
      <c r="N137" s="804"/>
      <c r="O137" s="872"/>
      <c r="P137" s="872"/>
      <c r="Q137" s="872"/>
      <c r="R137" s="872"/>
      <c r="S137" s="757"/>
      <c r="T137" s="757"/>
      <c r="U137" s="757"/>
      <c r="V137" s="757"/>
      <c r="W137" s="757"/>
      <c r="X137" s="757"/>
      <c r="Y137" s="911"/>
      <c r="Z137" s="760"/>
      <c r="AA137" s="763"/>
      <c r="AB137" s="760"/>
      <c r="AC137" s="760"/>
      <c r="AD137" s="760"/>
    </row>
    <row r="138" spans="1:30" ht="9" customHeight="1">
      <c r="A138" s="759"/>
      <c r="B138" s="759"/>
      <c r="C138" s="757"/>
      <c r="D138" s="757"/>
      <c r="E138" s="757"/>
      <c r="F138" s="757"/>
      <c r="G138" s="757"/>
      <c r="H138" s="805"/>
      <c r="I138" s="805"/>
      <c r="J138" s="805"/>
      <c r="K138" s="805"/>
      <c r="L138" s="805"/>
      <c r="M138" s="757"/>
      <c r="N138" s="804"/>
      <c r="O138" s="869"/>
      <c r="P138" s="869"/>
      <c r="Q138" s="869"/>
      <c r="R138" s="869"/>
      <c r="S138" s="757"/>
      <c r="T138" s="757"/>
      <c r="U138" s="757"/>
      <c r="V138" s="757"/>
      <c r="W138" s="757"/>
      <c r="X138" s="757"/>
      <c r="Y138" s="911"/>
      <c r="Z138" s="760"/>
      <c r="AA138" s="763"/>
      <c r="AB138" s="760"/>
      <c r="AC138" s="760"/>
      <c r="AD138" s="760"/>
    </row>
    <row r="139" spans="1:30" ht="9" customHeight="1">
      <c r="A139" s="759"/>
      <c r="B139" s="759"/>
      <c r="C139" s="757"/>
      <c r="D139" s="757"/>
      <c r="E139" s="757"/>
      <c r="F139" s="757"/>
      <c r="G139" s="757"/>
      <c r="H139" s="805"/>
      <c r="I139" s="805"/>
      <c r="J139" s="805"/>
      <c r="K139" s="805"/>
      <c r="L139" s="805"/>
      <c r="M139" s="757"/>
      <c r="N139" s="804"/>
      <c r="O139" s="757"/>
      <c r="P139" s="757"/>
      <c r="Q139" s="757"/>
      <c r="R139" s="757"/>
      <c r="S139" s="757"/>
      <c r="T139" s="757"/>
      <c r="U139" s="757"/>
      <c r="V139" s="757"/>
      <c r="W139" s="757"/>
      <c r="X139" s="757"/>
      <c r="Y139" s="911"/>
      <c r="Z139" s="760"/>
      <c r="AA139" s="763"/>
      <c r="AB139" s="760"/>
      <c r="AC139" s="760"/>
      <c r="AD139" s="760"/>
    </row>
    <row r="140" spans="1:30" ht="9" customHeight="1">
      <c r="A140" s="759"/>
      <c r="B140" s="759"/>
      <c r="C140" s="757"/>
      <c r="D140" s="757"/>
      <c r="E140" s="757"/>
      <c r="F140" s="757"/>
      <c r="G140" s="757"/>
      <c r="H140" s="805"/>
      <c r="I140" s="805"/>
      <c r="J140" s="805"/>
      <c r="K140" s="805"/>
      <c r="L140" s="805"/>
      <c r="M140" s="757"/>
      <c r="N140" s="804"/>
      <c r="O140" s="757"/>
      <c r="P140" s="757"/>
      <c r="Q140" s="757"/>
      <c r="R140" s="757"/>
      <c r="S140" s="757"/>
      <c r="T140" s="757"/>
      <c r="U140" s="757"/>
      <c r="V140" s="757"/>
      <c r="W140" s="757"/>
      <c r="X140" s="757"/>
      <c r="Y140" s="911"/>
      <c r="Z140" s="760"/>
      <c r="AA140" s="763"/>
      <c r="AB140" s="760"/>
      <c r="AC140" s="760"/>
      <c r="AD140" s="760"/>
    </row>
    <row r="141" spans="1:30" ht="9" customHeight="1">
      <c r="A141" s="759"/>
      <c r="B141" s="759"/>
      <c r="C141" s="757"/>
      <c r="D141" s="757"/>
      <c r="E141" s="757"/>
      <c r="F141" s="757"/>
      <c r="G141" s="757"/>
      <c r="H141" s="805"/>
      <c r="I141" s="805"/>
      <c r="J141" s="805"/>
      <c r="K141" s="805"/>
      <c r="L141" s="805"/>
      <c r="M141" s="757"/>
      <c r="N141" s="804"/>
      <c r="O141" s="757"/>
      <c r="P141" s="757"/>
      <c r="Q141" s="757"/>
      <c r="R141" s="757"/>
      <c r="S141" s="757"/>
      <c r="T141" s="757"/>
      <c r="U141" s="757"/>
      <c r="V141" s="757"/>
      <c r="W141" s="757"/>
      <c r="X141" s="757"/>
      <c r="Y141" s="911"/>
      <c r="Z141" s="760"/>
      <c r="AA141" s="763"/>
      <c r="AB141" s="760"/>
      <c r="AC141" s="760"/>
      <c r="AD141" s="760"/>
    </row>
    <row r="142" spans="1:30" ht="9" customHeight="1">
      <c r="A142" s="759"/>
      <c r="B142" s="759"/>
      <c r="C142" s="757"/>
      <c r="D142" s="757"/>
      <c r="E142" s="757"/>
      <c r="F142" s="757"/>
      <c r="G142" s="757"/>
      <c r="H142" s="805"/>
      <c r="I142" s="805"/>
      <c r="J142" s="805"/>
      <c r="K142" s="805"/>
      <c r="L142" s="805"/>
      <c r="M142" s="757"/>
      <c r="N142" s="804"/>
      <c r="O142" s="757"/>
      <c r="P142" s="757"/>
      <c r="Q142" s="757"/>
      <c r="R142" s="757"/>
      <c r="S142" s="757"/>
      <c r="T142" s="757"/>
      <c r="U142" s="757"/>
      <c r="V142" s="757"/>
      <c r="W142" s="757"/>
      <c r="X142" s="757"/>
      <c r="Y142" s="911"/>
      <c r="Z142" s="760"/>
      <c r="AA142" s="763"/>
      <c r="AB142" s="760"/>
      <c r="AC142" s="760"/>
      <c r="AD142" s="760"/>
    </row>
    <row r="143" spans="1:30" ht="9" customHeight="1">
      <c r="A143" s="759"/>
      <c r="B143" s="759"/>
      <c r="C143" s="757"/>
      <c r="D143" s="757"/>
      <c r="E143" s="757"/>
      <c r="F143" s="757"/>
      <c r="G143" s="757"/>
      <c r="H143" s="805"/>
      <c r="I143" s="805"/>
      <c r="J143" s="805"/>
      <c r="K143" s="805"/>
      <c r="L143" s="805"/>
      <c r="M143" s="757"/>
      <c r="N143" s="804"/>
      <c r="O143" s="757"/>
      <c r="P143" s="757"/>
      <c r="Q143" s="757"/>
      <c r="R143" s="757"/>
      <c r="S143" s="757"/>
      <c r="T143" s="757"/>
      <c r="U143" s="757"/>
      <c r="V143" s="757"/>
      <c r="W143" s="757"/>
      <c r="X143" s="757"/>
      <c r="Y143" s="911"/>
      <c r="Z143" s="760"/>
      <c r="AA143" s="763"/>
      <c r="AB143" s="760"/>
      <c r="AC143" s="760"/>
      <c r="AD143" s="760"/>
    </row>
    <row r="144" spans="1:30" ht="9" customHeight="1">
      <c r="A144" s="759"/>
      <c r="B144" s="759"/>
      <c r="C144" s="757"/>
      <c r="D144" s="757"/>
      <c r="E144" s="757"/>
      <c r="F144" s="757"/>
      <c r="G144" s="757"/>
      <c r="H144" s="805"/>
      <c r="I144" s="805"/>
      <c r="J144" s="805"/>
      <c r="K144" s="805"/>
      <c r="L144" s="805"/>
      <c r="M144" s="757"/>
      <c r="N144" s="804"/>
      <c r="O144" s="757"/>
      <c r="P144" s="757"/>
      <c r="Q144" s="757"/>
      <c r="R144" s="757"/>
      <c r="S144" s="757"/>
      <c r="T144" s="757"/>
      <c r="U144" s="757"/>
      <c r="V144" s="757"/>
      <c r="W144" s="757"/>
      <c r="X144" s="757"/>
      <c r="Y144" s="911"/>
      <c r="Z144" s="760"/>
      <c r="AA144" s="763"/>
      <c r="AB144" s="760"/>
      <c r="AC144" s="760"/>
      <c r="AD144" s="760"/>
    </row>
    <row r="145" spans="1:30" ht="9" customHeight="1">
      <c r="A145" s="759"/>
      <c r="B145" s="759"/>
      <c r="C145" s="757"/>
      <c r="D145" s="757"/>
      <c r="E145" s="757"/>
      <c r="F145" s="757"/>
      <c r="G145" s="757"/>
      <c r="H145" s="805"/>
      <c r="I145" s="805"/>
      <c r="J145" s="805"/>
      <c r="K145" s="805"/>
      <c r="L145" s="805"/>
      <c r="M145" s="757"/>
      <c r="N145" s="804"/>
      <c r="O145" s="757"/>
      <c r="P145" s="757"/>
      <c r="Q145" s="757"/>
      <c r="R145" s="757"/>
      <c r="S145" s="757"/>
      <c r="T145" s="757"/>
      <c r="U145" s="757"/>
      <c r="V145" s="757"/>
      <c r="W145" s="757"/>
      <c r="X145" s="757"/>
      <c r="Y145" s="911"/>
      <c r="Z145" s="760"/>
      <c r="AA145" s="763"/>
      <c r="AB145" s="760"/>
      <c r="AC145" s="760"/>
      <c r="AD145" s="760"/>
    </row>
    <row r="146" spans="1:30" ht="9" customHeight="1">
      <c r="A146" s="759"/>
      <c r="B146" s="759"/>
      <c r="C146" s="757"/>
      <c r="D146" s="757"/>
      <c r="E146" s="757"/>
      <c r="F146" s="757"/>
      <c r="G146" s="757"/>
      <c r="H146" s="805"/>
      <c r="I146" s="805"/>
      <c r="J146" s="805"/>
      <c r="K146" s="805"/>
      <c r="L146" s="805"/>
      <c r="M146" s="757"/>
      <c r="N146" s="804"/>
      <c r="O146" s="757"/>
      <c r="P146" s="757"/>
      <c r="Q146" s="757"/>
      <c r="R146" s="757"/>
      <c r="S146" s="757"/>
      <c r="T146" s="757"/>
      <c r="U146" s="757"/>
      <c r="V146" s="757"/>
      <c r="W146" s="757"/>
      <c r="X146" s="757"/>
      <c r="Y146" s="911"/>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2099</v>
      </c>
      <c r="B148" s="759"/>
      <c r="C148" s="757" t="s">
        <v>2558</v>
      </c>
      <c r="D148" s="757" t="s">
        <v>439</v>
      </c>
      <c r="E148" s="757" t="s">
        <v>563</v>
      </c>
      <c r="F148" s="757" t="s">
        <v>688</v>
      </c>
      <c r="G148" s="757"/>
      <c r="H148" s="757"/>
      <c r="I148" s="874"/>
      <c r="J148" s="874"/>
      <c r="K148" s="874"/>
      <c r="L148" s="874"/>
      <c r="M148" s="80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62"/>
      <c r="O148" s="757"/>
      <c r="P148" s="758"/>
      <c r="Q148" s="758"/>
      <c r="R148" s="758"/>
      <c r="S148" s="757"/>
      <c r="T148" s="757" t="s">
        <v>2559</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58"/>
      <c r="W148" s="758"/>
      <c r="X148" s="757" t="s">
        <v>2560</v>
      </c>
      <c r="Y148" s="911"/>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2102</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11"/>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2104</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11"/>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2107</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11"/>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2.28515625" style="1287" hidden="1" customWidth="1"/>
    <col min="6" max="8" width="12.28515625" style="1696" hidden="1" customWidth="1"/>
    <col min="9" max="9" width="3.7109375" style="1812" customWidth="1"/>
    <col min="10" max="11" width="3.7109375" style="265" customWidth="1"/>
    <col min="12" max="12" width="12.7109375" style="1814"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1:29" ht="14.25" hidden="1" customHeight="1">
      <c r="R1" s="249"/>
      <c r="S1" s="249"/>
    </row>
    <row r="2" spans="1:29" ht="14.25" hidden="1" customHeight="1">
      <c r="V2" s="249"/>
    </row>
    <row r="3" spans="1:29" ht="14.25" hidden="1" customHeight="1"/>
    <row r="4" spans="1:29" ht="14.25" customHeight="1">
      <c r="J4" s="300"/>
      <c r="K4" s="300"/>
      <c r="L4" s="1200"/>
      <c r="M4" s="286"/>
      <c r="N4" s="286"/>
      <c r="O4" s="433"/>
      <c r="P4" s="433"/>
      <c r="Q4" s="433"/>
      <c r="R4" s="433"/>
      <c r="S4" s="433"/>
      <c r="T4" s="433"/>
      <c r="U4" s="433"/>
      <c r="V4" s="433"/>
    </row>
    <row r="5" spans="1:29" ht="64.5" customHeight="1">
      <c r="J5" s="300"/>
      <c r="K5" s="300"/>
      <c r="L5" s="9134" t="s">
        <v>2561</v>
      </c>
      <c r="M5" s="9134"/>
      <c r="N5" s="9134"/>
      <c r="O5" s="9134"/>
      <c r="P5" s="9134"/>
      <c r="Q5" s="9134"/>
      <c r="R5" s="9134"/>
      <c r="S5" s="9134"/>
      <c r="T5" s="9134"/>
      <c r="U5" s="9134"/>
      <c r="V5" s="1157"/>
    </row>
    <row r="6" spans="1:29" ht="14.25" customHeight="1">
      <c r="J6" s="300"/>
      <c r="K6" s="300"/>
      <c r="L6" s="9135" t="str">
        <f>IF(org=0,"Не определено",org)</f>
        <v>ГУП СК "Ставрополькрайводоканал"</v>
      </c>
      <c r="M6" s="9135"/>
      <c r="N6" s="9135"/>
      <c r="O6" s="9135"/>
      <c r="P6" s="9135"/>
      <c r="Q6" s="9135"/>
      <c r="R6" s="9135"/>
      <c r="S6" s="9135"/>
      <c r="T6" s="9135"/>
      <c r="U6" s="9135"/>
      <c r="V6" s="1157"/>
    </row>
    <row r="7" spans="1:29" ht="14.25" customHeight="1">
      <c r="J7" s="300"/>
      <c r="K7" s="300"/>
      <c r="L7" s="1200"/>
      <c r="M7" s="286"/>
      <c r="N7" s="286"/>
      <c r="O7" s="242"/>
      <c r="P7" s="242"/>
      <c r="Q7" s="242"/>
      <c r="R7" s="242"/>
      <c r="S7" s="242"/>
      <c r="T7" s="242"/>
      <c r="U7" s="242"/>
      <c r="V7" s="242"/>
      <c r="W7" s="433"/>
    </row>
    <row r="8" spans="1:29" s="1771" customFormat="1" ht="45" customHeight="1">
      <c r="A8" s="1289"/>
      <c r="B8" s="1289"/>
      <c r="C8" s="1289"/>
      <c r="D8" s="1289"/>
      <c r="E8" s="1289"/>
      <c r="F8" s="1289"/>
      <c r="G8" s="1289"/>
      <c r="H8" s="1289"/>
      <c r="L8" s="1201"/>
      <c r="M8" s="209" t="s">
        <v>38</v>
      </c>
      <c r="N8" s="218"/>
      <c r="O8" s="8876" t="str">
        <f>IF(TITLE_NAME_OR_PR_CHANGE="",IF(TITLE_NAME_OR_PR="","",TITLE_NAME_OR_PR),TITLE_NAME_OR_PR_CHANGE)</f>
        <v/>
      </c>
      <c r="P8" s="8876"/>
      <c r="Q8" s="8876"/>
      <c r="R8" s="8876"/>
      <c r="S8" s="8876"/>
      <c r="T8" s="8876"/>
      <c r="U8" s="8876"/>
      <c r="V8" s="248"/>
      <c r="W8" s="248"/>
      <c r="X8" s="196"/>
      <c r="Y8" s="292"/>
      <c r="Z8" s="292"/>
      <c r="AA8" s="292"/>
      <c r="AB8" s="292"/>
      <c r="AC8" s="292"/>
    </row>
    <row r="9" spans="1:29" s="1771" customFormat="1" ht="22.5" customHeight="1">
      <c r="A9" s="1289"/>
      <c r="B9" s="1289"/>
      <c r="C9" s="1289"/>
      <c r="D9" s="1289"/>
      <c r="E9" s="1289"/>
      <c r="F9" s="1289"/>
      <c r="G9" s="1289"/>
      <c r="H9" s="1289"/>
      <c r="L9" s="1201"/>
      <c r="M9" s="209" t="s">
        <v>886</v>
      </c>
      <c r="N9" s="218"/>
      <c r="O9" s="8876">
        <f>IF(TITLE_DATE_CHANGE_PERIOD="",IF(TITLE_DATE_PR="","",TITLE_DATE_PR),TITLE_DATE_CHANGE_PERIOD)</f>
        <v>45281.411851851852</v>
      </c>
      <c r="P9" s="8876"/>
      <c r="Q9" s="8876"/>
      <c r="R9" s="8876"/>
      <c r="S9" s="8876"/>
      <c r="T9" s="8876"/>
      <c r="U9" s="8876"/>
      <c r="V9" s="248"/>
      <c r="W9" s="248"/>
      <c r="X9" s="196"/>
      <c r="Y9" s="292"/>
      <c r="Z9" s="292"/>
      <c r="AA9" s="292"/>
      <c r="AB9" s="292"/>
      <c r="AC9" s="292"/>
    </row>
    <row r="10" spans="1:29" s="1771" customFormat="1" ht="22.5" customHeight="1">
      <c r="A10" s="1289"/>
      <c r="B10" s="1289"/>
      <c r="C10" s="1289"/>
      <c r="D10" s="1289"/>
      <c r="E10" s="1289"/>
      <c r="F10" s="1289"/>
      <c r="G10" s="1289"/>
      <c r="H10" s="1289"/>
      <c r="L10" s="1165"/>
      <c r="M10" s="209" t="s">
        <v>887</v>
      </c>
      <c r="N10" s="218"/>
      <c r="O10" s="8876" t="str">
        <f>IF(TITLE_NUMBER_PR_CHANGE="",IF(TITLE_NUMBER_PR="","",TITLE_NUMBER_PR),TITLE_NUMBER_PR_CHANGE)</f>
        <v>06-11/11398</v>
      </c>
      <c r="P10" s="8876"/>
      <c r="Q10" s="8876"/>
      <c r="R10" s="8876"/>
      <c r="S10" s="8876"/>
      <c r="T10" s="8876"/>
      <c r="U10" s="8876"/>
      <c r="V10" s="248"/>
      <c r="W10" s="248"/>
      <c r="X10" s="196"/>
      <c r="Y10" s="292"/>
      <c r="Z10" s="292"/>
      <c r="AA10" s="292"/>
      <c r="AB10" s="292"/>
      <c r="AC10" s="292"/>
    </row>
    <row r="11" spans="1:29" s="1771" customFormat="1" ht="22.5" customHeight="1">
      <c r="A11" s="1289"/>
      <c r="B11" s="1289"/>
      <c r="C11" s="1289"/>
      <c r="D11" s="1289"/>
      <c r="E11" s="1289"/>
      <c r="F11" s="1289"/>
      <c r="G11" s="1289"/>
      <c r="H11" s="1289"/>
      <c r="L11" s="1165"/>
      <c r="M11" s="209" t="s">
        <v>39</v>
      </c>
      <c r="N11" s="218"/>
      <c r="O11" s="8876" t="str">
        <f>IF(TITLE_IST_PUB_CHANGE="",IF(TITLE_IST_PUB="","",TITLE_IST_PUB),TITLE_IST_PUB_CHANGE)</f>
        <v/>
      </c>
      <c r="P11" s="8876"/>
      <c r="Q11" s="8876"/>
      <c r="R11" s="8876"/>
      <c r="S11" s="8876"/>
      <c r="T11" s="8876"/>
      <c r="U11" s="8876"/>
      <c r="V11" s="248"/>
      <c r="W11" s="248"/>
      <c r="X11" s="196"/>
      <c r="Y11" s="292"/>
      <c r="Z11" s="292"/>
      <c r="AA11" s="292"/>
      <c r="AB11" s="292"/>
      <c r="AC11" s="292"/>
    </row>
    <row r="12" spans="1:29" s="1771" customFormat="1" ht="11.25" hidden="1" customHeight="1">
      <c r="A12" s="1289"/>
      <c r="B12" s="1289"/>
      <c r="C12" s="1289"/>
      <c r="D12" s="1289"/>
      <c r="E12" s="1289"/>
      <c r="F12" s="1289"/>
      <c r="G12" s="1289"/>
      <c r="H12" s="1289"/>
      <c r="L12" s="9136"/>
      <c r="M12" s="9136"/>
      <c r="N12" s="1211"/>
      <c r="O12" s="248"/>
      <c r="P12" s="248"/>
      <c r="Q12" s="248"/>
      <c r="R12" s="248"/>
      <c r="S12" s="248"/>
      <c r="T12" s="248"/>
      <c r="U12" s="248"/>
      <c r="V12" s="194" t="s">
        <v>890</v>
      </c>
      <c r="Y12" s="292"/>
      <c r="Z12" s="292"/>
      <c r="AA12" s="292"/>
      <c r="AB12" s="292"/>
      <c r="AC12" s="292"/>
    </row>
    <row r="13" spans="1:29" ht="14.25" customHeight="1">
      <c r="J13" s="300"/>
      <c r="K13" s="300"/>
      <c r="L13" s="1200"/>
      <c r="M13" s="286"/>
      <c r="N13" s="1158"/>
      <c r="O13" s="8877"/>
      <c r="P13" s="8877"/>
      <c r="Q13" s="8877"/>
      <c r="R13" s="8877"/>
      <c r="S13" s="8877"/>
      <c r="T13" s="8877"/>
      <c r="U13" s="8877"/>
      <c r="V13" s="8877"/>
    </row>
    <row r="14" spans="1:29" ht="14.25" customHeight="1">
      <c r="J14" s="300"/>
      <c r="K14" s="300"/>
      <c r="L14" s="8753" t="s">
        <v>763</v>
      </c>
      <c r="M14" s="8753"/>
      <c r="N14" s="8753"/>
      <c r="O14" s="8753"/>
      <c r="P14" s="8753"/>
      <c r="Q14" s="8753"/>
      <c r="R14" s="8753"/>
      <c r="S14" s="8753"/>
      <c r="T14" s="8753"/>
      <c r="U14" s="8753"/>
      <c r="V14" s="8753"/>
      <c r="W14" s="8753"/>
      <c r="X14" s="8753" t="s">
        <v>764</v>
      </c>
    </row>
    <row r="15" spans="1:29" ht="14.25" customHeight="1">
      <c r="J15" s="300"/>
      <c r="K15" s="300"/>
      <c r="L15" s="8891" t="s">
        <v>84</v>
      </c>
      <c r="M15" s="8843" t="s">
        <v>891</v>
      </c>
      <c r="N15" s="215"/>
      <c r="O15" s="8892" t="s">
        <v>2562</v>
      </c>
      <c r="P15" s="8893"/>
      <c r="Q15" s="8893"/>
      <c r="R15" s="8893"/>
      <c r="S15" s="8893"/>
      <c r="T15" s="8893"/>
      <c r="U15" s="8894"/>
      <c r="V15" s="8895" t="s">
        <v>893</v>
      </c>
      <c r="W15" s="8898" t="s">
        <v>1518</v>
      </c>
      <c r="X15" s="8753"/>
    </row>
    <row r="16" spans="1:29" ht="33.75" customHeight="1">
      <c r="J16" s="300"/>
      <c r="K16" s="300"/>
      <c r="L16" s="8891"/>
      <c r="M16" s="8843"/>
      <c r="N16" s="942"/>
      <c r="O16" s="8813" t="s">
        <v>896</v>
      </c>
      <c r="P16" s="8813" t="s">
        <v>897</v>
      </c>
      <c r="Q16" s="8724" t="s">
        <v>898</v>
      </c>
      <c r="R16" s="8723"/>
      <c r="S16" s="8724" t="s">
        <v>911</v>
      </c>
      <c r="T16" s="8729"/>
      <c r="U16" s="8723"/>
      <c r="V16" s="8896"/>
      <c r="W16" s="8899"/>
      <c r="X16" s="8753"/>
    </row>
    <row r="17" spans="1:29" ht="33.75" customHeight="1">
      <c r="A17" s="1291" t="s">
        <v>222</v>
      </c>
      <c r="B17" s="1291" t="s">
        <v>223</v>
      </c>
      <c r="C17" s="1291" t="s">
        <v>224</v>
      </c>
      <c r="D17" s="1291" t="s">
        <v>225</v>
      </c>
      <c r="E17" s="1291"/>
      <c r="J17" s="300"/>
      <c r="K17" s="300"/>
      <c r="L17" s="8891"/>
      <c r="M17" s="8843"/>
      <c r="N17" s="216"/>
      <c r="O17" s="8862"/>
      <c r="P17" s="8862"/>
      <c r="Q17" s="1133" t="s">
        <v>907</v>
      </c>
      <c r="R17" s="1133" t="s">
        <v>908</v>
      </c>
      <c r="S17" s="1216" t="s">
        <v>909</v>
      </c>
      <c r="T17" s="8851" t="s">
        <v>910</v>
      </c>
      <c r="U17" s="8853"/>
      <c r="V17" s="8897"/>
      <c r="W17" s="8900"/>
      <c r="X17" s="8753"/>
    </row>
    <row r="18" spans="1:29" s="1561" customFormat="1" ht="11.25" customHeight="1">
      <c r="A18" s="1291"/>
      <c r="B18" s="1291"/>
      <c r="C18" s="1291"/>
      <c r="D18" s="1291"/>
      <c r="E18" s="1291"/>
      <c r="F18" s="1283"/>
      <c r="G18" s="1283"/>
      <c r="H18" s="1283"/>
      <c r="I18" s="1160"/>
      <c r="J18" s="1161"/>
      <c r="K18" s="1176">
        <v>1</v>
      </c>
      <c r="L18" s="1202" t="s">
        <v>95</v>
      </c>
      <c r="M18" s="1177" t="s">
        <v>99</v>
      </c>
      <c r="N18" s="1159" t="str">
        <f ca="1">OFFSET(N18,0,-1)</f>
        <v>2</v>
      </c>
      <c r="O18" s="1213">
        <f ca="1">OFFSET(O18,0,-1)+1</f>
        <v>3</v>
      </c>
      <c r="P18" s="1213"/>
      <c r="Q18" s="1213">
        <f ca="1">OFFSET(Q18,0,-1)+1</f>
        <v>1</v>
      </c>
      <c r="R18" s="1213">
        <f ca="1">OFFSET(R18,0,-1)+1</f>
        <v>2</v>
      </c>
      <c r="S18" s="1213">
        <f ca="1">OFFSET(S18,0,-1)+1</f>
        <v>3</v>
      </c>
      <c r="T18" s="8890">
        <f ca="1">OFFSET(T18,0,-1)+1</f>
        <v>4</v>
      </c>
      <c r="U18" s="8890"/>
      <c r="V18" s="1213">
        <f ca="1">OFFSET(V18,0,-2)+1</f>
        <v>5</v>
      </c>
      <c r="W18" s="1159">
        <f ca="1">OFFSET(W18,0,-1)</f>
        <v>5</v>
      </c>
      <c r="X18" s="1213">
        <f ca="1">OFFSET(X18,0,-1)+1</f>
        <v>6</v>
      </c>
      <c r="Y18" s="435"/>
      <c r="Z18" s="435"/>
      <c r="AA18" s="435"/>
      <c r="AB18" s="435"/>
      <c r="AC18" s="435"/>
    </row>
    <row r="19" spans="1:29" ht="21" customHeight="1">
      <c r="A19" s="1284" t="s">
        <v>250</v>
      </c>
      <c r="B19" s="1284" t="s">
        <v>251</v>
      </c>
      <c r="C19" s="1284" t="s">
        <v>252</v>
      </c>
      <c r="D19" s="1284" t="s">
        <v>253</v>
      </c>
      <c r="E19" s="1284"/>
      <c r="F19" s="1286"/>
      <c r="G19" s="1286"/>
      <c r="H19" s="1286"/>
      <c r="I19" s="282"/>
      <c r="J19" s="281"/>
      <c r="K19" s="276"/>
      <c r="L19" s="1217">
        <f>INDEX(PT_DIFFERENTIATION_NUM_NTAR,MATCH(A19,PT_DIFFERENTIATION_NTAR_ID,0))</f>
        <v>0</v>
      </c>
      <c r="M19" s="212" t="s">
        <v>211</v>
      </c>
      <c r="N19" s="214"/>
      <c r="O19" s="9137" t="str">
        <f>INDEX(PT_DIFFERENTIATION_NTAR,MATCH(A19,PT_DIFFERENTIATION_NTAR_ID,0))</f>
        <v/>
      </c>
      <c r="P19" s="9137"/>
      <c r="Q19" s="9137"/>
      <c r="R19" s="9137"/>
      <c r="S19" s="9137"/>
      <c r="T19" s="9137"/>
      <c r="U19" s="9137"/>
      <c r="V19" s="9137"/>
      <c r="W19" s="9137"/>
      <c r="X19" s="1182" t="s">
        <v>861</v>
      </c>
      <c r="Z19" s="424"/>
      <c r="AA19" s="424" t="str">
        <f t="shared" ref="AA19:AA32" si="0">IF(M19="","",M19)</f>
        <v>Наименование тарифа</v>
      </c>
      <c r="AB19" s="424"/>
      <c r="AC19" s="424"/>
    </row>
    <row r="20" spans="1:29" ht="21" customHeight="1">
      <c r="A20" s="1284" t="s">
        <v>250</v>
      </c>
      <c r="B20" s="1284" t="s">
        <v>251</v>
      </c>
      <c r="C20" s="1284" t="s">
        <v>252</v>
      </c>
      <c r="D20" s="1284" t="s">
        <v>253</v>
      </c>
      <c r="E20" s="1284"/>
      <c r="F20" s="1286"/>
      <c r="G20" s="1286"/>
      <c r="H20" s="1286"/>
      <c r="I20" s="1214"/>
      <c r="J20" s="273"/>
      <c r="K20" s="274"/>
      <c r="L20" s="1217" t="str">
        <f>INDEX(PT_DIFFERENTIATION_NUM_TER,MATCH(B19,PT_DIFFERENTIATION_TER_ID,0))</f>
        <v>.</v>
      </c>
      <c r="M20" s="224" t="s">
        <v>862</v>
      </c>
      <c r="N20" s="214"/>
      <c r="O20" s="9137" t="str">
        <f>INDEX(PT_DIFFERENTIATION_TER,MATCH(B19,PT_DIFFERENTIATION_TER_ID,0))</f>
        <v/>
      </c>
      <c r="P20" s="9137"/>
      <c r="Q20" s="9137"/>
      <c r="R20" s="9137"/>
      <c r="S20" s="9137"/>
      <c r="T20" s="9137"/>
      <c r="U20" s="9137"/>
      <c r="V20" s="9137"/>
      <c r="W20" s="9137"/>
      <c r="X20" s="1182" t="s">
        <v>863</v>
      </c>
      <c r="Z20" s="424"/>
      <c r="AA20" s="424" t="str">
        <f t="shared" si="0"/>
        <v>Территория действия тарифа</v>
      </c>
      <c r="AB20" s="424"/>
      <c r="AC20" s="424"/>
    </row>
    <row r="21" spans="1:29" ht="22.5" customHeight="1">
      <c r="A21" s="1284" t="s">
        <v>250</v>
      </c>
      <c r="B21" s="1284" t="s">
        <v>251</v>
      </c>
      <c r="C21" s="1284" t="s">
        <v>252</v>
      </c>
      <c r="D21" s="1284" t="s">
        <v>253</v>
      </c>
      <c r="E21" s="1284"/>
      <c r="F21" s="1286"/>
      <c r="G21" s="1286"/>
      <c r="H21" s="1286"/>
      <c r="I21" s="275"/>
      <c r="J21" s="273"/>
      <c r="K21" s="274"/>
      <c r="L21" s="1217" t="str">
        <f>INDEX(PT_DIFFERENTIATION_NUM_CS,MATCH(C19,PT_DIFFERENTIATION_CS_ID,0))</f>
        <v>..</v>
      </c>
      <c r="M21" s="225" t="s">
        <v>864</v>
      </c>
      <c r="N21" s="214"/>
      <c r="O21" s="9137" t="str">
        <f>INDEX(PT_DIFFERENTIATION_CS,MATCH(C19,PT_DIFFERENTIATION_CS_ID,0))</f>
        <v/>
      </c>
      <c r="P21" s="9137"/>
      <c r="Q21" s="9137"/>
      <c r="R21" s="9137"/>
      <c r="S21" s="9137"/>
      <c r="T21" s="9137"/>
      <c r="U21" s="9137"/>
      <c r="V21" s="9137"/>
      <c r="W21" s="9137"/>
      <c r="X21" s="1182" t="s">
        <v>865</v>
      </c>
      <c r="Z21" s="424"/>
      <c r="AA21" s="424" t="str">
        <f t="shared" si="0"/>
        <v xml:space="preserve">Наименование системы теплоснабжения </v>
      </c>
      <c r="AB21" s="424"/>
      <c r="AC21" s="424"/>
    </row>
    <row r="22" spans="1:29" ht="21" customHeight="1">
      <c r="A22" s="1284" t="s">
        <v>250</v>
      </c>
      <c r="B22" s="1284" t="s">
        <v>251</v>
      </c>
      <c r="C22" s="1284" t="s">
        <v>252</v>
      </c>
      <c r="D22" s="1284" t="s">
        <v>253</v>
      </c>
      <c r="E22" s="1284"/>
      <c r="F22" s="1286"/>
      <c r="G22" s="1286"/>
      <c r="H22" s="1286"/>
      <c r="I22" s="275"/>
      <c r="J22" s="273"/>
      <c r="K22" s="274"/>
      <c r="L22" s="1217" t="str">
        <f>INDEX(PT_DIFFERENTIATION_NUM_IST_TE,MATCH(D19,PT_DIFFERENTIATION_IST_TE_ID,0))</f>
        <v>...</v>
      </c>
      <c r="M22" s="226" t="s">
        <v>866</v>
      </c>
      <c r="N22" s="214"/>
      <c r="O22" s="9137" t="str">
        <f>INDEX(PT_DIFFERENTIATION_IST_TE,MATCH(D19,PT_DIFFERENTIATION_IST_TE_ID,0))</f>
        <v/>
      </c>
      <c r="P22" s="9137"/>
      <c r="Q22" s="9137"/>
      <c r="R22" s="9137"/>
      <c r="S22" s="9137"/>
      <c r="T22" s="9137"/>
      <c r="U22" s="9137"/>
      <c r="V22" s="9137"/>
      <c r="W22" s="9137"/>
      <c r="X22" s="1182" t="s">
        <v>867</v>
      </c>
      <c r="Z22" s="424"/>
      <c r="AA22" s="424" t="str">
        <f t="shared" si="0"/>
        <v xml:space="preserve">Источник тепловой энергии  </v>
      </c>
      <c r="AB22" s="424"/>
      <c r="AC22" s="424"/>
    </row>
    <row r="23" spans="1:29" ht="94.5" customHeight="1">
      <c r="A23" s="1284" t="s">
        <v>250</v>
      </c>
      <c r="B23" s="1284" t="s">
        <v>251</v>
      </c>
      <c r="C23" s="1284" t="s">
        <v>252</v>
      </c>
      <c r="D23" s="1284" t="s">
        <v>253</v>
      </c>
      <c r="E23" s="1284"/>
      <c r="F23" s="8731" t="str">
        <f>L22&amp;".1"</f>
        <v>....1</v>
      </c>
      <c r="I23" s="8882">
        <v>1</v>
      </c>
      <c r="J23" s="1215"/>
      <c r="K23" s="277"/>
      <c r="L23" s="1217" t="str">
        <f>$F$23</f>
        <v>....1</v>
      </c>
      <c r="M23" s="200" t="s">
        <v>869</v>
      </c>
      <c r="N23" s="214"/>
      <c r="O23" s="9138"/>
      <c r="P23" s="9138"/>
      <c r="Q23" s="9138"/>
      <c r="R23" s="9138"/>
      <c r="S23" s="9138"/>
      <c r="T23" s="9138"/>
      <c r="U23" s="9138"/>
      <c r="V23" s="9138"/>
      <c r="W23" s="9138"/>
      <c r="X23" s="1182" t="s">
        <v>870</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284" t="s">
        <v>250</v>
      </c>
      <c r="B24" s="1284" t="s">
        <v>251</v>
      </c>
      <c r="C24" s="1284" t="s">
        <v>252</v>
      </c>
      <c r="D24" s="1284" t="s">
        <v>253</v>
      </c>
      <c r="E24" s="1284"/>
      <c r="F24" s="8731"/>
      <c r="G24" s="8731" t="str">
        <f>F23&amp;".1"</f>
        <v>....1.1</v>
      </c>
      <c r="I24" s="8882"/>
      <c r="J24" s="8882">
        <v>1</v>
      </c>
      <c r="K24" s="278"/>
      <c r="L24" s="1217" t="str">
        <f>$G$24</f>
        <v>....1.1</v>
      </c>
      <c r="M24" s="201" t="s">
        <v>872</v>
      </c>
      <c r="N24" s="214"/>
      <c r="O24" s="9139"/>
      <c r="P24" s="9140"/>
      <c r="Q24" s="9140"/>
      <c r="R24" s="9140"/>
      <c r="S24" s="9140"/>
      <c r="T24" s="9140"/>
      <c r="U24" s="9140"/>
      <c r="V24" s="9140"/>
      <c r="W24" s="9141"/>
      <c r="X24" s="1182" t="s">
        <v>873</v>
      </c>
      <c r="Z24" s="424"/>
      <c r="AA24" s="424" t="str">
        <f t="shared" si="0"/>
        <v>Группа потребителей</v>
      </c>
      <c r="AB24" s="424"/>
      <c r="AC24" s="424"/>
    </row>
    <row r="25" spans="1:29" ht="11.25" customHeight="1">
      <c r="A25" s="1284" t="s">
        <v>250</v>
      </c>
      <c r="B25" s="1284" t="s">
        <v>251</v>
      </c>
      <c r="C25" s="1284" t="s">
        <v>252</v>
      </c>
      <c r="D25" s="1284" t="s">
        <v>253</v>
      </c>
      <c r="E25" s="1284"/>
      <c r="F25" s="8731"/>
      <c r="G25" s="8731"/>
      <c r="H25" s="8731" t="str">
        <f>G24&amp;".1"</f>
        <v>....1.1.1</v>
      </c>
      <c r="I25" s="8882"/>
      <c r="J25" s="8882"/>
      <c r="K25" s="278">
        <v>1</v>
      </c>
      <c r="L25" s="1217" t="str">
        <f>$H$25</f>
        <v>....1.1.1</v>
      </c>
      <c r="M25" s="1183"/>
      <c r="N25" s="214"/>
      <c r="O25" s="666"/>
      <c r="P25" s="246"/>
      <c r="Q25" s="666"/>
      <c r="R25" s="1181"/>
      <c r="S25" s="8886"/>
      <c r="T25" s="8734" t="s">
        <v>63</v>
      </c>
      <c r="U25" s="8886"/>
      <c r="V25" s="8734" t="s">
        <v>53</v>
      </c>
      <c r="W25" s="246"/>
      <c r="X25" s="8878" t="s">
        <v>875</v>
      </c>
      <c r="Y25" s="435" t="e">
        <f ca="1">STRCHECKDATE(O26:W26)</f>
        <v>#NAME?</v>
      </c>
      <c r="Z25" s="424"/>
      <c r="AA25" s="424" t="str">
        <f t="shared" si="0"/>
        <v/>
      </c>
      <c r="AB25" s="424"/>
      <c r="AC25" s="424"/>
    </row>
    <row r="26" spans="1:29" ht="11.25" customHeight="1">
      <c r="A26" s="1284" t="s">
        <v>250</v>
      </c>
      <c r="B26" s="1284" t="s">
        <v>251</v>
      </c>
      <c r="C26" s="1284" t="s">
        <v>252</v>
      </c>
      <c r="D26" s="1284" t="s">
        <v>253</v>
      </c>
      <c r="E26" s="1284"/>
      <c r="F26" s="8731"/>
      <c r="G26" s="8731"/>
      <c r="H26" s="8731"/>
      <c r="I26" s="8882"/>
      <c r="J26" s="8882"/>
      <c r="K26" s="278"/>
      <c r="L26" s="1218"/>
      <c r="M26" s="214"/>
      <c r="N26" s="214"/>
      <c r="O26" s="246"/>
      <c r="P26" s="246"/>
      <c r="Q26" s="246"/>
      <c r="R26" s="250" t="str">
        <f>S25&amp;"-"&amp;U25</f>
        <v>-</v>
      </c>
      <c r="S26" s="8887"/>
      <c r="T26" s="8734"/>
      <c r="U26" s="8887"/>
      <c r="V26" s="8734"/>
      <c r="W26" s="246"/>
      <c r="X26" s="8879"/>
      <c r="Z26" s="424"/>
      <c r="AA26" s="424" t="str">
        <f t="shared" si="0"/>
        <v/>
      </c>
      <c r="AB26" s="424"/>
      <c r="AC26" s="424"/>
    </row>
    <row r="27" spans="1:29" ht="15" customHeight="1">
      <c r="A27" s="1284" t="s">
        <v>250</v>
      </c>
      <c r="B27" s="1284" t="s">
        <v>251</v>
      </c>
      <c r="C27" s="1284" t="s">
        <v>252</v>
      </c>
      <c r="D27" s="1284" t="s">
        <v>253</v>
      </c>
      <c r="E27" s="1284"/>
      <c r="F27" s="8731"/>
      <c r="G27" s="8731"/>
      <c r="I27" s="8882"/>
      <c r="J27" s="8882"/>
      <c r="K27" s="277"/>
      <c r="L27" s="1203"/>
      <c r="M27" s="203" t="s">
        <v>876</v>
      </c>
      <c r="N27" s="291"/>
      <c r="O27" s="291"/>
      <c r="P27" s="291"/>
      <c r="Q27" s="291"/>
      <c r="R27" s="291"/>
      <c r="S27" s="291"/>
      <c r="T27" s="291"/>
      <c r="U27" s="291"/>
      <c r="V27" s="291"/>
      <c r="W27" s="245"/>
      <c r="X27" s="8880"/>
      <c r="Z27" s="424"/>
      <c r="AA27" s="424" t="str">
        <f t="shared" si="0"/>
        <v>Добавить вид теплоносителя (параметры теплоносителя)</v>
      </c>
      <c r="AB27" s="424"/>
      <c r="AC27" s="424"/>
    </row>
    <row r="28" spans="1:29" ht="15" customHeight="1">
      <c r="A28" s="1284" t="s">
        <v>250</v>
      </c>
      <c r="B28" s="1284" t="s">
        <v>251</v>
      </c>
      <c r="C28" s="1284" t="s">
        <v>252</v>
      </c>
      <c r="D28" s="1284" t="s">
        <v>253</v>
      </c>
      <c r="E28" s="1284"/>
      <c r="F28" s="8731"/>
      <c r="I28" s="8882"/>
      <c r="J28" s="1215"/>
      <c r="K28" s="277"/>
      <c r="L28" s="1203"/>
      <c r="M28" s="202" t="s">
        <v>877</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284" t="s">
        <v>250</v>
      </c>
      <c r="B29" s="1284" t="s">
        <v>251</v>
      </c>
      <c r="C29" s="1284" t="s">
        <v>252</v>
      </c>
      <c r="D29" s="1284" t="s">
        <v>253</v>
      </c>
      <c r="E29" s="1284"/>
      <c r="F29" s="1286"/>
      <c r="G29" s="1286"/>
      <c r="H29" s="460"/>
      <c r="I29" s="281"/>
      <c r="J29" s="299"/>
      <c r="K29" s="276"/>
      <c r="L29" s="1203"/>
      <c r="M29" s="288" t="s">
        <v>878</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284" t="s">
        <v>250</v>
      </c>
      <c r="B30" s="1284" t="s">
        <v>251</v>
      </c>
      <c r="C30" s="1284" t="s">
        <v>252</v>
      </c>
      <c r="D30" s="1284"/>
      <c r="E30" s="1284" t="s">
        <v>1044</v>
      </c>
      <c r="F30" s="1286"/>
      <c r="G30" s="1286"/>
      <c r="H30" s="460"/>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284" t="s">
        <v>250</v>
      </c>
      <c r="B31" s="1284" t="s">
        <v>251</v>
      </c>
      <c r="C31" s="1284"/>
      <c r="D31" s="1284"/>
      <c r="E31" s="1284" t="s">
        <v>2563</v>
      </c>
      <c r="F31" s="1432"/>
      <c r="G31" s="1432"/>
      <c r="H31" s="460"/>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284" t="s">
        <v>2564</v>
      </c>
      <c r="B32" s="1284"/>
      <c r="C32" s="1284"/>
      <c r="D32" s="1284"/>
      <c r="E32" s="1284" t="s">
        <v>196</v>
      </c>
      <c r="F32" s="1432"/>
      <c r="G32" s="1432"/>
      <c r="H32" s="460"/>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18" customFormat="1" ht="11.25" customHeight="1">
      <c r="A33" s="1284"/>
      <c r="B33" s="1284"/>
      <c r="C33" s="1284"/>
      <c r="D33" s="1284"/>
      <c r="E33" s="1284" t="s">
        <v>706</v>
      </c>
      <c r="F33" s="1433"/>
      <c r="G33" s="1434"/>
      <c r="H33" s="460"/>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5"/>
      <c r="G34" s="1065"/>
      <c r="H34" s="460"/>
      <c r="I34" s="1060"/>
      <c r="J34" s="1060"/>
      <c r="K34" s="1060"/>
      <c r="Y34" s="1060"/>
      <c r="Z34" s="1060"/>
      <c r="AA34" s="1060"/>
      <c r="AB34" s="1060"/>
      <c r="AC34" s="1060"/>
    </row>
    <row r="35" spans="1:29" ht="27" customHeight="1">
      <c r="H35" s="460"/>
      <c r="L35" s="1212" t="s">
        <v>1176</v>
      </c>
      <c r="M35" s="8903" t="s">
        <v>2565</v>
      </c>
      <c r="N35" s="8903"/>
      <c r="O35" s="8903"/>
      <c r="P35" s="8903"/>
      <c r="Q35" s="8903"/>
      <c r="R35" s="8903"/>
      <c r="S35" s="8903"/>
      <c r="T35" s="8903"/>
      <c r="U35" s="8903"/>
      <c r="V35" s="8903"/>
      <c r="W35" s="8903"/>
      <c r="X35" s="8903"/>
    </row>
    <row r="36" spans="1:29" ht="104.25" customHeight="1">
      <c r="H36" s="460"/>
      <c r="I36" s="1227"/>
      <c r="M36" s="8903" t="s">
        <v>2566</v>
      </c>
      <c r="N36" s="8903"/>
      <c r="O36" s="8903"/>
      <c r="P36" s="8903"/>
      <c r="Q36" s="8903"/>
      <c r="R36" s="8903"/>
      <c r="S36" s="8903"/>
      <c r="T36" s="8903"/>
      <c r="U36" s="8903"/>
      <c r="V36" s="8903"/>
      <c r="W36" s="8903"/>
      <c r="X36" s="8903"/>
    </row>
    <row r="37" spans="1:29" ht="14.25" customHeight="1">
      <c r="H37" s="460"/>
    </row>
    <row r="38" spans="1:29" ht="14.25" customHeight="1">
      <c r="H38" s="460"/>
    </row>
    <row r="39" spans="1:29" ht="14.25" customHeight="1">
      <c r="H39" s="460"/>
    </row>
    <row r="40" spans="1:29" ht="14.25" customHeight="1">
      <c r="H40" s="460"/>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5" customWidth="1"/>
    <col min="2" max="2" width="10.7109375" style="1555" customWidth="1"/>
    <col min="3" max="3" width="10" style="1555" customWidth="1"/>
    <col min="4" max="4" width="12.85546875" style="1555" customWidth="1"/>
    <col min="5" max="5" width="12.28515625" style="1555" customWidth="1"/>
    <col min="6" max="8" width="12.28515625" style="1812" customWidth="1"/>
    <col min="9" max="9" width="3.7109375" style="1812" customWidth="1"/>
    <col min="10" max="11" width="3.7109375" style="265" customWidth="1"/>
    <col min="12" max="12" width="12.7109375" style="1814"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300"/>
      <c r="K4" s="300"/>
      <c r="L4" s="1200"/>
      <c r="M4" s="286"/>
      <c r="N4" s="286"/>
      <c r="O4" s="433"/>
      <c r="P4" s="433"/>
      <c r="Q4" s="433"/>
      <c r="R4" s="433"/>
      <c r="S4" s="433"/>
      <c r="T4" s="433"/>
      <c r="U4" s="433"/>
      <c r="V4" s="433"/>
    </row>
    <row r="5" spans="6:29" ht="64.5" customHeight="1">
      <c r="J5" s="300"/>
      <c r="K5" s="300"/>
      <c r="L5" s="9134" t="s">
        <v>2561</v>
      </c>
      <c r="M5" s="9134"/>
      <c r="N5" s="9134"/>
      <c r="O5" s="9134"/>
      <c r="P5" s="9134"/>
      <c r="Q5" s="9134"/>
      <c r="R5" s="9134"/>
      <c r="S5" s="9134"/>
      <c r="T5" s="9134"/>
      <c r="U5" s="9134"/>
      <c r="V5" s="1157"/>
    </row>
    <row r="6" spans="6:29" ht="14.25" customHeight="1">
      <c r="J6" s="300"/>
      <c r="K6" s="300"/>
      <c r="L6" s="9135" t="str">
        <f>IF(org=0,"Не определено",org)</f>
        <v>ГУП СК "Ставрополькрайводоканал"</v>
      </c>
      <c r="M6" s="9135"/>
      <c r="N6" s="9135"/>
      <c r="O6" s="9135"/>
      <c r="P6" s="9135"/>
      <c r="Q6" s="9135"/>
      <c r="R6" s="9135"/>
      <c r="S6" s="9135"/>
      <c r="T6" s="9135"/>
      <c r="U6" s="9135"/>
      <c r="V6" s="1157"/>
    </row>
    <row r="7" spans="6:29" ht="14.25" customHeight="1">
      <c r="J7" s="300"/>
      <c r="K7" s="300"/>
      <c r="L7" s="1200"/>
      <c r="M7" s="286"/>
      <c r="N7" s="286"/>
      <c r="O7" s="242"/>
      <c r="P7" s="242"/>
      <c r="Q7" s="242"/>
      <c r="R7" s="242"/>
      <c r="S7" s="242"/>
      <c r="T7" s="242"/>
      <c r="U7" s="242"/>
      <c r="V7" s="242"/>
      <c r="W7" s="433"/>
    </row>
    <row r="8" spans="6:29" s="1771" customFormat="1" ht="45" customHeight="1">
      <c r="F8" s="1163"/>
      <c r="G8" s="1163"/>
      <c r="H8" s="1163"/>
      <c r="L8" s="1201"/>
      <c r="M8" s="209" t="s">
        <v>38</v>
      </c>
      <c r="N8" s="218"/>
      <c r="O8" s="8876" t="str">
        <f>IF(TITLE_NAME_OR_PR_CHANGE="",IF(TITLE_NAME_OR_PR="","",TITLE_NAME_OR_PR),TITLE_NAME_OR_PR_CHANGE)</f>
        <v/>
      </c>
      <c r="P8" s="8876"/>
      <c r="Q8" s="8876"/>
      <c r="R8" s="8876"/>
      <c r="S8" s="8876"/>
      <c r="T8" s="8876"/>
      <c r="U8" s="8876"/>
      <c r="V8" s="248"/>
      <c r="W8" s="248"/>
      <c r="X8" s="196"/>
      <c r="Y8" s="292"/>
      <c r="Z8" s="292"/>
      <c r="AA8" s="292"/>
      <c r="AB8" s="292"/>
      <c r="AC8" s="292"/>
    </row>
    <row r="9" spans="6:29" s="1771" customFormat="1" ht="22.5" customHeight="1">
      <c r="F9" s="1163"/>
      <c r="G9" s="1163"/>
      <c r="H9" s="1163"/>
      <c r="L9" s="1201"/>
      <c r="M9" s="209" t="s">
        <v>886</v>
      </c>
      <c r="N9" s="218"/>
      <c r="O9" s="8876">
        <f>IF(TITLE_DATE_CHANGE_PERIOD="",IF(TITLE_DATE_PR="","",TITLE_DATE_PR),TITLE_DATE_CHANGE_PERIOD)</f>
        <v>45281.411851851852</v>
      </c>
      <c r="P9" s="8876"/>
      <c r="Q9" s="8876"/>
      <c r="R9" s="8876"/>
      <c r="S9" s="8876"/>
      <c r="T9" s="8876"/>
      <c r="U9" s="8876"/>
      <c r="V9" s="248"/>
      <c r="W9" s="248"/>
      <c r="X9" s="196"/>
      <c r="Y9" s="292"/>
      <c r="Z9" s="292"/>
      <c r="AA9" s="292"/>
      <c r="AB9" s="292"/>
      <c r="AC9" s="292"/>
    </row>
    <row r="10" spans="6:29" s="1771" customFormat="1" ht="22.5" customHeight="1">
      <c r="F10" s="1163"/>
      <c r="G10" s="1163"/>
      <c r="H10" s="1163"/>
      <c r="L10" s="1165"/>
      <c r="M10" s="209" t="s">
        <v>887</v>
      </c>
      <c r="N10" s="218"/>
      <c r="O10" s="8876" t="str">
        <f>IF(TITLE_NUMBER_PR_CHANGE="",IF(TITLE_NUMBER_PR="","",TITLE_NUMBER_PR),TITLE_NUMBER_PR_CHANGE)</f>
        <v>06-11/11398</v>
      </c>
      <c r="P10" s="8876"/>
      <c r="Q10" s="8876"/>
      <c r="R10" s="8876"/>
      <c r="S10" s="8876"/>
      <c r="T10" s="8876"/>
      <c r="U10" s="8876"/>
      <c r="V10" s="248"/>
      <c r="W10" s="248"/>
      <c r="X10" s="196"/>
      <c r="Y10" s="292"/>
      <c r="Z10" s="292"/>
      <c r="AA10" s="292"/>
      <c r="AB10" s="292"/>
      <c r="AC10" s="292"/>
    </row>
    <row r="11" spans="6:29" s="1771" customFormat="1" ht="22.5" customHeight="1">
      <c r="F11" s="1163"/>
      <c r="G11" s="1163"/>
      <c r="H11" s="1163"/>
      <c r="L11" s="1165"/>
      <c r="M11" s="209" t="s">
        <v>39</v>
      </c>
      <c r="N11" s="218"/>
      <c r="O11" s="8876" t="str">
        <f>IF(TITLE_IST_PUB_CHANGE="",IF(TITLE_IST_PUB="","",TITLE_IST_PUB),TITLE_IST_PUB_CHANGE)</f>
        <v/>
      </c>
      <c r="P11" s="8876"/>
      <c r="Q11" s="8876"/>
      <c r="R11" s="8876"/>
      <c r="S11" s="8876"/>
      <c r="T11" s="8876"/>
      <c r="U11" s="8876"/>
      <c r="V11" s="248"/>
      <c r="W11" s="248"/>
      <c r="X11" s="196"/>
      <c r="Y11" s="292"/>
      <c r="Z11" s="292"/>
      <c r="AA11" s="292"/>
      <c r="AB11" s="292"/>
      <c r="AC11" s="292"/>
    </row>
    <row r="12" spans="6:29" s="1771" customFormat="1" ht="11.25" hidden="1" customHeight="1">
      <c r="F12" s="1163"/>
      <c r="G12" s="1163"/>
      <c r="H12" s="1163"/>
      <c r="L12" s="9136"/>
      <c r="M12" s="9136"/>
      <c r="N12" s="1211"/>
      <c r="O12" s="248"/>
      <c r="P12" s="248"/>
      <c r="Q12" s="248"/>
      <c r="R12" s="248"/>
      <c r="S12" s="248"/>
      <c r="T12" s="248"/>
      <c r="U12" s="248"/>
      <c r="V12" s="194" t="s">
        <v>890</v>
      </c>
      <c r="Y12" s="292"/>
      <c r="Z12" s="292"/>
      <c r="AA12" s="292"/>
      <c r="AB12" s="292"/>
      <c r="AC12" s="292"/>
    </row>
    <row r="13" spans="6:29" ht="14.25" customHeight="1">
      <c r="J13" s="300"/>
      <c r="K13" s="300"/>
      <c r="L13" s="1200"/>
      <c r="M13" s="286"/>
      <c r="N13" s="1158"/>
      <c r="O13" s="8877"/>
      <c r="P13" s="8877"/>
      <c r="Q13" s="8877"/>
      <c r="R13" s="8877"/>
      <c r="S13" s="8877"/>
      <c r="T13" s="8877"/>
      <c r="U13" s="8877"/>
      <c r="V13" s="8877"/>
    </row>
    <row r="14" spans="6:29" ht="14.25" customHeight="1">
      <c r="J14" s="300"/>
      <c r="K14" s="300"/>
      <c r="L14" s="8753" t="s">
        <v>763</v>
      </c>
      <c r="M14" s="8753"/>
      <c r="N14" s="8753"/>
      <c r="O14" s="8753"/>
      <c r="P14" s="8753"/>
      <c r="Q14" s="8753"/>
      <c r="R14" s="8753"/>
      <c r="S14" s="8753"/>
      <c r="T14" s="8753"/>
      <c r="U14" s="8753"/>
      <c r="V14" s="8753"/>
      <c r="W14" s="8753"/>
      <c r="X14" s="8753" t="s">
        <v>764</v>
      </c>
    </row>
    <row r="15" spans="6:29" ht="14.25" customHeight="1">
      <c r="J15" s="300"/>
      <c r="K15" s="300"/>
      <c r="L15" s="8891" t="s">
        <v>84</v>
      </c>
      <c r="M15" s="8843" t="s">
        <v>891</v>
      </c>
      <c r="N15" s="215"/>
      <c r="O15" s="8892" t="s">
        <v>2562</v>
      </c>
      <c r="P15" s="8893"/>
      <c r="Q15" s="8893"/>
      <c r="R15" s="8893"/>
      <c r="S15" s="8893"/>
      <c r="T15" s="8893"/>
      <c r="U15" s="8894"/>
      <c r="V15" s="8895" t="s">
        <v>893</v>
      </c>
      <c r="W15" s="8898" t="s">
        <v>1518</v>
      </c>
      <c r="X15" s="8753"/>
    </row>
    <row r="16" spans="6:29" ht="33.75" customHeight="1">
      <c r="J16" s="300"/>
      <c r="K16" s="300"/>
      <c r="L16" s="8891"/>
      <c r="M16" s="8843"/>
      <c r="N16" s="942"/>
      <c r="O16" s="8813" t="s">
        <v>896</v>
      </c>
      <c r="P16" s="8813" t="s">
        <v>897</v>
      </c>
      <c r="Q16" s="8724" t="s">
        <v>898</v>
      </c>
      <c r="R16" s="8723"/>
      <c r="S16" s="8724" t="s">
        <v>911</v>
      </c>
      <c r="T16" s="8729"/>
      <c r="U16" s="8723"/>
      <c r="V16" s="8896"/>
      <c r="W16" s="8899"/>
      <c r="X16" s="8753"/>
    </row>
    <row r="17" spans="1:29" ht="33.75" customHeight="1">
      <c r="A17" s="1184" t="s">
        <v>222</v>
      </c>
      <c r="B17" s="1184" t="s">
        <v>223</v>
      </c>
      <c r="C17" s="1184" t="s">
        <v>224</v>
      </c>
      <c r="D17" s="1184" t="s">
        <v>225</v>
      </c>
      <c r="E17" s="1184"/>
      <c r="J17" s="300"/>
      <c r="K17" s="300"/>
      <c r="L17" s="8891"/>
      <c r="M17" s="8843"/>
      <c r="N17" s="216"/>
      <c r="O17" s="8862"/>
      <c r="P17" s="8862"/>
      <c r="Q17" s="1133" t="s">
        <v>907</v>
      </c>
      <c r="R17" s="1133" t="s">
        <v>908</v>
      </c>
      <c r="S17" s="1216" t="s">
        <v>909</v>
      </c>
      <c r="T17" s="8851" t="s">
        <v>910</v>
      </c>
      <c r="U17" s="8853"/>
      <c r="V17" s="8897"/>
      <c r="W17" s="8900"/>
      <c r="X17" s="8753"/>
    </row>
    <row r="18" spans="1:29" s="1561" customFormat="1" ht="11.25" customHeight="1">
      <c r="A18" s="1184"/>
      <c r="B18" s="1184"/>
      <c r="C18" s="1184"/>
      <c r="D18" s="1184"/>
      <c r="E18" s="1184"/>
      <c r="F18" s="1210"/>
      <c r="G18" s="1210"/>
      <c r="H18" s="1210"/>
      <c r="I18" s="1160"/>
      <c r="J18" s="1161"/>
      <c r="K18" s="1176">
        <v>1</v>
      </c>
      <c r="L18" s="1202" t="s">
        <v>95</v>
      </c>
      <c r="M18" s="1177" t="s">
        <v>99</v>
      </c>
      <c r="N18" s="1159" t="str">
        <f ca="1">OFFSET(N18,0,-1)</f>
        <v>2</v>
      </c>
      <c r="O18" s="1213">
        <f ca="1">OFFSET(O18,0,-1)+1</f>
        <v>3</v>
      </c>
      <c r="P18" s="1213"/>
      <c r="Q18" s="1213">
        <f ca="1">OFFSET(Q18,0,-1)+1</f>
        <v>1</v>
      </c>
      <c r="R18" s="1213">
        <f ca="1">OFFSET(R18,0,-1)+1</f>
        <v>2</v>
      </c>
      <c r="S18" s="1213">
        <f ca="1">OFFSET(S18,0,-1)+1</f>
        <v>3</v>
      </c>
      <c r="T18" s="8890">
        <f ca="1">OFFSET(T18,0,-1)+1</f>
        <v>4</v>
      </c>
      <c r="U18" s="8890"/>
      <c r="V18" s="1213">
        <f ca="1">OFFSET(V18,0,-2)+1</f>
        <v>5</v>
      </c>
      <c r="W18" s="1159">
        <f ca="1">OFFSET(W18,0,-1)</f>
        <v>5</v>
      </c>
      <c r="X18" s="1213">
        <f ca="1">OFFSET(X18,0,-1)+1</f>
        <v>6</v>
      </c>
      <c r="Y18" s="435"/>
      <c r="Z18" s="435"/>
      <c r="AA18" s="435"/>
      <c r="AB18" s="435"/>
      <c r="AC18" s="435"/>
    </row>
    <row r="19" spans="1:29" ht="21" customHeight="1">
      <c r="A19" s="1191" t="s">
        <v>2567</v>
      </c>
      <c r="B19" s="1191" t="s">
        <v>2568</v>
      </c>
      <c r="C19" s="1191" t="s">
        <v>2569</v>
      </c>
      <c r="D19" s="1191" t="s">
        <v>2570</v>
      </c>
      <c r="E19" s="1191"/>
      <c r="F19" s="606"/>
      <c r="G19" s="606"/>
      <c r="H19" s="606"/>
      <c r="I19" s="282"/>
      <c r="J19" s="281"/>
      <c r="K19" s="276"/>
      <c r="L19" s="1217" t="e">
        <f>INDEX(PT_DIFFERENTIATION_NUM_NTAR,MATCH(A19,PT_DIFFERENTIATION_NTAR_ID,0))</f>
        <v>#N/A</v>
      </c>
      <c r="M19" s="212" t="s">
        <v>211</v>
      </c>
      <c r="N19" s="214"/>
      <c r="O19" s="9137" t="e">
        <f>INDEX(PT_DIFFERENTIATION_NTAR,MATCH(A19,PT_DIFFERENTIATION_NTAR_ID,0))</f>
        <v>#N/A</v>
      </c>
      <c r="P19" s="9137"/>
      <c r="Q19" s="9137"/>
      <c r="R19" s="9137"/>
      <c r="S19" s="9137"/>
      <c r="T19" s="9137"/>
      <c r="U19" s="9137"/>
      <c r="V19" s="9137"/>
      <c r="W19" s="9137"/>
      <c r="X19" s="1182" t="s">
        <v>861</v>
      </c>
      <c r="Z19" s="424"/>
      <c r="AA19" s="424" t="str">
        <f t="shared" ref="AA19:AA32" si="0">IF(M19="","",M19)</f>
        <v>Наименование тарифа</v>
      </c>
      <c r="AB19" s="424"/>
      <c r="AC19" s="424"/>
    </row>
    <row r="20" spans="1:29" ht="21" customHeight="1">
      <c r="A20" s="1191" t="s">
        <v>2567</v>
      </c>
      <c r="B20" s="1191" t="s">
        <v>2568</v>
      </c>
      <c r="C20" s="1191" t="s">
        <v>2569</v>
      </c>
      <c r="D20" s="1191" t="s">
        <v>2570</v>
      </c>
      <c r="E20" s="1191"/>
      <c r="F20" s="606"/>
      <c r="G20" s="606"/>
      <c r="H20" s="606"/>
      <c r="I20" s="1214"/>
      <c r="J20" s="273"/>
      <c r="K20" s="274"/>
      <c r="L20" s="1217" t="e">
        <f>INDEX(PT_DIFFERENTIATION_NUM_TER,MATCH(B19,PT_DIFFERENTIATION_TER_ID,0))</f>
        <v>#N/A</v>
      </c>
      <c r="M20" s="224" t="s">
        <v>862</v>
      </c>
      <c r="N20" s="214"/>
      <c r="O20" s="9137" t="e">
        <f>INDEX(PT_DIFFERENTIATION_TER,MATCH(B19,PT_DIFFERENTIATION_TER_ID,0))</f>
        <v>#N/A</v>
      </c>
      <c r="P20" s="9137"/>
      <c r="Q20" s="9137"/>
      <c r="R20" s="9137"/>
      <c r="S20" s="9137"/>
      <c r="T20" s="9137"/>
      <c r="U20" s="9137"/>
      <c r="V20" s="9137"/>
      <c r="W20" s="9137"/>
      <c r="X20" s="1182" t="s">
        <v>863</v>
      </c>
      <c r="Z20" s="424"/>
      <c r="AA20" s="424" t="str">
        <f t="shared" si="0"/>
        <v>Территория действия тарифа</v>
      </c>
      <c r="AB20" s="424"/>
      <c r="AC20" s="424"/>
    </row>
    <row r="21" spans="1:29" ht="22.5" customHeight="1">
      <c r="A21" s="1191" t="s">
        <v>2567</v>
      </c>
      <c r="B21" s="1191" t="s">
        <v>2568</v>
      </c>
      <c r="C21" s="1191" t="s">
        <v>2569</v>
      </c>
      <c r="D21" s="1191" t="s">
        <v>2570</v>
      </c>
      <c r="E21" s="1191"/>
      <c r="F21" s="606"/>
      <c r="G21" s="606"/>
      <c r="H21" s="606"/>
      <c r="I21" s="275"/>
      <c r="J21" s="273"/>
      <c r="K21" s="274"/>
      <c r="L21" s="1217" t="e">
        <f>INDEX(PT_DIFFERENTIATION_NUM_CS,MATCH(C19,PT_DIFFERENTIATION_CS_ID,0))</f>
        <v>#N/A</v>
      </c>
      <c r="M21" s="225" t="s">
        <v>864</v>
      </c>
      <c r="N21" s="214"/>
      <c r="O21" s="9137" t="e">
        <f>INDEX(PT_DIFFERENTIATION_CS,MATCH(C19,PT_DIFFERENTIATION_CS_ID,0))</f>
        <v>#N/A</v>
      </c>
      <c r="P21" s="9137"/>
      <c r="Q21" s="9137"/>
      <c r="R21" s="9137"/>
      <c r="S21" s="9137"/>
      <c r="T21" s="9137"/>
      <c r="U21" s="9137"/>
      <c r="V21" s="9137"/>
      <c r="W21" s="9137"/>
      <c r="X21" s="1182" t="s">
        <v>865</v>
      </c>
      <c r="Z21" s="424"/>
      <c r="AA21" s="424" t="str">
        <f t="shared" si="0"/>
        <v xml:space="preserve">Наименование системы теплоснабжения </v>
      </c>
      <c r="AB21" s="424"/>
      <c r="AC21" s="424"/>
    </row>
    <row r="22" spans="1:29" ht="21" customHeight="1">
      <c r="A22" s="1191" t="s">
        <v>2567</v>
      </c>
      <c r="B22" s="1191" t="s">
        <v>2568</v>
      </c>
      <c r="C22" s="1191" t="s">
        <v>2569</v>
      </c>
      <c r="D22" s="1191" t="s">
        <v>2570</v>
      </c>
      <c r="E22" s="1191"/>
      <c r="F22" s="606"/>
      <c r="G22" s="606"/>
      <c r="H22" s="606"/>
      <c r="I22" s="275"/>
      <c r="J22" s="273"/>
      <c r="K22" s="274"/>
      <c r="L22" s="1217" t="e">
        <f>INDEX(PT_DIFFERENTIATION_NUM_IST_TE,MATCH(D19,PT_DIFFERENTIATION_IST_TE_ID,0))</f>
        <v>#N/A</v>
      </c>
      <c r="M22" s="226" t="s">
        <v>866</v>
      </c>
      <c r="N22" s="214"/>
      <c r="O22" s="9137" t="e">
        <f>INDEX(PT_DIFFERENTIATION_IST_TE,MATCH(D19,PT_DIFFERENTIATION_IST_TE_ID,0))</f>
        <v>#N/A</v>
      </c>
      <c r="P22" s="9137"/>
      <c r="Q22" s="9137"/>
      <c r="R22" s="9137"/>
      <c r="S22" s="9137"/>
      <c r="T22" s="9137"/>
      <c r="U22" s="9137"/>
      <c r="V22" s="9137"/>
      <c r="W22" s="9137"/>
      <c r="X22" s="1182" t="s">
        <v>867</v>
      </c>
      <c r="Z22" s="424"/>
      <c r="AA22" s="424" t="str">
        <f t="shared" si="0"/>
        <v xml:space="preserve">Источник тепловой энергии  </v>
      </c>
      <c r="AB22" s="424"/>
      <c r="AC22" s="424"/>
    </row>
    <row r="23" spans="1:29" ht="94.5" customHeight="1">
      <c r="A23" s="1191" t="s">
        <v>2567</v>
      </c>
      <c r="B23" s="1191" t="s">
        <v>2568</v>
      </c>
      <c r="C23" s="1191" t="s">
        <v>2569</v>
      </c>
      <c r="D23" s="1191" t="s">
        <v>2570</v>
      </c>
      <c r="E23" s="1191"/>
      <c r="F23" s="8727" t="e">
        <f>L22&amp;".1"</f>
        <v>#N/A</v>
      </c>
      <c r="I23" s="8882">
        <v>1</v>
      </c>
      <c r="J23" s="1215"/>
      <c r="K23" s="277"/>
      <c r="L23" s="1217" t="e">
        <f>$F$23</f>
        <v>#N/A</v>
      </c>
      <c r="M23" s="200" t="s">
        <v>869</v>
      </c>
      <c r="N23" s="214"/>
      <c r="O23" s="9138"/>
      <c r="P23" s="9138"/>
      <c r="Q23" s="9138"/>
      <c r="R23" s="9138"/>
      <c r="S23" s="9138"/>
      <c r="T23" s="9138"/>
      <c r="U23" s="9138"/>
      <c r="V23" s="9138"/>
      <c r="W23" s="9138"/>
      <c r="X23" s="1182" t="s">
        <v>870</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191" t="s">
        <v>2567</v>
      </c>
      <c r="B24" s="1191" t="s">
        <v>2568</v>
      </c>
      <c r="C24" s="1191" t="s">
        <v>2569</v>
      </c>
      <c r="D24" s="1191" t="s">
        <v>2570</v>
      </c>
      <c r="E24" s="1191"/>
      <c r="F24" s="8727"/>
      <c r="G24" s="8727" t="e">
        <f>F23&amp;".1"</f>
        <v>#N/A</v>
      </c>
      <c r="I24" s="8882"/>
      <c r="J24" s="8882">
        <v>1</v>
      </c>
      <c r="K24" s="278"/>
      <c r="L24" s="1217" t="e">
        <f>$G$24</f>
        <v>#N/A</v>
      </c>
      <c r="M24" s="201" t="s">
        <v>872</v>
      </c>
      <c r="N24" s="214"/>
      <c r="O24" s="9139"/>
      <c r="P24" s="9140"/>
      <c r="Q24" s="9140"/>
      <c r="R24" s="9140"/>
      <c r="S24" s="9140"/>
      <c r="T24" s="9140"/>
      <c r="U24" s="9140"/>
      <c r="V24" s="9140"/>
      <c r="W24" s="9141"/>
      <c r="X24" s="1182" t="s">
        <v>873</v>
      </c>
      <c r="Z24" s="424"/>
      <c r="AA24" s="424" t="str">
        <f t="shared" si="0"/>
        <v>Группа потребителей</v>
      </c>
      <c r="AB24" s="424"/>
      <c r="AC24" s="424"/>
    </row>
    <row r="25" spans="1:29" ht="11.25" customHeight="1">
      <c r="A25" s="1191" t="s">
        <v>2567</v>
      </c>
      <c r="B25" s="1191" t="s">
        <v>2568</v>
      </c>
      <c r="C25" s="1191" t="s">
        <v>2569</v>
      </c>
      <c r="D25" s="1191" t="s">
        <v>2570</v>
      </c>
      <c r="E25" s="1191"/>
      <c r="F25" s="8727"/>
      <c r="G25" s="8727"/>
      <c r="H25" s="8727" t="e">
        <f>G24&amp;".1"</f>
        <v>#N/A</v>
      </c>
      <c r="I25" s="8882"/>
      <c r="J25" s="8882"/>
      <c r="K25" s="278">
        <v>1</v>
      </c>
      <c r="L25" s="1217" t="e">
        <f>$H$25</f>
        <v>#N/A</v>
      </c>
      <c r="M25" s="1183"/>
      <c r="N25" s="214"/>
      <c r="O25" s="666"/>
      <c r="P25" s="246"/>
      <c r="Q25" s="666"/>
      <c r="R25" s="1181"/>
      <c r="S25" s="8886"/>
      <c r="T25" s="8734" t="s">
        <v>63</v>
      </c>
      <c r="U25" s="8886"/>
      <c r="V25" s="8734" t="s">
        <v>53</v>
      </c>
      <c r="W25" s="246"/>
      <c r="X25" s="8878" t="s">
        <v>875</v>
      </c>
      <c r="Y25" s="435" t="e">
        <f ca="1">STRCHECKDATE(O26:W26)</f>
        <v>#NAME?</v>
      </c>
      <c r="Z25" s="424"/>
      <c r="AA25" s="424" t="str">
        <f t="shared" si="0"/>
        <v/>
      </c>
      <c r="AB25" s="424"/>
      <c r="AC25" s="424"/>
    </row>
    <row r="26" spans="1:29" ht="11.25" customHeight="1">
      <c r="A26" s="1191" t="s">
        <v>2567</v>
      </c>
      <c r="B26" s="1191" t="s">
        <v>2568</v>
      </c>
      <c r="C26" s="1191" t="s">
        <v>2569</v>
      </c>
      <c r="D26" s="1191" t="s">
        <v>2570</v>
      </c>
      <c r="E26" s="1191"/>
      <c r="F26" s="8727"/>
      <c r="G26" s="8727"/>
      <c r="H26" s="8727"/>
      <c r="I26" s="8882"/>
      <c r="J26" s="8882"/>
      <c r="K26" s="278"/>
      <c r="L26" s="1218"/>
      <c r="M26" s="214"/>
      <c r="N26" s="214"/>
      <c r="O26" s="246"/>
      <c r="P26" s="246"/>
      <c r="Q26" s="246"/>
      <c r="R26" s="250" t="str">
        <f>S25&amp;"-"&amp;U25</f>
        <v>-</v>
      </c>
      <c r="S26" s="8887"/>
      <c r="T26" s="8734"/>
      <c r="U26" s="8887"/>
      <c r="V26" s="8734"/>
      <c r="W26" s="246"/>
      <c r="X26" s="8879"/>
      <c r="Z26" s="424"/>
      <c r="AA26" s="424" t="str">
        <f t="shared" si="0"/>
        <v/>
      </c>
      <c r="AB26" s="424"/>
      <c r="AC26" s="424"/>
    </row>
    <row r="27" spans="1:29" ht="15" customHeight="1">
      <c r="A27" s="1191" t="s">
        <v>2567</v>
      </c>
      <c r="B27" s="1191" t="s">
        <v>2568</v>
      </c>
      <c r="C27" s="1191" t="s">
        <v>2569</v>
      </c>
      <c r="D27" s="1191" t="s">
        <v>2570</v>
      </c>
      <c r="E27" s="1191"/>
      <c r="F27" s="8727"/>
      <c r="G27" s="8727"/>
      <c r="I27" s="8882"/>
      <c r="J27" s="8882"/>
      <c r="K27" s="277"/>
      <c r="L27" s="1203"/>
      <c r="M27" s="203" t="s">
        <v>876</v>
      </c>
      <c r="N27" s="291"/>
      <c r="O27" s="291"/>
      <c r="P27" s="291"/>
      <c r="Q27" s="291"/>
      <c r="R27" s="291"/>
      <c r="S27" s="291"/>
      <c r="T27" s="291"/>
      <c r="U27" s="291"/>
      <c r="V27" s="291"/>
      <c r="W27" s="245"/>
      <c r="X27" s="8880"/>
      <c r="Z27" s="424"/>
      <c r="AA27" s="424" t="str">
        <f t="shared" si="0"/>
        <v>Добавить вид теплоносителя (параметры теплоносителя)</v>
      </c>
      <c r="AB27" s="424"/>
      <c r="AC27" s="424"/>
    </row>
    <row r="28" spans="1:29" ht="15" customHeight="1">
      <c r="A28" s="1191" t="s">
        <v>2567</v>
      </c>
      <c r="B28" s="1191" t="s">
        <v>2568</v>
      </c>
      <c r="C28" s="1191" t="s">
        <v>2569</v>
      </c>
      <c r="D28" s="1191" t="s">
        <v>2570</v>
      </c>
      <c r="E28" s="1191"/>
      <c r="F28" s="8727"/>
      <c r="I28" s="8882"/>
      <c r="J28" s="1215"/>
      <c r="K28" s="277"/>
      <c r="L28" s="1203"/>
      <c r="M28" s="202" t="s">
        <v>877</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191" t="s">
        <v>2567</v>
      </c>
      <c r="B29" s="1191" t="s">
        <v>2568</v>
      </c>
      <c r="C29" s="1191" t="s">
        <v>2569</v>
      </c>
      <c r="D29" s="1191" t="s">
        <v>2570</v>
      </c>
      <c r="E29" s="1191"/>
      <c r="F29" s="606"/>
      <c r="G29" s="606"/>
      <c r="H29" s="433"/>
      <c r="I29" s="281"/>
      <c r="J29" s="299"/>
      <c r="K29" s="276"/>
      <c r="L29" s="1203"/>
      <c r="M29" s="288" t="s">
        <v>878</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191" t="s">
        <v>2567</v>
      </c>
      <c r="B30" s="1191" t="s">
        <v>2568</v>
      </c>
      <c r="C30" s="1191" t="s">
        <v>2569</v>
      </c>
      <c r="D30" s="1191"/>
      <c r="E30" s="1191" t="s">
        <v>1044</v>
      </c>
      <c r="F30" s="606"/>
      <c r="G30" s="606"/>
      <c r="H30" s="433"/>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191" t="s">
        <v>2567</v>
      </c>
      <c r="B31" s="1191" t="s">
        <v>2568</v>
      </c>
      <c r="C31" s="1191"/>
      <c r="D31" s="1191"/>
      <c r="E31" s="1191" t="s">
        <v>2563</v>
      </c>
      <c r="F31" s="1179"/>
      <c r="G31" s="1179"/>
      <c r="H31" s="433"/>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191" t="s">
        <v>2571</v>
      </c>
      <c r="B32" s="1191"/>
      <c r="C32" s="1191"/>
      <c r="D32" s="1191"/>
      <c r="E32" s="1191" t="s">
        <v>196</v>
      </c>
      <c r="F32" s="1179"/>
      <c r="G32" s="1179"/>
      <c r="H32" s="433"/>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18" customFormat="1" ht="11.25" customHeight="1">
      <c r="A33" s="1191"/>
      <c r="B33" s="1191"/>
      <c r="C33" s="1191"/>
      <c r="D33" s="1191"/>
      <c r="E33" s="1191" t="s">
        <v>706</v>
      </c>
      <c r="F33" s="1192"/>
      <c r="G33" s="1180"/>
      <c r="H33" s="433"/>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0"/>
      <c r="G34" s="1060"/>
      <c r="H34" s="433"/>
      <c r="I34" s="1060"/>
      <c r="J34" s="1060"/>
      <c r="K34" s="1060"/>
      <c r="Y34" s="1060"/>
      <c r="Z34" s="1060"/>
      <c r="AA34" s="1060"/>
      <c r="AB34" s="1060"/>
      <c r="AC34" s="1060"/>
    </row>
    <row r="35" spans="1:29" ht="27" customHeight="1">
      <c r="H35" s="433"/>
      <c r="L35" s="1212" t="s">
        <v>1176</v>
      </c>
      <c r="M35" s="8903" t="s">
        <v>2565</v>
      </c>
      <c r="N35" s="8903"/>
      <c r="O35" s="8903"/>
      <c r="P35" s="8903"/>
      <c r="Q35" s="8903"/>
      <c r="R35" s="8903"/>
      <c r="S35" s="8903"/>
      <c r="T35" s="8903"/>
      <c r="U35" s="8903"/>
      <c r="V35" s="8903"/>
      <c r="W35" s="8903"/>
      <c r="X35" s="8903"/>
    </row>
    <row r="36" spans="1:29" ht="104.25" customHeight="1">
      <c r="F36" s="1227"/>
      <c r="G36" s="1227"/>
      <c r="H36" s="433"/>
      <c r="I36" s="1227"/>
      <c r="M36" s="8903" t="s">
        <v>2566</v>
      </c>
      <c r="N36" s="8903"/>
      <c r="O36" s="8903"/>
      <c r="P36" s="8903"/>
      <c r="Q36" s="8903"/>
      <c r="R36" s="8903"/>
      <c r="S36" s="8903"/>
      <c r="T36" s="8903"/>
      <c r="U36" s="8903"/>
      <c r="V36" s="8903"/>
      <c r="W36" s="8903"/>
      <c r="X36" s="8903"/>
    </row>
    <row r="37" spans="1:29" ht="14.25" customHeight="1">
      <c r="H37" s="433"/>
    </row>
    <row r="38" spans="1:29" ht="14.25" customHeight="1">
      <c r="H38" s="433"/>
    </row>
    <row r="39" spans="1:29" ht="14.25" customHeight="1">
      <c r="H39" s="433"/>
    </row>
    <row r="40" spans="1:29" ht="14.25" customHeight="1">
      <c r="H40" s="43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18" hidden="1"/>
    <col min="3" max="4" width="3.7109375" style="1818" customWidth="1"/>
    <col min="5" max="6" width="16" style="1818" customWidth="1"/>
    <col min="7" max="7" width="11.5703125" style="1818" customWidth="1"/>
    <col min="8" max="9" width="3.7109375" style="1818" customWidth="1"/>
    <col min="10" max="10" width="13.140625" style="1818" customWidth="1"/>
    <col min="11" max="11" width="0.28515625" style="1818" customWidth="1"/>
    <col min="12" max="13" width="10.7109375" style="1818" customWidth="1"/>
    <col min="14" max="15" width="3.7109375" style="1818" customWidth="1"/>
    <col min="16" max="16" width="19.7109375" style="1818" customWidth="1"/>
    <col min="17" max="17" width="0.28515625" style="1818" customWidth="1"/>
    <col min="18" max="19" width="10.7109375" style="1818" customWidth="1"/>
    <col min="20" max="21" width="3.7109375" style="1818" customWidth="1"/>
    <col min="22" max="22" width="25.7109375" style="1818" customWidth="1"/>
    <col min="23" max="23" width="0.28515625" style="1818" customWidth="1"/>
    <col min="24" max="25" width="10.7109375" style="1818" customWidth="1"/>
    <col min="26" max="27" width="3.7109375" style="1818" customWidth="1"/>
    <col min="28" max="28" width="16.42578125" style="1818" customWidth="1"/>
    <col min="29" max="29" width="0.28515625" style="1818" customWidth="1"/>
    <col min="30" max="31" width="10.7109375" style="1818" customWidth="1"/>
    <col min="32" max="33" width="3.7109375" style="1818" customWidth="1"/>
    <col min="34" max="34" width="8.7109375" style="1818" customWidth="1"/>
    <col min="35" max="35" width="21.7109375" style="1818" customWidth="1"/>
    <col min="36" max="36" width="9.140625" style="1818"/>
    <col min="37" max="37" width="9.140625" style="298"/>
    <col min="38" max="64" width="9.140625" style="1818"/>
  </cols>
  <sheetData>
    <row r="1" spans="1:64" s="1239" customFormat="1" ht="11.25" hidden="1" customHeight="1">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row>
    <row r="2" spans="1:64" s="1478" customFormat="1" ht="11.25" hidden="1" customHeight="1">
      <c r="L2" s="1478" t="s">
        <v>742</v>
      </c>
      <c r="M2" s="1478" t="s">
        <v>743</v>
      </c>
      <c r="R2" s="1478" t="s">
        <v>744</v>
      </c>
      <c r="S2" s="1478" t="s">
        <v>743</v>
      </c>
      <c r="X2" s="1478" t="s">
        <v>742</v>
      </c>
      <c r="Y2" s="1478" t="s">
        <v>743</v>
      </c>
      <c r="AD2" s="1478" t="s">
        <v>742</v>
      </c>
      <c r="AE2" s="1478" t="s">
        <v>743</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row>
    <row r="3" spans="1:64" s="1479" customFormat="1" ht="11.25" customHeight="1">
      <c r="AJ3"/>
      <c r="AK3" s="221"/>
      <c r="AL3"/>
      <c r="AM3"/>
      <c r="AN3"/>
      <c r="AO3"/>
      <c r="AP3"/>
      <c r="AQ3"/>
      <c r="AR3"/>
      <c r="AS3"/>
      <c r="AT3"/>
      <c r="AU3"/>
      <c r="AV3"/>
      <c r="AW3"/>
      <c r="AX3"/>
      <c r="AY3"/>
      <c r="AZ3"/>
      <c r="BA3"/>
      <c r="BB3"/>
      <c r="BC3"/>
      <c r="BD3"/>
      <c r="BE3"/>
      <c r="BF3"/>
      <c r="BG3"/>
      <c r="BH3"/>
      <c r="BI3"/>
      <c r="BJ3"/>
      <c r="BK3"/>
      <c r="BL3"/>
    </row>
    <row r="4" spans="1:64" s="1739" customFormat="1" ht="33" customHeight="1">
      <c r="A4" s="1061"/>
      <c r="B4" s="1060"/>
      <c r="C4" s="1430"/>
      <c r="D4" s="8827" t="s">
        <v>745</v>
      </c>
      <c r="E4" s="8827"/>
      <c r="F4" s="8827"/>
      <c r="G4" s="8827"/>
      <c r="H4" s="8827"/>
      <c r="I4" s="8827"/>
      <c r="J4" s="8827"/>
      <c r="K4" s="617"/>
      <c r="T4" s="1480"/>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row>
    <row r="5" spans="1:64" s="1739" customFormat="1" ht="14.25" customHeight="1">
      <c r="A5" s="1552"/>
      <c r="B5" s="1551"/>
      <c r="C5" s="1430"/>
      <c r="D5" s="8814" t="str">
        <f>IF(org=0,"Не определено",org)</f>
        <v>ГУП СК "Ставрополькрайводоканал"</v>
      </c>
      <c r="E5" s="8814"/>
      <c r="F5" s="8814"/>
      <c r="G5" s="8814"/>
      <c r="H5" s="8814"/>
      <c r="I5" s="8814"/>
      <c r="J5" s="8814"/>
      <c r="K5" s="617"/>
      <c r="T5" s="1480"/>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row>
    <row r="6" spans="1:64" s="1739" customFormat="1" ht="14.25" customHeight="1">
      <c r="A6" s="1061"/>
      <c r="B6" s="1060"/>
      <c r="C6" s="1430"/>
      <c r="D6" s="617"/>
      <c r="E6" s="617"/>
      <c r="F6" s="617"/>
      <c r="G6" s="617"/>
      <c r="H6" s="617"/>
      <c r="I6" s="617"/>
      <c r="J6" s="617"/>
      <c r="K6" s="617"/>
      <c r="T6" s="1480"/>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row>
    <row r="7" spans="1:64" s="1239" customFormat="1" ht="0.75" customHeight="1">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row>
    <row r="8" spans="1:64" ht="31.5" customHeight="1">
      <c r="D8" s="8753" t="s">
        <v>84</v>
      </c>
      <c r="E8" s="8753" t="s">
        <v>197</v>
      </c>
      <c r="F8" s="8828" t="s">
        <v>210</v>
      </c>
      <c r="G8" s="8829"/>
      <c r="H8" s="8828" t="s">
        <v>84</v>
      </c>
      <c r="I8" s="8829"/>
      <c r="J8" s="8753" t="s">
        <v>211</v>
      </c>
      <c r="K8" s="1481"/>
      <c r="L8" s="8813" t="s">
        <v>746</v>
      </c>
      <c r="M8" s="8813"/>
      <c r="N8" s="8813"/>
      <c r="O8" s="8813"/>
      <c r="P8" s="8813"/>
      <c r="Q8" s="1482"/>
      <c r="R8" s="8724" t="s">
        <v>747</v>
      </c>
      <c r="S8" s="8729"/>
      <c r="T8" s="8729"/>
      <c r="U8" s="8729"/>
      <c r="V8" s="8729"/>
      <c r="W8" s="1482"/>
      <c r="X8" s="8753" t="s">
        <v>748</v>
      </c>
      <c r="Y8" s="8753"/>
      <c r="Z8" s="8753"/>
      <c r="AA8" s="8753"/>
      <c r="AB8" s="8753"/>
      <c r="AC8" s="1483"/>
      <c r="AD8" s="8753" t="s">
        <v>749</v>
      </c>
      <c r="AE8" s="8753"/>
      <c r="AF8" s="8753"/>
      <c r="AG8" s="8753"/>
      <c r="AH8" s="8724"/>
      <c r="AI8" s="8753" t="s">
        <v>750</v>
      </c>
      <c r="AJ8"/>
    </row>
    <row r="9" spans="1:64" ht="22.5" customHeight="1">
      <c r="D9" s="8753"/>
      <c r="E9" s="8753"/>
      <c r="F9" s="8813" t="s">
        <v>85</v>
      </c>
      <c r="G9" s="8813" t="s">
        <v>216</v>
      </c>
      <c r="H9" s="8830"/>
      <c r="I9" s="8831"/>
      <c r="J9" s="8724"/>
      <c r="K9" s="1484"/>
      <c r="L9" s="8753" t="s">
        <v>751</v>
      </c>
      <c r="M9" s="8724"/>
      <c r="N9" s="8828" t="s">
        <v>84</v>
      </c>
      <c r="O9" s="8829"/>
      <c r="P9" s="8753" t="s">
        <v>217</v>
      </c>
      <c r="Q9" s="1481"/>
      <c r="R9" s="8753" t="s">
        <v>751</v>
      </c>
      <c r="S9" s="8724"/>
      <c r="T9" s="8828" t="s">
        <v>84</v>
      </c>
      <c r="U9" s="8829"/>
      <c r="V9" s="8753" t="s">
        <v>217</v>
      </c>
      <c r="W9" s="1481"/>
      <c r="X9" s="8753" t="s">
        <v>751</v>
      </c>
      <c r="Y9" s="8724"/>
      <c r="Z9" s="8828" t="s">
        <v>84</v>
      </c>
      <c r="AA9" s="8829"/>
      <c r="AB9" s="8753" t="s">
        <v>752</v>
      </c>
      <c r="AC9" s="1481"/>
      <c r="AD9" s="8753" t="s">
        <v>751</v>
      </c>
      <c r="AE9" s="8724"/>
      <c r="AF9" s="8828" t="s">
        <v>84</v>
      </c>
      <c r="AG9" s="8829"/>
      <c r="AH9" s="8724" t="s">
        <v>752</v>
      </c>
      <c r="AI9" s="8753"/>
      <c r="AJ9"/>
    </row>
    <row r="10" spans="1:64" ht="22.5" customHeight="1">
      <c r="D10" s="8813"/>
      <c r="E10" s="8813"/>
      <c r="F10" s="8832"/>
      <c r="G10" s="8832"/>
      <c r="H10" s="8833"/>
      <c r="I10" s="8834"/>
      <c r="J10" s="8828"/>
      <c r="K10" s="1484"/>
      <c r="L10" s="1502" t="s">
        <v>753</v>
      </c>
      <c r="M10" s="1498" t="s">
        <v>754</v>
      </c>
      <c r="N10" s="8830"/>
      <c r="O10" s="8831"/>
      <c r="P10" s="8813"/>
      <c r="Q10" s="1481"/>
      <c r="R10" s="1502" t="s">
        <v>753</v>
      </c>
      <c r="S10" s="1498" t="s">
        <v>754</v>
      </c>
      <c r="T10" s="8830"/>
      <c r="U10" s="8831"/>
      <c r="V10" s="8813"/>
      <c r="W10" s="1481"/>
      <c r="X10" s="1502" t="s">
        <v>753</v>
      </c>
      <c r="Y10" s="1498" t="s">
        <v>754</v>
      </c>
      <c r="Z10" s="8830"/>
      <c r="AA10" s="8831"/>
      <c r="AB10" s="8813"/>
      <c r="AC10" s="1481"/>
      <c r="AD10" s="1502" t="s">
        <v>753</v>
      </c>
      <c r="AE10" s="1498" t="s">
        <v>754</v>
      </c>
      <c r="AF10" s="8830"/>
      <c r="AG10" s="8831"/>
      <c r="AH10" s="8828"/>
      <c r="AI10" s="8813"/>
      <c r="AJ10"/>
      <c r="AK10" s="169" t="s">
        <v>755</v>
      </c>
      <c r="AL10" s="169" t="s">
        <v>218</v>
      </c>
    </row>
    <row r="11" spans="1:64" ht="14.25" customHeight="1">
      <c r="D11" s="8821" t="s">
        <v>95</v>
      </c>
      <c r="E11" s="8817" t="s">
        <v>756</v>
      </c>
      <c r="F11" s="8817" t="s">
        <v>757</v>
      </c>
      <c r="G11" s="8808" t="s">
        <v>53</v>
      </c>
      <c r="H11" s="1523"/>
      <c r="I11" s="8819"/>
      <c r="J11" s="8778"/>
      <c r="K11" s="1429"/>
      <c r="L11" s="8761"/>
      <c r="M11" s="8761"/>
      <c r="N11" s="1508"/>
      <c r="O11" s="8761"/>
      <c r="P11" s="8778"/>
      <c r="Q11" s="1509"/>
      <c r="R11" s="8761"/>
      <c r="S11" s="8761"/>
      <c r="T11" s="1510"/>
      <c r="U11" s="8761"/>
      <c r="V11" s="8778"/>
      <c r="W11" s="1511"/>
      <c r="X11" s="8761"/>
      <c r="Y11" s="8761"/>
      <c r="Z11" s="1508"/>
      <c r="AA11" s="8761"/>
      <c r="AB11" s="8778"/>
      <c r="AC11" s="1512"/>
      <c r="AD11" s="8761"/>
      <c r="AE11" s="8761"/>
      <c r="AF11" s="1428"/>
      <c r="AG11" s="1428"/>
      <c r="AH11" s="1513"/>
      <c r="AI11" s="1220"/>
      <c r="AJ11"/>
    </row>
    <row r="12" spans="1:64" ht="14.25" customHeight="1">
      <c r="D12" s="8821"/>
      <c r="E12" s="8817"/>
      <c r="F12" s="8817"/>
      <c r="G12" s="8809"/>
      <c r="H12" s="1524"/>
      <c r="I12" s="8820"/>
      <c r="J12" s="8779"/>
      <c r="K12" s="1531"/>
      <c r="L12" s="8762"/>
      <c r="M12" s="8762"/>
      <c r="N12" s="1514"/>
      <c r="O12" s="8762"/>
      <c r="P12" s="8779"/>
      <c r="Q12" s="1515"/>
      <c r="R12" s="8762"/>
      <c r="S12" s="8762"/>
      <c r="T12" s="1516"/>
      <c r="U12" s="8762"/>
      <c r="V12" s="8779"/>
      <c r="W12" s="1517"/>
      <c r="X12" s="8762"/>
      <c r="Y12" s="8762"/>
      <c r="Z12" s="1514"/>
      <c r="AA12" s="8762"/>
      <c r="AB12" s="8779"/>
      <c r="AC12" s="1518"/>
      <c r="AD12" s="8762"/>
      <c r="AE12" s="8762"/>
      <c r="AF12" s="1519"/>
      <c r="AG12" s="1519"/>
      <c r="AH12" s="8815"/>
      <c r="AI12" s="8816"/>
      <c r="AJ12"/>
    </row>
    <row r="13" spans="1:64" ht="14.25" customHeight="1">
      <c r="D13" s="8821"/>
      <c r="E13" s="8817"/>
      <c r="F13" s="8817"/>
      <c r="G13" s="8809"/>
      <c r="H13" s="1524"/>
      <c r="I13" s="8820"/>
      <c r="J13" s="8779"/>
      <c r="K13" s="1531"/>
      <c r="L13" s="8762"/>
      <c r="M13" s="8762"/>
      <c r="N13" s="1514"/>
      <c r="O13" s="8762"/>
      <c r="P13" s="8779"/>
      <c r="Q13" s="1515"/>
      <c r="R13" s="8762"/>
      <c r="S13" s="8762"/>
      <c r="T13" s="1516"/>
      <c r="U13" s="8762"/>
      <c r="V13" s="8779"/>
      <c r="W13" s="1517"/>
      <c r="X13" s="8762"/>
      <c r="Y13" s="8762"/>
      <c r="Z13" s="1427"/>
      <c r="AA13" s="1519"/>
      <c r="AB13" s="8815"/>
      <c r="AC13" s="8815"/>
      <c r="AD13" s="8815"/>
      <c r="AE13" s="8815"/>
      <c r="AF13" s="8815"/>
      <c r="AG13" s="8815"/>
      <c r="AH13" s="8815"/>
      <c r="AI13" s="8816"/>
      <c r="AJ13"/>
    </row>
    <row r="14" spans="1:64" ht="14.25" customHeight="1">
      <c r="D14" s="8821"/>
      <c r="E14" s="8817"/>
      <c r="F14" s="8817"/>
      <c r="G14" s="8809"/>
      <c r="H14" s="1524"/>
      <c r="I14" s="8820"/>
      <c r="J14" s="8779"/>
      <c r="K14" s="1531"/>
      <c r="L14" s="8762"/>
      <c r="M14" s="8762"/>
      <c r="N14" s="1514"/>
      <c r="O14" s="8762"/>
      <c r="P14" s="8779"/>
      <c r="Q14" s="1515"/>
      <c r="R14" s="8762"/>
      <c r="S14" s="8762"/>
      <c r="T14" s="1520"/>
      <c r="U14" s="1521"/>
      <c r="V14" s="8815"/>
      <c r="W14" s="8815"/>
      <c r="X14" s="8815"/>
      <c r="Y14" s="8815"/>
      <c r="Z14" s="8815"/>
      <c r="AA14" s="8815"/>
      <c r="AB14" s="8815"/>
      <c r="AC14" s="8815"/>
      <c r="AD14" s="8815"/>
      <c r="AE14" s="8815"/>
      <c r="AF14" s="8815"/>
      <c r="AG14" s="8815"/>
      <c r="AH14" s="8815"/>
      <c r="AI14" s="8816"/>
      <c r="AJ14"/>
    </row>
    <row r="15" spans="1:64" ht="11.25" customHeight="1">
      <c r="D15" s="8821"/>
      <c r="E15" s="8817"/>
      <c r="F15" s="8817"/>
      <c r="G15" s="8809"/>
      <c r="H15" s="1525"/>
      <c r="I15" s="8820"/>
      <c r="J15" s="8779"/>
      <c r="K15" s="1531"/>
      <c r="L15" s="8762"/>
      <c r="M15" s="8762"/>
      <c r="N15" s="1519"/>
      <c r="O15" s="1519"/>
      <c r="P15" s="8815"/>
      <c r="Q15" s="8815"/>
      <c r="R15" s="8815"/>
      <c r="S15" s="8815"/>
      <c r="T15" s="8815"/>
      <c r="U15" s="8815"/>
      <c r="V15" s="8815"/>
      <c r="W15" s="8815"/>
      <c r="X15" s="8815"/>
      <c r="Y15" s="8815"/>
      <c r="Z15" s="8815"/>
      <c r="AA15" s="8815"/>
      <c r="AB15" s="8815"/>
      <c r="AC15" s="8815"/>
      <c r="AD15" s="8815"/>
      <c r="AE15" s="8815"/>
      <c r="AF15" s="8815"/>
      <c r="AG15" s="8815"/>
      <c r="AH15" s="8815"/>
      <c r="AI15" s="8816"/>
      <c r="AJ15"/>
    </row>
    <row r="16" spans="1:64" s="1479" customFormat="1" ht="11.25" customHeight="1">
      <c r="D16" s="8825"/>
      <c r="E16" s="8826"/>
      <c r="F16" s="8818"/>
      <c r="G16" s="8739"/>
      <c r="H16" s="1522"/>
      <c r="I16" s="1526"/>
      <c r="J16" s="8823"/>
      <c r="K16" s="8823"/>
      <c r="L16" s="8823"/>
      <c r="M16" s="8823"/>
      <c r="N16" s="8823"/>
      <c r="O16" s="8823"/>
      <c r="P16" s="8823"/>
      <c r="Q16" s="8823"/>
      <c r="R16" s="8823"/>
      <c r="S16" s="8823"/>
      <c r="T16" s="8823"/>
      <c r="U16" s="8823"/>
      <c r="V16" s="8823"/>
      <c r="W16" s="8823"/>
      <c r="X16" s="8823"/>
      <c r="Y16" s="8823"/>
      <c r="Z16" s="8823"/>
      <c r="AA16" s="8823"/>
      <c r="AB16" s="8823"/>
      <c r="AC16" s="8823"/>
      <c r="AD16" s="8823"/>
      <c r="AE16" s="8823"/>
      <c r="AF16" s="8823"/>
      <c r="AG16" s="8823"/>
      <c r="AH16" s="8823"/>
      <c r="AI16" s="8824"/>
      <c r="AJ16"/>
      <c r="AK16" s="221"/>
      <c r="AL16"/>
      <c r="AM16"/>
      <c r="AN16"/>
      <c r="AO16"/>
      <c r="AP16"/>
      <c r="AQ16"/>
      <c r="AR16"/>
      <c r="AS16"/>
      <c r="AT16"/>
      <c r="AU16"/>
      <c r="AV16"/>
      <c r="AW16"/>
      <c r="AX16"/>
      <c r="AY16"/>
      <c r="AZ16"/>
      <c r="BA16"/>
      <c r="BB16"/>
      <c r="BC16"/>
      <c r="BD16"/>
      <c r="BE16"/>
      <c r="BF16"/>
      <c r="BG16"/>
      <c r="BH16"/>
      <c r="BI16"/>
      <c r="BJ16"/>
      <c r="BK16"/>
      <c r="BL16"/>
    </row>
    <row r="17" spans="4:64" ht="14.25" customHeight="1">
      <c r="D17" s="8821" t="s">
        <v>99</v>
      </c>
      <c r="E17" s="8817" t="s">
        <v>756</v>
      </c>
      <c r="F17" s="8817" t="s">
        <v>758</v>
      </c>
      <c r="G17" s="8808" t="s">
        <v>53</v>
      </c>
      <c r="H17" s="1523"/>
      <c r="I17" s="8819"/>
      <c r="J17" s="8778"/>
      <c r="K17" s="1429"/>
      <c r="L17" s="8761"/>
      <c r="M17" s="8761"/>
      <c r="N17" s="1508"/>
      <c r="O17" s="8761"/>
      <c r="P17" s="8778"/>
      <c r="Q17" s="1509"/>
      <c r="R17" s="8761"/>
      <c r="S17" s="8761"/>
      <c r="T17" s="1510"/>
      <c r="U17" s="8761"/>
      <c r="V17" s="8778"/>
      <c r="W17" s="1511"/>
      <c r="X17" s="8761"/>
      <c r="Y17" s="8761"/>
      <c r="Z17" s="1508"/>
      <c r="AA17" s="8761"/>
      <c r="AB17" s="8778"/>
      <c r="AC17" s="1512"/>
      <c r="AD17" s="8761"/>
      <c r="AE17" s="8761"/>
      <c r="AF17" s="1428"/>
      <c r="AG17" s="1428"/>
      <c r="AH17" s="1513"/>
      <c r="AI17" s="1220"/>
      <c r="AJ17"/>
    </row>
    <row r="18" spans="4:64" ht="14.25" customHeight="1">
      <c r="D18" s="8821"/>
      <c r="E18" s="8817"/>
      <c r="F18" s="8817"/>
      <c r="G18" s="8809"/>
      <c r="H18" s="1524"/>
      <c r="I18" s="8820"/>
      <c r="J18" s="8779"/>
      <c r="K18" s="1507"/>
      <c r="L18" s="8762"/>
      <c r="M18" s="8762"/>
      <c r="N18" s="1514"/>
      <c r="O18" s="8762"/>
      <c r="P18" s="8779"/>
      <c r="Q18" s="1515"/>
      <c r="R18" s="8762"/>
      <c r="S18" s="8762"/>
      <c r="T18" s="1516"/>
      <c r="U18" s="8762"/>
      <c r="V18" s="8779"/>
      <c r="W18" s="1517"/>
      <c r="X18" s="8762"/>
      <c r="Y18" s="8762"/>
      <c r="Z18" s="1514"/>
      <c r="AA18" s="8762"/>
      <c r="AB18" s="8779"/>
      <c r="AC18" s="1518"/>
      <c r="AD18" s="8762"/>
      <c r="AE18" s="8762"/>
      <c r="AF18" s="1519"/>
      <c r="AG18" s="1519"/>
      <c r="AH18" s="8815"/>
      <c r="AI18" s="8816"/>
      <c r="AJ18"/>
    </row>
    <row r="19" spans="4:64" ht="14.25" customHeight="1">
      <c r="D19" s="8821"/>
      <c r="E19" s="8817"/>
      <c r="F19" s="8817"/>
      <c r="G19" s="8809"/>
      <c r="H19" s="1524"/>
      <c r="I19" s="8820"/>
      <c r="J19" s="8779"/>
      <c r="K19" s="1507"/>
      <c r="L19" s="8762"/>
      <c r="M19" s="8762"/>
      <c r="N19" s="1514"/>
      <c r="O19" s="8762"/>
      <c r="P19" s="8779"/>
      <c r="Q19" s="1515"/>
      <c r="R19" s="8762"/>
      <c r="S19" s="8762"/>
      <c r="T19" s="1516"/>
      <c r="U19" s="8762"/>
      <c r="V19" s="8779"/>
      <c r="W19" s="1517"/>
      <c r="X19" s="8762"/>
      <c r="Y19" s="8762"/>
      <c r="Z19" s="1427"/>
      <c r="AA19" s="1519"/>
      <c r="AB19" s="8815"/>
      <c r="AC19" s="8815"/>
      <c r="AD19" s="8815"/>
      <c r="AE19" s="8815"/>
      <c r="AF19" s="8815"/>
      <c r="AG19" s="8815"/>
      <c r="AH19" s="8815"/>
      <c r="AI19" s="8816"/>
      <c r="AJ19"/>
    </row>
    <row r="20" spans="4:64" ht="14.25" customHeight="1">
      <c r="D20" s="8821"/>
      <c r="E20" s="8817"/>
      <c r="F20" s="8817"/>
      <c r="G20" s="8809"/>
      <c r="H20" s="1524"/>
      <c r="I20" s="8820"/>
      <c r="J20" s="8779"/>
      <c r="K20" s="1507"/>
      <c r="L20" s="8762"/>
      <c r="M20" s="8762"/>
      <c r="N20" s="1514"/>
      <c r="O20" s="8762"/>
      <c r="P20" s="8779"/>
      <c r="Q20" s="1515"/>
      <c r="R20" s="8762"/>
      <c r="S20" s="8762"/>
      <c r="T20" s="1520"/>
      <c r="U20" s="1521"/>
      <c r="V20" s="8815"/>
      <c r="W20" s="8815"/>
      <c r="X20" s="8815"/>
      <c r="Y20" s="8815"/>
      <c r="Z20" s="8815"/>
      <c r="AA20" s="8815"/>
      <c r="AB20" s="8815"/>
      <c r="AC20" s="8815"/>
      <c r="AD20" s="8815"/>
      <c r="AE20" s="8815"/>
      <c r="AF20" s="8815"/>
      <c r="AG20" s="8815"/>
      <c r="AH20" s="8815"/>
      <c r="AI20" s="8816"/>
      <c r="AJ20"/>
    </row>
    <row r="21" spans="4:64" ht="11.25" customHeight="1">
      <c r="D21" s="8821"/>
      <c r="E21" s="8817"/>
      <c r="F21" s="8817"/>
      <c r="G21" s="8809"/>
      <c r="H21" s="1525"/>
      <c r="I21" s="8820"/>
      <c r="J21" s="8779"/>
      <c r="K21" s="1507"/>
      <c r="L21" s="8762"/>
      <c r="M21" s="8762"/>
      <c r="N21" s="1519"/>
      <c r="O21" s="1519"/>
      <c r="P21" s="8815"/>
      <c r="Q21" s="8815"/>
      <c r="R21" s="8815"/>
      <c r="S21" s="8815"/>
      <c r="T21" s="8815"/>
      <c r="U21" s="8815"/>
      <c r="V21" s="8815"/>
      <c r="W21" s="8815"/>
      <c r="X21" s="8815"/>
      <c r="Y21" s="8815"/>
      <c r="Z21" s="8815"/>
      <c r="AA21" s="8815"/>
      <c r="AB21" s="8815"/>
      <c r="AC21" s="8815"/>
      <c r="AD21" s="8815"/>
      <c r="AE21" s="8815"/>
      <c r="AF21" s="8815"/>
      <c r="AG21" s="8815"/>
      <c r="AH21" s="8815"/>
      <c r="AI21" s="8816"/>
      <c r="AJ21"/>
    </row>
    <row r="22" spans="4:64" s="1479" customFormat="1" ht="11.25" customHeight="1">
      <c r="D22" s="8825"/>
      <c r="E22" s="8826"/>
      <c r="F22" s="8818"/>
      <c r="G22" s="8739"/>
      <c r="H22" s="1522"/>
      <c r="I22" s="1526"/>
      <c r="J22" s="8823"/>
      <c r="K22" s="8823"/>
      <c r="L22" s="8823"/>
      <c r="M22" s="8823"/>
      <c r="N22" s="8823"/>
      <c r="O22" s="8823"/>
      <c r="P22" s="8823"/>
      <c r="Q22" s="8823"/>
      <c r="R22" s="8823"/>
      <c r="S22" s="8823"/>
      <c r="T22" s="8823"/>
      <c r="U22" s="8823"/>
      <c r="V22" s="8823"/>
      <c r="W22" s="8823"/>
      <c r="X22" s="8823"/>
      <c r="Y22" s="8823"/>
      <c r="Z22" s="8823"/>
      <c r="AA22" s="8823"/>
      <c r="AB22" s="8823"/>
      <c r="AC22" s="8823"/>
      <c r="AD22" s="8823"/>
      <c r="AE22" s="8823"/>
      <c r="AF22" s="8823"/>
      <c r="AG22" s="8823"/>
      <c r="AH22" s="8823"/>
      <c r="AI22" s="8824"/>
      <c r="AJ22"/>
      <c r="AK22" s="221"/>
      <c r="AL22"/>
      <c r="AM22"/>
      <c r="AN22"/>
      <c r="AO22"/>
      <c r="AP22"/>
      <c r="AQ22"/>
      <c r="AR22"/>
      <c r="AS22"/>
      <c r="AT22"/>
      <c r="AU22"/>
      <c r="AV22"/>
      <c r="AW22"/>
      <c r="AX22"/>
      <c r="AY22"/>
      <c r="AZ22"/>
      <c r="BA22"/>
      <c r="BB22"/>
      <c r="BC22"/>
      <c r="BD22"/>
      <c r="BE22"/>
      <c r="BF22"/>
      <c r="BG22"/>
      <c r="BH22"/>
      <c r="BI22"/>
      <c r="BJ22"/>
      <c r="BK22"/>
      <c r="BL22"/>
    </row>
    <row r="23" spans="4:64" ht="14.25" customHeight="1">
      <c r="D23" s="8821" t="s">
        <v>86</v>
      </c>
      <c r="E23" s="8817" t="s">
        <v>756</v>
      </c>
      <c r="F23" s="8817" t="s">
        <v>759</v>
      </c>
      <c r="G23" s="8808" t="s">
        <v>53</v>
      </c>
      <c r="H23" s="1523"/>
      <c r="I23" s="8819"/>
      <c r="J23" s="8778"/>
      <c r="K23" s="1429"/>
      <c r="L23" s="8761"/>
      <c r="M23" s="8761"/>
      <c r="N23" s="1508"/>
      <c r="O23" s="8761"/>
      <c r="P23" s="8778"/>
      <c r="Q23" s="1509"/>
      <c r="R23" s="8761"/>
      <c r="S23" s="8761"/>
      <c r="T23" s="1510"/>
      <c r="U23" s="8761"/>
      <c r="V23" s="8778"/>
      <c r="W23" s="1511"/>
      <c r="X23" s="8761"/>
      <c r="Y23" s="8761"/>
      <c r="Z23" s="1508"/>
      <c r="AA23" s="8761"/>
      <c r="AB23" s="8778"/>
      <c r="AC23" s="1512"/>
      <c r="AD23" s="8761"/>
      <c r="AE23" s="8761"/>
      <c r="AF23" s="1428"/>
      <c r="AG23" s="1428"/>
      <c r="AH23" s="1513"/>
      <c r="AI23" s="1220"/>
      <c r="AJ23"/>
      <c r="AK23" s="221" t="s">
        <v>94</v>
      </c>
    </row>
    <row r="24" spans="4:64" ht="14.25" customHeight="1">
      <c r="D24" s="8821"/>
      <c r="E24" s="8817"/>
      <c r="F24" s="8817"/>
      <c r="G24" s="8809"/>
      <c r="H24" s="1524"/>
      <c r="I24" s="8820"/>
      <c r="J24" s="8779"/>
      <c r="K24" s="1531"/>
      <c r="L24" s="8762"/>
      <c r="M24" s="8762"/>
      <c r="N24" s="1514"/>
      <c r="O24" s="8762"/>
      <c r="P24" s="8779"/>
      <c r="Q24" s="1515"/>
      <c r="R24" s="8762"/>
      <c r="S24" s="8762"/>
      <c r="T24" s="1516"/>
      <c r="U24" s="8762"/>
      <c r="V24" s="8779"/>
      <c r="W24" s="1517"/>
      <c r="X24" s="8762"/>
      <c r="Y24" s="8762"/>
      <c r="Z24" s="1514"/>
      <c r="AA24" s="8762"/>
      <c r="AB24" s="8779"/>
      <c r="AC24" s="1518"/>
      <c r="AD24" s="8762"/>
      <c r="AE24" s="8762"/>
      <c r="AF24" s="1519"/>
      <c r="AG24" s="1519"/>
      <c r="AH24" s="8815"/>
      <c r="AI24" s="8816"/>
      <c r="AJ24"/>
    </row>
    <row r="25" spans="4:64" ht="14.25" customHeight="1">
      <c r="D25" s="8821"/>
      <c r="E25" s="8817"/>
      <c r="F25" s="8817"/>
      <c r="G25" s="8809"/>
      <c r="H25" s="1524"/>
      <c r="I25" s="8820"/>
      <c r="J25" s="8779"/>
      <c r="K25" s="1531"/>
      <c r="L25" s="8762"/>
      <c r="M25" s="8762"/>
      <c r="N25" s="1514"/>
      <c r="O25" s="8762"/>
      <c r="P25" s="8779"/>
      <c r="Q25" s="1515"/>
      <c r="R25" s="8762"/>
      <c r="S25" s="8762"/>
      <c r="T25" s="1516"/>
      <c r="U25" s="8762"/>
      <c r="V25" s="8779"/>
      <c r="W25" s="1517"/>
      <c r="X25" s="8762"/>
      <c r="Y25" s="8762"/>
      <c r="Z25" s="1427"/>
      <c r="AA25" s="1519"/>
      <c r="AB25" s="8815"/>
      <c r="AC25" s="8815"/>
      <c r="AD25" s="8815"/>
      <c r="AE25" s="8815"/>
      <c r="AF25" s="8815"/>
      <c r="AG25" s="8815"/>
      <c r="AH25" s="8815"/>
      <c r="AI25" s="8816"/>
      <c r="AJ25"/>
    </row>
    <row r="26" spans="4:64" ht="14.25" customHeight="1">
      <c r="D26" s="8821"/>
      <c r="E26" s="8817"/>
      <c r="F26" s="8817"/>
      <c r="G26" s="8809"/>
      <c r="H26" s="1524"/>
      <c r="I26" s="8820"/>
      <c r="J26" s="8779"/>
      <c r="K26" s="1531"/>
      <c r="L26" s="8762"/>
      <c r="M26" s="8762"/>
      <c r="N26" s="1514"/>
      <c r="O26" s="8762"/>
      <c r="P26" s="8779"/>
      <c r="Q26" s="1515"/>
      <c r="R26" s="8762"/>
      <c r="S26" s="8762"/>
      <c r="T26" s="1520"/>
      <c r="U26" s="1521"/>
      <c r="V26" s="8815"/>
      <c r="W26" s="8815"/>
      <c r="X26" s="8815"/>
      <c r="Y26" s="8815"/>
      <c r="Z26" s="8815"/>
      <c r="AA26" s="8815"/>
      <c r="AB26" s="8815"/>
      <c r="AC26" s="8815"/>
      <c r="AD26" s="8815"/>
      <c r="AE26" s="8815"/>
      <c r="AF26" s="8815"/>
      <c r="AG26" s="8815"/>
      <c r="AH26" s="8815"/>
      <c r="AI26" s="8816"/>
      <c r="AJ26"/>
    </row>
    <row r="27" spans="4:64" ht="11.25" customHeight="1">
      <c r="D27" s="8821"/>
      <c r="E27" s="8817"/>
      <c r="F27" s="8817"/>
      <c r="G27" s="8809"/>
      <c r="H27" s="1525"/>
      <c r="I27" s="8820"/>
      <c r="J27" s="8779"/>
      <c r="K27" s="1531"/>
      <c r="L27" s="8762"/>
      <c r="M27" s="8762"/>
      <c r="N27" s="1519"/>
      <c r="O27" s="1519"/>
      <c r="P27" s="8815"/>
      <c r="Q27" s="8815"/>
      <c r="R27" s="8815"/>
      <c r="S27" s="8815"/>
      <c r="T27" s="8815"/>
      <c r="U27" s="8815"/>
      <c r="V27" s="8815"/>
      <c r="W27" s="8815"/>
      <c r="X27" s="8815"/>
      <c r="Y27" s="8815"/>
      <c r="Z27" s="8815"/>
      <c r="AA27" s="8815"/>
      <c r="AB27" s="8815"/>
      <c r="AC27" s="8815"/>
      <c r="AD27" s="8815"/>
      <c r="AE27" s="8815"/>
      <c r="AF27" s="8815"/>
      <c r="AG27" s="8815"/>
      <c r="AH27" s="8815"/>
      <c r="AI27" s="8816"/>
      <c r="AJ27"/>
    </row>
    <row r="28" spans="4:64" s="1479" customFormat="1" ht="11.25" customHeight="1">
      <c r="D28" s="8825"/>
      <c r="E28" s="8826"/>
      <c r="F28" s="8818"/>
      <c r="G28" s="8739"/>
      <c r="H28" s="1522"/>
      <c r="I28" s="1526"/>
      <c r="J28" s="8823"/>
      <c r="K28" s="8823"/>
      <c r="L28" s="8823"/>
      <c r="M28" s="8823"/>
      <c r="N28" s="8823"/>
      <c r="O28" s="8823"/>
      <c r="P28" s="8823"/>
      <c r="Q28" s="8823"/>
      <c r="R28" s="8823"/>
      <c r="S28" s="8823"/>
      <c r="T28" s="8823"/>
      <c r="U28" s="8823"/>
      <c r="V28" s="8823"/>
      <c r="W28" s="8823"/>
      <c r="X28" s="8823"/>
      <c r="Y28" s="8823"/>
      <c r="Z28" s="8823"/>
      <c r="AA28" s="8823"/>
      <c r="AB28" s="8823"/>
      <c r="AC28" s="8823"/>
      <c r="AD28" s="8823"/>
      <c r="AE28" s="8823"/>
      <c r="AF28" s="8823"/>
      <c r="AG28" s="8823"/>
      <c r="AH28" s="8823"/>
      <c r="AI28" s="8824"/>
      <c r="AJ28"/>
      <c r="AK28" s="221"/>
      <c r="AL28"/>
      <c r="AM28"/>
      <c r="AN28"/>
      <c r="AO28"/>
      <c r="AP28"/>
      <c r="AQ28"/>
      <c r="AR28"/>
      <c r="AS28"/>
      <c r="AT28"/>
      <c r="AU28"/>
      <c r="AV28"/>
      <c r="AW28"/>
      <c r="AX28"/>
      <c r="AY28"/>
      <c r="AZ28"/>
      <c r="BA28"/>
      <c r="BB28"/>
      <c r="BC28"/>
      <c r="BD28"/>
      <c r="BE28"/>
      <c r="BF28"/>
      <c r="BG28"/>
      <c r="BH28"/>
      <c r="BI28"/>
      <c r="BJ28"/>
      <c r="BK28"/>
      <c r="BL28"/>
    </row>
    <row r="29" spans="4:64" ht="14.25" customHeight="1">
      <c r="D29" s="8821" t="s">
        <v>87</v>
      </c>
      <c r="E29" s="8817" t="s">
        <v>756</v>
      </c>
      <c r="F29" s="8817" t="s">
        <v>760</v>
      </c>
      <c r="G29" s="8808" t="s">
        <v>53</v>
      </c>
      <c r="H29" s="1523"/>
      <c r="I29" s="8819"/>
      <c r="J29" s="8778"/>
      <c r="K29" s="1429"/>
      <c r="L29" s="8761"/>
      <c r="M29" s="8761"/>
      <c r="N29" s="1508"/>
      <c r="O29" s="8761"/>
      <c r="P29" s="8778"/>
      <c r="Q29" s="1509"/>
      <c r="R29" s="8761"/>
      <c r="S29" s="8761"/>
      <c r="T29" s="1510"/>
      <c r="U29" s="8761"/>
      <c r="V29" s="8778"/>
      <c r="W29" s="1511"/>
      <c r="X29" s="8761"/>
      <c r="Y29" s="8761"/>
      <c r="Z29" s="1508"/>
      <c r="AA29" s="8761"/>
      <c r="AB29" s="8778"/>
      <c r="AC29" s="1512"/>
      <c r="AD29" s="8761"/>
      <c r="AE29" s="8761"/>
      <c r="AF29" s="1428"/>
      <c r="AG29" s="1428"/>
      <c r="AH29" s="1513"/>
      <c r="AI29" s="1220"/>
      <c r="AJ29"/>
    </row>
    <row r="30" spans="4:64" ht="14.25" customHeight="1">
      <c r="D30" s="8821"/>
      <c r="E30" s="8817"/>
      <c r="F30" s="8817"/>
      <c r="G30" s="8809"/>
      <c r="H30" s="1524"/>
      <c r="I30" s="8820"/>
      <c r="J30" s="8779"/>
      <c r="K30" s="1507"/>
      <c r="L30" s="8762"/>
      <c r="M30" s="8762"/>
      <c r="N30" s="1514"/>
      <c r="O30" s="8762"/>
      <c r="P30" s="8779"/>
      <c r="Q30" s="1515"/>
      <c r="R30" s="8762"/>
      <c r="S30" s="8762"/>
      <c r="T30" s="1516"/>
      <c r="U30" s="8762"/>
      <c r="V30" s="8779"/>
      <c r="W30" s="1517"/>
      <c r="X30" s="8762"/>
      <c r="Y30" s="8762"/>
      <c r="Z30" s="1514"/>
      <c r="AA30" s="8762"/>
      <c r="AB30" s="8779"/>
      <c r="AC30" s="1518"/>
      <c r="AD30" s="8762"/>
      <c r="AE30" s="8762"/>
      <c r="AF30" s="1519"/>
      <c r="AG30" s="1519"/>
      <c r="AH30" s="8815"/>
      <c r="AI30" s="8816"/>
      <c r="AJ30"/>
    </row>
    <row r="31" spans="4:64" ht="14.25" customHeight="1">
      <c r="D31" s="8821"/>
      <c r="E31" s="8817"/>
      <c r="F31" s="8817"/>
      <c r="G31" s="8809"/>
      <c r="H31" s="1524"/>
      <c r="I31" s="8820"/>
      <c r="J31" s="8779"/>
      <c r="K31" s="1507"/>
      <c r="L31" s="8762"/>
      <c r="M31" s="8762"/>
      <c r="N31" s="1514"/>
      <c r="O31" s="8762"/>
      <c r="P31" s="8779"/>
      <c r="Q31" s="1515"/>
      <c r="R31" s="8762"/>
      <c r="S31" s="8762"/>
      <c r="T31" s="1516"/>
      <c r="U31" s="8762"/>
      <c r="V31" s="8779"/>
      <c r="W31" s="1517"/>
      <c r="X31" s="8762"/>
      <c r="Y31" s="8762"/>
      <c r="Z31" s="1427"/>
      <c r="AA31" s="1519"/>
      <c r="AB31" s="8815"/>
      <c r="AC31" s="8815"/>
      <c r="AD31" s="8815"/>
      <c r="AE31" s="8815"/>
      <c r="AF31" s="8815"/>
      <c r="AG31" s="8815"/>
      <c r="AH31" s="8815"/>
      <c r="AI31" s="8816"/>
      <c r="AJ31"/>
    </row>
    <row r="32" spans="4:64" ht="14.25" customHeight="1">
      <c r="D32" s="8821"/>
      <c r="E32" s="8817"/>
      <c r="F32" s="8817"/>
      <c r="G32" s="8809"/>
      <c r="H32" s="1524"/>
      <c r="I32" s="8820"/>
      <c r="J32" s="8779"/>
      <c r="K32" s="1507"/>
      <c r="L32" s="8762"/>
      <c r="M32" s="8762"/>
      <c r="N32" s="1514"/>
      <c r="O32" s="8762"/>
      <c r="P32" s="8779"/>
      <c r="Q32" s="1515"/>
      <c r="R32" s="8762"/>
      <c r="S32" s="8762"/>
      <c r="T32" s="1520"/>
      <c r="U32" s="1521"/>
      <c r="V32" s="8815"/>
      <c r="W32" s="8815"/>
      <c r="X32" s="8815"/>
      <c r="Y32" s="8815"/>
      <c r="Z32" s="8815"/>
      <c r="AA32" s="8815"/>
      <c r="AB32" s="8815"/>
      <c r="AC32" s="8815"/>
      <c r="AD32" s="8815"/>
      <c r="AE32" s="8815"/>
      <c r="AF32" s="8815"/>
      <c r="AG32" s="8815"/>
      <c r="AH32" s="8815"/>
      <c r="AI32" s="8816"/>
      <c r="AJ32"/>
    </row>
    <row r="33" spans="4:64" ht="11.25" customHeight="1">
      <c r="D33" s="8821"/>
      <c r="E33" s="8817"/>
      <c r="F33" s="8817"/>
      <c r="G33" s="8809"/>
      <c r="H33" s="1525"/>
      <c r="I33" s="8820"/>
      <c r="J33" s="8779"/>
      <c r="K33" s="1507"/>
      <c r="L33" s="8762"/>
      <c r="M33" s="8762"/>
      <c r="N33" s="1519"/>
      <c r="O33" s="1519"/>
      <c r="P33" s="8815"/>
      <c r="Q33" s="8815"/>
      <c r="R33" s="8815"/>
      <c r="S33" s="8815"/>
      <c r="T33" s="8815"/>
      <c r="U33" s="8815"/>
      <c r="V33" s="8815"/>
      <c r="W33" s="8815"/>
      <c r="X33" s="8815"/>
      <c r="Y33" s="8815"/>
      <c r="Z33" s="8815"/>
      <c r="AA33" s="8815"/>
      <c r="AB33" s="8815"/>
      <c r="AC33" s="8815"/>
      <c r="AD33" s="8815"/>
      <c r="AE33" s="8815"/>
      <c r="AF33" s="8815"/>
      <c r="AG33" s="8815"/>
      <c r="AH33" s="8815"/>
      <c r="AI33" s="8816"/>
      <c r="AJ33"/>
    </row>
    <row r="34" spans="4:64" s="1479" customFormat="1" ht="11.25" customHeight="1">
      <c r="D34" s="8825"/>
      <c r="E34" s="8826"/>
      <c r="F34" s="8818"/>
      <c r="G34" s="8739"/>
      <c r="H34" s="1522"/>
      <c r="I34" s="1526"/>
      <c r="J34" s="8823"/>
      <c r="K34" s="8823"/>
      <c r="L34" s="8823"/>
      <c r="M34" s="8823"/>
      <c r="N34" s="8823"/>
      <c r="O34" s="8823"/>
      <c r="P34" s="8823"/>
      <c r="Q34" s="8823"/>
      <c r="R34" s="8823"/>
      <c r="S34" s="8823"/>
      <c r="T34" s="8823"/>
      <c r="U34" s="8823"/>
      <c r="V34" s="8823"/>
      <c r="W34" s="8823"/>
      <c r="X34" s="8823"/>
      <c r="Y34" s="8823"/>
      <c r="Z34" s="8823"/>
      <c r="AA34" s="8823"/>
      <c r="AB34" s="8823"/>
      <c r="AC34" s="8823"/>
      <c r="AD34" s="8823"/>
      <c r="AE34" s="8823"/>
      <c r="AF34" s="8823"/>
      <c r="AG34" s="8823"/>
      <c r="AH34" s="8823"/>
      <c r="AI34" s="8824"/>
      <c r="AJ34"/>
      <c r="AK34" s="221"/>
      <c r="AL34"/>
      <c r="AM34"/>
      <c r="AN34"/>
      <c r="AO34"/>
      <c r="AP34"/>
      <c r="AQ34"/>
      <c r="AR34"/>
      <c r="AS34"/>
      <c r="AT34"/>
      <c r="AU34"/>
      <c r="AV34"/>
      <c r="AW34"/>
      <c r="AX34"/>
      <c r="AY34"/>
      <c r="AZ34"/>
      <c r="BA34"/>
      <c r="BB34"/>
      <c r="BC34"/>
      <c r="BD34"/>
      <c r="BE34"/>
      <c r="BF34"/>
      <c r="BG34"/>
      <c r="BH34"/>
      <c r="BI34"/>
      <c r="BJ34"/>
      <c r="BK34"/>
      <c r="BL34"/>
    </row>
    <row r="35" spans="4:64" ht="14.25" customHeight="1">
      <c r="D35" s="8821" t="s">
        <v>113</v>
      </c>
      <c r="E35" s="8817" t="s">
        <v>756</v>
      </c>
      <c r="F35" s="8817" t="s">
        <v>761</v>
      </c>
      <c r="G35" s="8808" t="s">
        <v>53</v>
      </c>
      <c r="H35" s="1523"/>
      <c r="I35" s="8819"/>
      <c r="J35" s="8778"/>
      <c r="K35" s="1429"/>
      <c r="L35" s="8761"/>
      <c r="M35" s="8761"/>
      <c r="N35" s="1508"/>
      <c r="O35" s="8761"/>
      <c r="P35" s="8778"/>
      <c r="Q35" s="1509"/>
      <c r="R35" s="8761"/>
      <c r="S35" s="8761"/>
      <c r="T35" s="1510"/>
      <c r="U35" s="8761"/>
      <c r="V35" s="8778"/>
      <c r="W35" s="1511"/>
      <c r="X35" s="8761"/>
      <c r="Y35" s="8761"/>
      <c r="Z35" s="1508"/>
      <c r="AA35" s="8761"/>
      <c r="AB35" s="8778"/>
      <c r="AC35" s="1512"/>
      <c r="AD35" s="8761"/>
      <c r="AE35" s="8761"/>
      <c r="AF35" s="1428"/>
      <c r="AG35" s="1428"/>
      <c r="AH35" s="1513"/>
      <c r="AI35" s="1220"/>
      <c r="AJ35"/>
    </row>
    <row r="36" spans="4:64" ht="14.25" customHeight="1">
      <c r="D36" s="8821"/>
      <c r="E36" s="8817"/>
      <c r="F36" s="8817"/>
      <c r="G36" s="8809"/>
      <c r="H36" s="1524"/>
      <c r="I36" s="8820"/>
      <c r="J36" s="8779"/>
      <c r="K36" s="1507"/>
      <c r="L36" s="8762"/>
      <c r="M36" s="8762"/>
      <c r="N36" s="1514"/>
      <c r="O36" s="8762"/>
      <c r="P36" s="8779"/>
      <c r="Q36" s="1515"/>
      <c r="R36" s="8762"/>
      <c r="S36" s="8762"/>
      <c r="T36" s="1516"/>
      <c r="U36" s="8762"/>
      <c r="V36" s="8779"/>
      <c r="W36" s="1517"/>
      <c r="X36" s="8762"/>
      <c r="Y36" s="8762"/>
      <c r="Z36" s="1514"/>
      <c r="AA36" s="8762"/>
      <c r="AB36" s="8779"/>
      <c r="AC36" s="1518"/>
      <c r="AD36" s="8762"/>
      <c r="AE36" s="8762"/>
      <c r="AF36" s="1519"/>
      <c r="AG36" s="1519"/>
      <c r="AH36" s="8815"/>
      <c r="AI36" s="8816"/>
      <c r="AJ36"/>
    </row>
    <row r="37" spans="4:64" ht="14.25" customHeight="1">
      <c r="D37" s="8821"/>
      <c r="E37" s="8817"/>
      <c r="F37" s="8817"/>
      <c r="G37" s="8809"/>
      <c r="H37" s="1524"/>
      <c r="I37" s="8820"/>
      <c r="J37" s="8779"/>
      <c r="K37" s="1507"/>
      <c r="L37" s="8762"/>
      <c r="M37" s="8762"/>
      <c r="N37" s="1514"/>
      <c r="O37" s="8762"/>
      <c r="P37" s="8779"/>
      <c r="Q37" s="1515"/>
      <c r="R37" s="8762"/>
      <c r="S37" s="8762"/>
      <c r="T37" s="1516"/>
      <c r="U37" s="8762"/>
      <c r="V37" s="8779"/>
      <c r="W37" s="1517"/>
      <c r="X37" s="8762"/>
      <c r="Y37" s="8762"/>
      <c r="Z37" s="1427"/>
      <c r="AA37" s="1519"/>
      <c r="AB37" s="8815"/>
      <c r="AC37" s="8815"/>
      <c r="AD37" s="8815"/>
      <c r="AE37" s="8815"/>
      <c r="AF37" s="8815"/>
      <c r="AG37" s="8815"/>
      <c r="AH37" s="8815"/>
      <c r="AI37" s="8816"/>
      <c r="AJ37"/>
    </row>
    <row r="38" spans="4:64" ht="14.25" customHeight="1">
      <c r="D38" s="8821"/>
      <c r="E38" s="8817"/>
      <c r="F38" s="8817"/>
      <c r="G38" s="8809"/>
      <c r="H38" s="1524"/>
      <c r="I38" s="8820"/>
      <c r="J38" s="8779"/>
      <c r="K38" s="1507"/>
      <c r="L38" s="8762"/>
      <c r="M38" s="8762"/>
      <c r="N38" s="1514"/>
      <c r="O38" s="8762"/>
      <c r="P38" s="8779"/>
      <c r="Q38" s="1515"/>
      <c r="R38" s="8762"/>
      <c r="S38" s="8762"/>
      <c r="T38" s="1520"/>
      <c r="U38" s="1521"/>
      <c r="V38" s="8815"/>
      <c r="W38" s="8815"/>
      <c r="X38" s="8815"/>
      <c r="Y38" s="8815"/>
      <c r="Z38" s="8815"/>
      <c r="AA38" s="8815"/>
      <c r="AB38" s="8815"/>
      <c r="AC38" s="8815"/>
      <c r="AD38" s="8815"/>
      <c r="AE38" s="8815"/>
      <c r="AF38" s="8815"/>
      <c r="AG38" s="8815"/>
      <c r="AH38" s="8815"/>
      <c r="AI38" s="8816"/>
      <c r="AJ38"/>
    </row>
    <row r="39" spans="4:64" ht="11.25" customHeight="1">
      <c r="D39" s="8821"/>
      <c r="E39" s="8817"/>
      <c r="F39" s="8817"/>
      <c r="G39" s="8809"/>
      <c r="H39" s="1525"/>
      <c r="I39" s="8820"/>
      <c r="J39" s="8779"/>
      <c r="K39" s="1507"/>
      <c r="L39" s="8762"/>
      <c r="M39" s="8762"/>
      <c r="N39" s="1519"/>
      <c r="O39" s="1519"/>
      <c r="P39" s="8815"/>
      <c r="Q39" s="8815"/>
      <c r="R39" s="8815"/>
      <c r="S39" s="8815"/>
      <c r="T39" s="8815"/>
      <c r="U39" s="8815"/>
      <c r="V39" s="8815"/>
      <c r="W39" s="8815"/>
      <c r="X39" s="8815"/>
      <c r="Y39" s="8815"/>
      <c r="Z39" s="8815"/>
      <c r="AA39" s="8815"/>
      <c r="AB39" s="8815"/>
      <c r="AC39" s="8815"/>
      <c r="AD39" s="8815"/>
      <c r="AE39" s="8815"/>
      <c r="AF39" s="8815"/>
      <c r="AG39" s="8815"/>
      <c r="AH39" s="8815"/>
      <c r="AI39" s="8816"/>
      <c r="AJ39"/>
    </row>
    <row r="40" spans="4:64" s="1479" customFormat="1" ht="11.25" customHeight="1">
      <c r="D40" s="8821"/>
      <c r="E40" s="8817"/>
      <c r="F40" s="8822"/>
      <c r="G40" s="8739"/>
      <c r="H40" s="1522"/>
      <c r="I40" s="1526"/>
      <c r="J40" s="8823"/>
      <c r="K40" s="8823"/>
      <c r="L40" s="8823"/>
      <c r="M40" s="8823"/>
      <c r="N40" s="8823"/>
      <c r="O40" s="8823"/>
      <c r="P40" s="8823"/>
      <c r="Q40" s="8823"/>
      <c r="R40" s="8823"/>
      <c r="S40" s="8823"/>
      <c r="T40" s="8823"/>
      <c r="U40" s="8823"/>
      <c r="V40" s="8823"/>
      <c r="W40" s="8823"/>
      <c r="X40" s="8823"/>
      <c r="Y40" s="8823"/>
      <c r="Z40" s="8823"/>
      <c r="AA40" s="8823"/>
      <c r="AB40" s="8823"/>
      <c r="AC40" s="8823"/>
      <c r="AD40" s="8823"/>
      <c r="AE40" s="8823"/>
      <c r="AF40" s="8823"/>
      <c r="AG40" s="8823"/>
      <c r="AH40" s="8823"/>
      <c r="AI40" s="8824"/>
      <c r="AJ40"/>
      <c r="AK40" s="221"/>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5"/>
    <col min="2" max="2" width="11" style="1555" customWidth="1"/>
    <col min="3" max="3" width="10.5703125" style="1555"/>
    <col min="4" max="4" width="11.85546875" style="1555" customWidth="1"/>
    <col min="5" max="5" width="12.28515625" style="1555" customWidth="1"/>
    <col min="6" max="8" width="12.28515625" style="1812" customWidth="1"/>
    <col min="9" max="9" width="3.7109375" style="1812" customWidth="1"/>
    <col min="10" max="11" width="3.7109375" style="265" customWidth="1"/>
    <col min="12" max="12" width="12.7109375" style="1814"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300"/>
      <c r="K4" s="300"/>
      <c r="L4" s="1200"/>
      <c r="M4" s="286"/>
      <c r="N4" s="286"/>
      <c r="O4" s="433"/>
      <c r="P4" s="433"/>
      <c r="Q4" s="433"/>
      <c r="R4" s="433"/>
      <c r="S4" s="433"/>
      <c r="T4" s="433"/>
      <c r="U4" s="433"/>
      <c r="V4" s="433"/>
    </row>
    <row r="5" spans="6:29" ht="64.5" customHeight="1">
      <c r="J5" s="300"/>
      <c r="K5" s="300"/>
      <c r="L5" s="9134" t="s">
        <v>2561</v>
      </c>
      <c r="M5" s="9134"/>
      <c r="N5" s="9134"/>
      <c r="O5" s="9134"/>
      <c r="P5" s="9134"/>
      <c r="Q5" s="9134"/>
      <c r="R5" s="9134"/>
      <c r="S5" s="9134"/>
      <c r="T5" s="9134"/>
      <c r="U5" s="9134"/>
      <c r="V5" s="1157"/>
    </row>
    <row r="6" spans="6:29" ht="14.25" customHeight="1">
      <c r="J6" s="300"/>
      <c r="K6" s="300"/>
      <c r="L6" s="9135" t="str">
        <f>IF(org=0,"Не определено",org)</f>
        <v>ГУП СК "Ставрополькрайводоканал"</v>
      </c>
      <c r="M6" s="9135"/>
      <c r="N6" s="9135"/>
      <c r="O6" s="9135"/>
      <c r="P6" s="9135"/>
      <c r="Q6" s="9135"/>
      <c r="R6" s="9135"/>
      <c r="S6" s="9135"/>
      <c r="T6" s="9135"/>
      <c r="U6" s="9135"/>
      <c r="V6" s="1157"/>
    </row>
    <row r="7" spans="6:29" ht="14.25" customHeight="1">
      <c r="J7" s="300"/>
      <c r="K7" s="300"/>
      <c r="L7" s="1200"/>
      <c r="M7" s="286"/>
      <c r="N7" s="286"/>
      <c r="O7" s="242"/>
      <c r="P7" s="242"/>
      <c r="Q7" s="242"/>
      <c r="R7" s="242"/>
      <c r="S7" s="242"/>
      <c r="T7" s="242"/>
      <c r="U7" s="242"/>
      <c r="V7" s="242"/>
      <c r="W7" s="433"/>
    </row>
    <row r="8" spans="6:29" s="1771" customFormat="1" ht="45" customHeight="1">
      <c r="F8" s="1163"/>
      <c r="G8" s="1163"/>
      <c r="H8" s="1163"/>
      <c r="L8" s="1201"/>
      <c r="M8" s="209" t="s">
        <v>38</v>
      </c>
      <c r="N8" s="218"/>
      <c r="O8" s="8876" t="str">
        <f>IF(TITLE_NAME_OR_PR_CHANGE="",IF(TITLE_NAME_OR_PR="","",TITLE_NAME_OR_PR),TITLE_NAME_OR_PR_CHANGE)</f>
        <v/>
      </c>
      <c r="P8" s="8876"/>
      <c r="Q8" s="8876"/>
      <c r="R8" s="8876"/>
      <c r="S8" s="8876"/>
      <c r="T8" s="8876"/>
      <c r="U8" s="8876"/>
      <c r="V8" s="248"/>
      <c r="W8" s="248"/>
      <c r="X8" s="196"/>
      <c r="Y8" s="292"/>
      <c r="Z8" s="292"/>
      <c r="AA8" s="292"/>
      <c r="AB8" s="292"/>
      <c r="AC8" s="292"/>
    </row>
    <row r="9" spans="6:29" s="1771" customFormat="1" ht="22.5" customHeight="1">
      <c r="F9" s="1163"/>
      <c r="G9" s="1163"/>
      <c r="H9" s="1163"/>
      <c r="L9" s="1201"/>
      <c r="M9" s="209" t="s">
        <v>886</v>
      </c>
      <c r="N9" s="218"/>
      <c r="O9" s="8876">
        <f>IF(TITLE_DATE_CHANGE_PERIOD="",IF(TITLE_DATE_PR="","",TITLE_DATE_PR),TITLE_DATE_CHANGE_PERIOD)</f>
        <v>45281.411851851852</v>
      </c>
      <c r="P9" s="8876"/>
      <c r="Q9" s="8876"/>
      <c r="R9" s="8876"/>
      <c r="S9" s="8876"/>
      <c r="T9" s="8876"/>
      <c r="U9" s="8876"/>
      <c r="V9" s="248"/>
      <c r="W9" s="248"/>
      <c r="X9" s="196"/>
      <c r="Y9" s="292"/>
      <c r="Z9" s="292"/>
      <c r="AA9" s="292"/>
      <c r="AB9" s="292"/>
      <c r="AC9" s="292"/>
    </row>
    <row r="10" spans="6:29" s="1771" customFormat="1" ht="22.5" customHeight="1">
      <c r="F10" s="1163"/>
      <c r="G10" s="1163"/>
      <c r="H10" s="1163"/>
      <c r="L10" s="1165"/>
      <c r="M10" s="209" t="s">
        <v>887</v>
      </c>
      <c r="N10" s="218"/>
      <c r="O10" s="8876" t="str">
        <f>IF(TITLE_NUMBER_PR_CHANGE="",IF(TITLE_NUMBER_PR="","",TITLE_NUMBER_PR),TITLE_NUMBER_PR_CHANGE)</f>
        <v>06-11/11398</v>
      </c>
      <c r="P10" s="8876"/>
      <c r="Q10" s="8876"/>
      <c r="R10" s="8876"/>
      <c r="S10" s="8876"/>
      <c r="T10" s="8876"/>
      <c r="U10" s="8876"/>
      <c r="V10" s="248"/>
      <c r="W10" s="248"/>
      <c r="X10" s="196"/>
      <c r="Y10" s="292"/>
      <c r="Z10" s="292"/>
      <c r="AA10" s="292"/>
      <c r="AB10" s="292"/>
      <c r="AC10" s="292"/>
    </row>
    <row r="11" spans="6:29" s="1771" customFormat="1" ht="22.5" customHeight="1">
      <c r="F11" s="1163"/>
      <c r="G11" s="1163"/>
      <c r="H11" s="1163"/>
      <c r="L11" s="1165"/>
      <c r="M11" s="209" t="s">
        <v>39</v>
      </c>
      <c r="N11" s="218"/>
      <c r="O11" s="8876" t="str">
        <f>IF(TITLE_IST_PUB_CHANGE="",IF(TITLE_IST_PUB="","",TITLE_IST_PUB),TITLE_IST_PUB_CHANGE)</f>
        <v/>
      </c>
      <c r="P11" s="8876"/>
      <c r="Q11" s="8876"/>
      <c r="R11" s="8876"/>
      <c r="S11" s="8876"/>
      <c r="T11" s="8876"/>
      <c r="U11" s="8876"/>
      <c r="V11" s="248"/>
      <c r="W11" s="248"/>
      <c r="X11" s="196"/>
      <c r="Y11" s="292"/>
      <c r="Z11" s="292"/>
      <c r="AA11" s="292"/>
      <c r="AB11" s="292"/>
      <c r="AC11" s="292"/>
    </row>
    <row r="12" spans="6:29" s="1771" customFormat="1" ht="11.25" hidden="1" customHeight="1">
      <c r="F12" s="1163"/>
      <c r="G12" s="1163"/>
      <c r="H12" s="1163"/>
      <c r="L12" s="9136"/>
      <c r="M12" s="9136"/>
      <c r="N12" s="1211"/>
      <c r="O12" s="248"/>
      <c r="P12" s="248"/>
      <c r="Q12" s="248"/>
      <c r="R12" s="248"/>
      <c r="S12" s="248"/>
      <c r="T12" s="248"/>
      <c r="U12" s="248"/>
      <c r="V12" s="194" t="s">
        <v>890</v>
      </c>
      <c r="Y12" s="292"/>
      <c r="Z12" s="292"/>
      <c r="AA12" s="292"/>
      <c r="AB12" s="292"/>
      <c r="AC12" s="292"/>
    </row>
    <row r="13" spans="6:29" ht="14.25" customHeight="1">
      <c r="J13" s="300"/>
      <c r="K13" s="300"/>
      <c r="L13" s="1200"/>
      <c r="M13" s="286"/>
      <c r="N13" s="1158"/>
      <c r="O13" s="8877"/>
      <c r="P13" s="8877"/>
      <c r="Q13" s="8877"/>
      <c r="R13" s="8877"/>
      <c r="S13" s="8877"/>
      <c r="T13" s="8877"/>
      <c r="U13" s="8877"/>
      <c r="V13" s="8877"/>
    </row>
    <row r="14" spans="6:29" ht="14.25" customHeight="1">
      <c r="J14" s="300"/>
      <c r="K14" s="300"/>
      <c r="L14" s="8753" t="s">
        <v>763</v>
      </c>
      <c r="M14" s="8753"/>
      <c r="N14" s="8753"/>
      <c r="O14" s="8753"/>
      <c r="P14" s="8753"/>
      <c r="Q14" s="8753"/>
      <c r="R14" s="8753"/>
      <c r="S14" s="8753"/>
      <c r="T14" s="8753"/>
      <c r="U14" s="8753"/>
      <c r="V14" s="8753"/>
      <c r="W14" s="8753"/>
      <c r="X14" s="8753" t="s">
        <v>764</v>
      </c>
    </row>
    <row r="15" spans="6:29" ht="14.25" customHeight="1">
      <c r="J15" s="300"/>
      <c r="K15" s="300"/>
      <c r="L15" s="8891" t="s">
        <v>84</v>
      </c>
      <c r="M15" s="8843" t="s">
        <v>891</v>
      </c>
      <c r="N15" s="215"/>
      <c r="O15" s="8892" t="s">
        <v>2562</v>
      </c>
      <c r="P15" s="8893"/>
      <c r="Q15" s="8893"/>
      <c r="R15" s="8893"/>
      <c r="S15" s="8893"/>
      <c r="T15" s="8893"/>
      <c r="U15" s="8894"/>
      <c r="V15" s="8895" t="s">
        <v>893</v>
      </c>
      <c r="W15" s="8898" t="s">
        <v>1518</v>
      </c>
      <c r="X15" s="8753"/>
    </row>
    <row r="16" spans="6:29" ht="33.75" customHeight="1">
      <c r="J16" s="300"/>
      <c r="K16" s="300"/>
      <c r="L16" s="8891"/>
      <c r="M16" s="8843"/>
      <c r="N16" s="942"/>
      <c r="O16" s="8813" t="s">
        <v>896</v>
      </c>
      <c r="P16" s="8813" t="s">
        <v>897</v>
      </c>
      <c r="Q16" s="8724" t="s">
        <v>898</v>
      </c>
      <c r="R16" s="8723"/>
      <c r="S16" s="8724" t="s">
        <v>911</v>
      </c>
      <c r="T16" s="8729"/>
      <c r="U16" s="8723"/>
      <c r="V16" s="8896"/>
      <c r="W16" s="8899"/>
      <c r="X16" s="8753"/>
    </row>
    <row r="17" spans="1:29" ht="33.75" customHeight="1">
      <c r="A17" s="1184" t="s">
        <v>222</v>
      </c>
      <c r="B17" s="1184" t="s">
        <v>223</v>
      </c>
      <c r="C17" s="1184" t="s">
        <v>224</v>
      </c>
      <c r="D17" s="1184" t="s">
        <v>225</v>
      </c>
      <c r="E17" s="1184"/>
      <c r="J17" s="300"/>
      <c r="K17" s="300"/>
      <c r="L17" s="8891"/>
      <c r="M17" s="8843"/>
      <c r="N17" s="216"/>
      <c r="O17" s="8862"/>
      <c r="P17" s="8862"/>
      <c r="Q17" s="1133" t="s">
        <v>907</v>
      </c>
      <c r="R17" s="1133" t="s">
        <v>908</v>
      </c>
      <c r="S17" s="1216" t="s">
        <v>909</v>
      </c>
      <c r="T17" s="8851" t="s">
        <v>910</v>
      </c>
      <c r="U17" s="8853"/>
      <c r="V17" s="8897"/>
      <c r="W17" s="8900"/>
      <c r="X17" s="8753"/>
    </row>
    <row r="18" spans="1:29" s="1561" customFormat="1" ht="11.25" customHeight="1">
      <c r="A18" s="1184"/>
      <c r="B18" s="1184"/>
      <c r="C18" s="1184"/>
      <c r="D18" s="1184"/>
      <c r="E18" s="1184"/>
      <c r="F18" s="1210"/>
      <c r="G18" s="1210"/>
      <c r="H18" s="1210"/>
      <c r="I18" s="1160"/>
      <c r="J18" s="1161"/>
      <c r="K18" s="1176">
        <v>1</v>
      </c>
      <c r="L18" s="1202" t="s">
        <v>95</v>
      </c>
      <c r="M18" s="1177" t="s">
        <v>99</v>
      </c>
      <c r="N18" s="1159" t="str">
        <f ca="1">OFFSET(N18,0,-1)</f>
        <v>2</v>
      </c>
      <c r="O18" s="1213">
        <f ca="1">OFFSET(O18,0,-1)+1</f>
        <v>3</v>
      </c>
      <c r="P18" s="1213"/>
      <c r="Q18" s="1213">
        <f ca="1">OFFSET(Q18,0,-1)+1</f>
        <v>1</v>
      </c>
      <c r="R18" s="1213">
        <f ca="1">OFFSET(R18,0,-1)+1</f>
        <v>2</v>
      </c>
      <c r="S18" s="1213">
        <f ca="1">OFFSET(S18,0,-1)+1</f>
        <v>3</v>
      </c>
      <c r="T18" s="8890">
        <f ca="1">OFFSET(T18,0,-1)+1</f>
        <v>4</v>
      </c>
      <c r="U18" s="8890"/>
      <c r="V18" s="1213">
        <f ca="1">OFFSET(V18,0,-2)+1</f>
        <v>5</v>
      </c>
      <c r="W18" s="1159">
        <f ca="1">OFFSET(W18,0,-1)</f>
        <v>5</v>
      </c>
      <c r="X18" s="1213">
        <f ca="1">OFFSET(X18,0,-1)+1</f>
        <v>6</v>
      </c>
      <c r="Y18" s="435"/>
      <c r="Z18" s="435"/>
      <c r="AA18" s="435"/>
      <c r="AB18" s="435"/>
      <c r="AC18" s="435"/>
    </row>
    <row r="19" spans="1:29" ht="21" customHeight="1">
      <c r="A19" s="1191" t="s">
        <v>2572</v>
      </c>
      <c r="B19" s="1191" t="s">
        <v>2573</v>
      </c>
      <c r="C19" s="1191" t="s">
        <v>2574</v>
      </c>
      <c r="D19" s="1191" t="s">
        <v>2575</v>
      </c>
      <c r="E19" s="1191"/>
      <c r="F19" s="606"/>
      <c r="G19" s="606"/>
      <c r="H19" s="606"/>
      <c r="I19" s="282"/>
      <c r="J19" s="281"/>
      <c r="K19" s="276"/>
      <c r="L19" s="1217" t="e">
        <f>INDEX(PT_DIFFERENTIATION_NUM_NTAR,MATCH(A19,PT_DIFFERENTIATION_NTAR_ID,0))</f>
        <v>#N/A</v>
      </c>
      <c r="M19" s="212" t="s">
        <v>211</v>
      </c>
      <c r="N19" s="214"/>
      <c r="O19" s="9137" t="e">
        <f>INDEX(PT_DIFFERENTIATION_NTAR,MATCH(A19,PT_DIFFERENTIATION_NTAR_ID,0))</f>
        <v>#N/A</v>
      </c>
      <c r="P19" s="9137"/>
      <c r="Q19" s="9137"/>
      <c r="R19" s="9137"/>
      <c r="S19" s="9137"/>
      <c r="T19" s="9137"/>
      <c r="U19" s="9137"/>
      <c r="V19" s="9137"/>
      <c r="W19" s="9137"/>
      <c r="X19" s="1182" t="s">
        <v>861</v>
      </c>
      <c r="Z19" s="424"/>
      <c r="AA19" s="424" t="str">
        <f t="shared" ref="AA19:AA32" si="0">IF(M19="","",M19)</f>
        <v>Наименование тарифа</v>
      </c>
      <c r="AB19" s="424"/>
      <c r="AC19" s="424"/>
    </row>
    <row r="20" spans="1:29" ht="21" customHeight="1">
      <c r="A20" s="1191" t="s">
        <v>2572</v>
      </c>
      <c r="B20" s="1191" t="s">
        <v>2573</v>
      </c>
      <c r="C20" s="1191" t="s">
        <v>2574</v>
      </c>
      <c r="D20" s="1191" t="s">
        <v>2575</v>
      </c>
      <c r="E20" s="1191"/>
      <c r="F20" s="606"/>
      <c r="G20" s="606"/>
      <c r="H20" s="606"/>
      <c r="I20" s="1214"/>
      <c r="J20" s="273"/>
      <c r="K20" s="274"/>
      <c r="L20" s="1217" t="e">
        <f>INDEX(PT_DIFFERENTIATION_NUM_TER,MATCH(B19,PT_DIFFERENTIATION_TER_ID,0))</f>
        <v>#N/A</v>
      </c>
      <c r="M20" s="224" t="s">
        <v>862</v>
      </c>
      <c r="N20" s="214"/>
      <c r="O20" s="9137" t="e">
        <f>INDEX(PT_DIFFERENTIATION_TER,MATCH(B19,PT_DIFFERENTIATION_TER_ID,0))</f>
        <v>#N/A</v>
      </c>
      <c r="P20" s="9137"/>
      <c r="Q20" s="9137"/>
      <c r="R20" s="9137"/>
      <c r="S20" s="9137"/>
      <c r="T20" s="9137"/>
      <c r="U20" s="9137"/>
      <c r="V20" s="9137"/>
      <c r="W20" s="9137"/>
      <c r="X20" s="1182" t="s">
        <v>863</v>
      </c>
      <c r="Z20" s="424"/>
      <c r="AA20" s="424" t="str">
        <f t="shared" si="0"/>
        <v>Территория действия тарифа</v>
      </c>
      <c r="AB20" s="424"/>
      <c r="AC20" s="424"/>
    </row>
    <row r="21" spans="1:29" ht="22.5" customHeight="1">
      <c r="A21" s="1191" t="s">
        <v>2572</v>
      </c>
      <c r="B21" s="1191" t="s">
        <v>2573</v>
      </c>
      <c r="C21" s="1191" t="s">
        <v>2574</v>
      </c>
      <c r="D21" s="1191" t="s">
        <v>2575</v>
      </c>
      <c r="E21" s="1191"/>
      <c r="F21" s="606"/>
      <c r="G21" s="606"/>
      <c r="H21" s="606"/>
      <c r="I21" s="275"/>
      <c r="J21" s="273"/>
      <c r="K21" s="274"/>
      <c r="L21" s="1217" t="e">
        <f>INDEX(PT_DIFFERENTIATION_NUM_CS,MATCH(C19,PT_DIFFERENTIATION_CS_ID,0))</f>
        <v>#N/A</v>
      </c>
      <c r="M21" s="225" t="s">
        <v>864</v>
      </c>
      <c r="N21" s="214"/>
      <c r="O21" s="9137" t="e">
        <f>INDEX(PT_DIFFERENTIATION_CS,MATCH(C19,PT_DIFFERENTIATION_CS_ID,0))</f>
        <v>#N/A</v>
      </c>
      <c r="P21" s="9137"/>
      <c r="Q21" s="9137"/>
      <c r="R21" s="9137"/>
      <c r="S21" s="9137"/>
      <c r="T21" s="9137"/>
      <c r="U21" s="9137"/>
      <c r="V21" s="9137"/>
      <c r="W21" s="9137"/>
      <c r="X21" s="1182" t="s">
        <v>865</v>
      </c>
      <c r="Z21" s="424"/>
      <c r="AA21" s="424" t="str">
        <f t="shared" si="0"/>
        <v xml:space="preserve">Наименование системы теплоснабжения </v>
      </c>
      <c r="AB21" s="424"/>
      <c r="AC21" s="424"/>
    </row>
    <row r="22" spans="1:29" ht="21" customHeight="1">
      <c r="A22" s="1191" t="s">
        <v>2572</v>
      </c>
      <c r="B22" s="1191" t="s">
        <v>2573</v>
      </c>
      <c r="C22" s="1191" t="s">
        <v>2574</v>
      </c>
      <c r="D22" s="1191" t="s">
        <v>2575</v>
      </c>
      <c r="E22" s="1191"/>
      <c r="F22" s="606"/>
      <c r="G22" s="606"/>
      <c r="H22" s="606"/>
      <c r="I22" s="275"/>
      <c r="J22" s="273"/>
      <c r="K22" s="274"/>
      <c r="L22" s="1217" t="e">
        <f>INDEX(PT_DIFFERENTIATION_NUM_IST_TE,MATCH(D19,PT_DIFFERENTIATION_IST_TE_ID,0))</f>
        <v>#N/A</v>
      </c>
      <c r="M22" s="226" t="s">
        <v>866</v>
      </c>
      <c r="N22" s="214"/>
      <c r="O22" s="9137" t="e">
        <f>INDEX(PT_DIFFERENTIATION_IST_TE,MATCH(D19,PT_DIFFERENTIATION_IST_TE_ID,0))</f>
        <v>#N/A</v>
      </c>
      <c r="P22" s="9137"/>
      <c r="Q22" s="9137"/>
      <c r="R22" s="9137"/>
      <c r="S22" s="9137"/>
      <c r="T22" s="9137"/>
      <c r="U22" s="9137"/>
      <c r="V22" s="9137"/>
      <c r="W22" s="9137"/>
      <c r="X22" s="1182" t="s">
        <v>867</v>
      </c>
      <c r="Z22" s="424"/>
      <c r="AA22" s="424" t="str">
        <f t="shared" si="0"/>
        <v xml:space="preserve">Источник тепловой энергии  </v>
      </c>
      <c r="AB22" s="424"/>
      <c r="AC22" s="424"/>
    </row>
    <row r="23" spans="1:29" ht="94.5" customHeight="1">
      <c r="A23" s="1191" t="s">
        <v>2572</v>
      </c>
      <c r="B23" s="1191" t="s">
        <v>2573</v>
      </c>
      <c r="C23" s="1191" t="s">
        <v>2574</v>
      </c>
      <c r="D23" s="1191" t="s">
        <v>2575</v>
      </c>
      <c r="E23" s="1191"/>
      <c r="F23" s="8727" t="e">
        <f>L22&amp;".1"</f>
        <v>#N/A</v>
      </c>
      <c r="I23" s="8882">
        <v>1</v>
      </c>
      <c r="J23" s="1215"/>
      <c r="K23" s="277"/>
      <c r="L23" s="1217" t="e">
        <f>$F$23</f>
        <v>#N/A</v>
      </c>
      <c r="M23" s="200" t="s">
        <v>869</v>
      </c>
      <c r="N23" s="214"/>
      <c r="O23" s="9138"/>
      <c r="P23" s="9138"/>
      <c r="Q23" s="9138"/>
      <c r="R23" s="9138"/>
      <c r="S23" s="9138"/>
      <c r="T23" s="9138"/>
      <c r="U23" s="9138"/>
      <c r="V23" s="9138"/>
      <c r="W23" s="9138"/>
      <c r="X23" s="1182" t="s">
        <v>870</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191" t="s">
        <v>2572</v>
      </c>
      <c r="B24" s="1191" t="s">
        <v>2573</v>
      </c>
      <c r="C24" s="1191" t="s">
        <v>2574</v>
      </c>
      <c r="D24" s="1191" t="s">
        <v>2575</v>
      </c>
      <c r="E24" s="1191"/>
      <c r="F24" s="8727"/>
      <c r="G24" s="8727" t="e">
        <f>F23&amp;".1"</f>
        <v>#N/A</v>
      </c>
      <c r="I24" s="8882"/>
      <c r="J24" s="8882">
        <v>1</v>
      </c>
      <c r="K24" s="278"/>
      <c r="L24" s="1217" t="e">
        <f>$G$24</f>
        <v>#N/A</v>
      </c>
      <c r="M24" s="201" t="s">
        <v>872</v>
      </c>
      <c r="N24" s="214"/>
      <c r="O24" s="9139"/>
      <c r="P24" s="9140"/>
      <c r="Q24" s="9140"/>
      <c r="R24" s="9140"/>
      <c r="S24" s="9140"/>
      <c r="T24" s="9140"/>
      <c r="U24" s="9140"/>
      <c r="V24" s="9140"/>
      <c r="W24" s="9141"/>
      <c r="X24" s="1182" t="s">
        <v>873</v>
      </c>
      <c r="Z24" s="424"/>
      <c r="AA24" s="424" t="str">
        <f t="shared" si="0"/>
        <v>Группа потребителей</v>
      </c>
      <c r="AB24" s="424"/>
      <c r="AC24" s="424"/>
    </row>
    <row r="25" spans="1:29" ht="11.25" customHeight="1">
      <c r="A25" s="1191" t="s">
        <v>2572</v>
      </c>
      <c r="B25" s="1191" t="s">
        <v>2573</v>
      </c>
      <c r="C25" s="1191" t="s">
        <v>2574</v>
      </c>
      <c r="D25" s="1191" t="s">
        <v>2575</v>
      </c>
      <c r="E25" s="1191"/>
      <c r="F25" s="8727"/>
      <c r="G25" s="8727"/>
      <c r="H25" s="8727" t="e">
        <f>G24&amp;".1"</f>
        <v>#N/A</v>
      </c>
      <c r="I25" s="8882"/>
      <c r="J25" s="8882"/>
      <c r="K25" s="278">
        <v>1</v>
      </c>
      <c r="L25" s="1217" t="e">
        <f>$H$25</f>
        <v>#N/A</v>
      </c>
      <c r="M25" s="1183"/>
      <c r="N25" s="214"/>
      <c r="O25" s="666"/>
      <c r="P25" s="246"/>
      <c r="Q25" s="666"/>
      <c r="R25" s="1181"/>
      <c r="S25" s="8886"/>
      <c r="T25" s="8734" t="s">
        <v>63</v>
      </c>
      <c r="U25" s="8886"/>
      <c r="V25" s="8734" t="s">
        <v>53</v>
      </c>
      <c r="W25" s="246"/>
      <c r="X25" s="8878" t="s">
        <v>875</v>
      </c>
      <c r="Y25" s="435" t="e">
        <f ca="1">STRCHECKDATE(O26:W26)</f>
        <v>#NAME?</v>
      </c>
      <c r="Z25" s="424"/>
      <c r="AA25" s="424" t="str">
        <f t="shared" si="0"/>
        <v/>
      </c>
      <c r="AB25" s="424"/>
      <c r="AC25" s="424"/>
    </row>
    <row r="26" spans="1:29" ht="11.25" customHeight="1">
      <c r="A26" s="1191" t="s">
        <v>2572</v>
      </c>
      <c r="B26" s="1191" t="s">
        <v>2573</v>
      </c>
      <c r="C26" s="1191" t="s">
        <v>2574</v>
      </c>
      <c r="D26" s="1191" t="s">
        <v>2575</v>
      </c>
      <c r="E26" s="1191"/>
      <c r="F26" s="8727"/>
      <c r="G26" s="8727"/>
      <c r="H26" s="8727"/>
      <c r="I26" s="8882"/>
      <c r="J26" s="8882"/>
      <c r="K26" s="278"/>
      <c r="L26" s="1218"/>
      <c r="M26" s="214"/>
      <c r="N26" s="214"/>
      <c r="O26" s="246"/>
      <c r="P26" s="246"/>
      <c r="Q26" s="246"/>
      <c r="R26" s="250" t="str">
        <f>S25&amp;"-"&amp;U25</f>
        <v>-</v>
      </c>
      <c r="S26" s="8887"/>
      <c r="T26" s="8734"/>
      <c r="U26" s="8887"/>
      <c r="V26" s="8734"/>
      <c r="W26" s="246"/>
      <c r="X26" s="8879"/>
      <c r="Z26" s="424"/>
      <c r="AA26" s="424" t="str">
        <f t="shared" si="0"/>
        <v/>
      </c>
      <c r="AB26" s="424"/>
      <c r="AC26" s="424"/>
    </row>
    <row r="27" spans="1:29" ht="15" customHeight="1">
      <c r="A27" s="1191" t="s">
        <v>2572</v>
      </c>
      <c r="B27" s="1191" t="s">
        <v>2573</v>
      </c>
      <c r="C27" s="1191" t="s">
        <v>2574</v>
      </c>
      <c r="D27" s="1191" t="s">
        <v>2575</v>
      </c>
      <c r="E27" s="1191"/>
      <c r="F27" s="8727"/>
      <c r="G27" s="8727"/>
      <c r="I27" s="8882"/>
      <c r="J27" s="8882"/>
      <c r="K27" s="277"/>
      <c r="L27" s="1203"/>
      <c r="M27" s="203" t="s">
        <v>876</v>
      </c>
      <c r="N27" s="291"/>
      <c r="O27" s="291"/>
      <c r="P27" s="291"/>
      <c r="Q27" s="291"/>
      <c r="R27" s="291"/>
      <c r="S27" s="291"/>
      <c r="T27" s="291"/>
      <c r="U27" s="291"/>
      <c r="V27" s="291"/>
      <c r="W27" s="245"/>
      <c r="X27" s="8880"/>
      <c r="Z27" s="424"/>
      <c r="AA27" s="424" t="str">
        <f t="shared" si="0"/>
        <v>Добавить вид теплоносителя (параметры теплоносителя)</v>
      </c>
      <c r="AB27" s="424"/>
      <c r="AC27" s="424"/>
    </row>
    <row r="28" spans="1:29" ht="15" customHeight="1">
      <c r="A28" s="1191" t="s">
        <v>2572</v>
      </c>
      <c r="B28" s="1191" t="s">
        <v>2573</v>
      </c>
      <c r="C28" s="1191" t="s">
        <v>2574</v>
      </c>
      <c r="D28" s="1191" t="s">
        <v>2575</v>
      </c>
      <c r="E28" s="1191"/>
      <c r="F28" s="8727"/>
      <c r="I28" s="8882"/>
      <c r="J28" s="1215"/>
      <c r="K28" s="277"/>
      <c r="L28" s="1203"/>
      <c r="M28" s="202" t="s">
        <v>877</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191" t="s">
        <v>2572</v>
      </c>
      <c r="B29" s="1191" t="s">
        <v>2573</v>
      </c>
      <c r="C29" s="1191" t="s">
        <v>2574</v>
      </c>
      <c r="D29" s="1191" t="s">
        <v>2575</v>
      </c>
      <c r="E29" s="1191"/>
      <c r="F29" s="606"/>
      <c r="G29" s="606"/>
      <c r="H29" s="433"/>
      <c r="I29" s="281"/>
      <c r="J29" s="299"/>
      <c r="K29" s="276"/>
      <c r="L29" s="1203"/>
      <c r="M29" s="288" t="s">
        <v>878</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191" t="s">
        <v>2572</v>
      </c>
      <c r="B30" s="1191" t="s">
        <v>2573</v>
      </c>
      <c r="C30" s="1191" t="s">
        <v>2574</v>
      </c>
      <c r="D30" s="1191"/>
      <c r="E30" s="1191" t="s">
        <v>1044</v>
      </c>
      <c r="F30" s="606"/>
      <c r="G30" s="606"/>
      <c r="H30" s="433"/>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191" t="s">
        <v>2572</v>
      </c>
      <c r="B31" s="1191" t="s">
        <v>2573</v>
      </c>
      <c r="C31" s="1191"/>
      <c r="D31" s="1191"/>
      <c r="E31" s="1191" t="s">
        <v>2563</v>
      </c>
      <c r="F31" s="1179"/>
      <c r="G31" s="1179"/>
      <c r="H31" s="433"/>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191" t="s">
        <v>2576</v>
      </c>
      <c r="B32" s="1191"/>
      <c r="C32" s="1191"/>
      <c r="D32" s="1191"/>
      <c r="E32" s="1191" t="s">
        <v>196</v>
      </c>
      <c r="F32" s="1179"/>
      <c r="G32" s="1179"/>
      <c r="H32" s="433"/>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18" customFormat="1" ht="11.25" customHeight="1">
      <c r="A33" s="1191"/>
      <c r="B33" s="1191"/>
      <c r="C33" s="1191"/>
      <c r="D33" s="1191"/>
      <c r="E33" s="1191" t="s">
        <v>706</v>
      </c>
      <c r="F33" s="1192"/>
      <c r="G33" s="1180"/>
      <c r="H33" s="433"/>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0"/>
      <c r="G34" s="1060"/>
      <c r="H34" s="433"/>
      <c r="I34" s="1060"/>
      <c r="J34" s="1060"/>
      <c r="K34" s="1060"/>
      <c r="Y34" s="1060"/>
      <c r="Z34" s="1060"/>
      <c r="AA34" s="1060"/>
      <c r="AB34" s="1060"/>
      <c r="AC34" s="1060"/>
    </row>
    <row r="35" spans="1:29" ht="27" customHeight="1">
      <c r="H35" s="433"/>
      <c r="L35" s="1212" t="s">
        <v>1176</v>
      </c>
      <c r="M35" s="8903" t="s">
        <v>2565</v>
      </c>
      <c r="N35" s="8903"/>
      <c r="O35" s="8903"/>
      <c r="P35" s="8903"/>
      <c r="Q35" s="8903"/>
      <c r="R35" s="8903"/>
      <c r="S35" s="8903"/>
      <c r="T35" s="8903"/>
      <c r="U35" s="8903"/>
      <c r="V35" s="8903"/>
      <c r="W35" s="8903"/>
      <c r="X35" s="8903"/>
    </row>
    <row r="36" spans="1:29" ht="104.25" customHeight="1">
      <c r="F36" s="1227"/>
      <c r="G36" s="1227"/>
      <c r="H36" s="433"/>
      <c r="I36" s="1227"/>
      <c r="M36" s="8903" t="s">
        <v>2566</v>
      </c>
      <c r="N36" s="8903"/>
      <c r="O36" s="8903"/>
      <c r="P36" s="8903"/>
      <c r="Q36" s="8903"/>
      <c r="R36" s="8903"/>
      <c r="S36" s="8903"/>
      <c r="T36" s="8903"/>
      <c r="U36" s="8903"/>
      <c r="V36" s="8903"/>
      <c r="W36" s="8903"/>
      <c r="X36" s="8903"/>
    </row>
    <row r="37" spans="1:29" ht="14.25" customHeight="1">
      <c r="H37" s="433"/>
    </row>
    <row r="38" spans="1:29" ht="14.25" customHeight="1">
      <c r="H38" s="433"/>
    </row>
    <row r="39" spans="1:29" ht="14.25" customHeight="1">
      <c r="H39" s="433"/>
    </row>
    <row r="40" spans="1:29" ht="14.25" customHeight="1">
      <c r="H40" s="43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2"/>
    <col min="7" max="8" width="9.140625" style="434" customWidth="1"/>
    <col min="9" max="9" width="3.7109375" style="1812" customWidth="1"/>
    <col min="10" max="11" width="3.7109375" style="265" customWidth="1"/>
    <col min="12" max="12" width="12.7109375" style="1555" customWidth="1"/>
    <col min="13" max="13" width="47.42578125" style="1555" customWidth="1"/>
    <col min="14" max="14" width="2.7109375" style="1555" hidden="1" customWidth="1"/>
    <col min="15" max="18" width="23.7109375" style="1555" customWidth="1"/>
    <col min="19" max="19" width="11.7109375" style="1555" customWidth="1"/>
    <col min="20" max="20" width="3.7109375" style="1555" customWidth="1"/>
    <col min="21" max="21" width="11.7109375" style="1555" customWidth="1"/>
    <col min="22" max="22" width="8.5703125" style="1555" hidden="1" customWidth="1"/>
    <col min="23" max="23" width="4.7109375" style="1555" customWidth="1"/>
    <col min="24" max="24" width="115.7109375" style="1555" customWidth="1"/>
    <col min="25" max="29" width="10.5703125" style="1562"/>
  </cols>
  <sheetData>
    <row r="1" spans="1:29" ht="14.25" hidden="1" customHeight="1"/>
    <row r="2" spans="1:29" ht="14.25" hidden="1" customHeight="1"/>
    <row r="3" spans="1:29" ht="14.25" hidden="1" customHeight="1"/>
    <row r="4" spans="1:29" ht="14.25" customHeight="1">
      <c r="J4" s="300"/>
      <c r="K4" s="300"/>
      <c r="L4" s="286"/>
      <c r="M4" s="286"/>
      <c r="N4" s="286"/>
      <c r="O4" s="433"/>
      <c r="P4" s="433"/>
      <c r="Q4" s="433"/>
      <c r="R4" s="433"/>
      <c r="S4" s="433"/>
      <c r="T4" s="433"/>
      <c r="U4" s="433"/>
      <c r="V4" s="286"/>
    </row>
    <row r="5" spans="1:29" ht="14.25" customHeight="1">
      <c r="J5" s="300"/>
      <c r="K5" s="300"/>
      <c r="L5" s="9142" t="s">
        <v>2577</v>
      </c>
      <c r="M5" s="9142"/>
      <c r="N5" s="9142"/>
      <c r="O5" s="9142"/>
      <c r="P5" s="9142"/>
      <c r="Q5" s="9142"/>
      <c r="R5" s="9142"/>
      <c r="S5" s="9142"/>
      <c r="T5" s="9142"/>
      <c r="U5" s="192"/>
      <c r="V5" s="192"/>
    </row>
    <row r="6" spans="1:29" ht="14.25" customHeight="1">
      <c r="J6" s="300"/>
      <c r="K6" s="300"/>
      <c r="L6" s="286"/>
      <c r="M6" s="286"/>
      <c r="N6" s="286"/>
      <c r="O6" s="242"/>
      <c r="P6" s="242"/>
      <c r="Q6" s="242"/>
      <c r="R6" s="242"/>
      <c r="S6" s="242"/>
      <c r="T6" s="242"/>
      <c r="U6" s="286"/>
    </row>
    <row r="7" spans="1:29" s="1771" customFormat="1" ht="22.5" customHeight="1">
      <c r="A7" s="292"/>
      <c r="B7" s="292"/>
      <c r="C7" s="292"/>
      <c r="D7" s="292"/>
      <c r="E7" s="292"/>
      <c r="F7" s="292"/>
      <c r="G7" s="292"/>
      <c r="H7" s="292"/>
      <c r="L7" s="193"/>
      <c r="M7" s="209" t="s">
        <v>38</v>
      </c>
      <c r="N7" s="218"/>
      <c r="O7" s="9143" t="e">
        <f>IF(NameOrPr_ch="",IF(NameOrPr="","",NameOrPr),NameOrPr_ch)</f>
        <v>#NAME?</v>
      </c>
      <c r="P7" s="9144"/>
      <c r="Q7" s="9144"/>
      <c r="R7" s="9144"/>
      <c r="S7" s="9144"/>
      <c r="T7" s="9145"/>
      <c r="U7" s="1162"/>
      <c r="Y7" s="292"/>
      <c r="Z7" s="292"/>
      <c r="AA7" s="292"/>
      <c r="AB7" s="292"/>
      <c r="AC7" s="292"/>
    </row>
    <row r="8" spans="1:29" s="1771" customFormat="1" ht="18.75" customHeight="1">
      <c r="A8" s="292"/>
      <c r="B8" s="292"/>
      <c r="C8" s="292"/>
      <c r="D8" s="292"/>
      <c r="E8" s="292"/>
      <c r="F8" s="292"/>
      <c r="G8" s="292"/>
      <c r="H8" s="292"/>
      <c r="L8" s="193"/>
      <c r="M8" s="209" t="s">
        <v>886</v>
      </c>
      <c r="N8" s="218"/>
      <c r="O8" s="9143" t="e">
        <f>IF(datePr_ch="",IF(datePr="","",datePr),datePr_ch)</f>
        <v>#NAME?</v>
      </c>
      <c r="P8" s="9144"/>
      <c r="Q8" s="9144"/>
      <c r="R8" s="9144"/>
      <c r="S8" s="9144"/>
      <c r="T8" s="9145"/>
      <c r="U8" s="1162"/>
      <c r="Y8" s="292"/>
      <c r="Z8" s="292"/>
      <c r="AA8" s="292"/>
      <c r="AB8" s="292"/>
      <c r="AC8" s="292"/>
    </row>
    <row r="9" spans="1:29" s="1771" customFormat="1" ht="18.75" customHeight="1">
      <c r="A9" s="292"/>
      <c r="B9" s="292"/>
      <c r="C9" s="292"/>
      <c r="D9" s="292"/>
      <c r="E9" s="292"/>
      <c r="F9" s="292"/>
      <c r="G9" s="292"/>
      <c r="H9" s="292"/>
      <c r="L9" s="244"/>
      <c r="M9" s="209" t="s">
        <v>887</v>
      </c>
      <c r="N9" s="218"/>
      <c r="O9" s="9143" t="e">
        <f>IF(numberPr_ch="",IF(numberPr="","",numberPr),numberPr_ch)</f>
        <v>#NAME?</v>
      </c>
      <c r="P9" s="9144"/>
      <c r="Q9" s="9144"/>
      <c r="R9" s="9144"/>
      <c r="S9" s="9144"/>
      <c r="T9" s="9145"/>
      <c r="U9" s="1162"/>
      <c r="Y9" s="292"/>
      <c r="Z9" s="292"/>
      <c r="AA9" s="292"/>
      <c r="AB9" s="292"/>
      <c r="AC9" s="292"/>
    </row>
    <row r="10" spans="1:29" s="1771" customFormat="1" ht="18.75" customHeight="1">
      <c r="A10" s="292"/>
      <c r="B10" s="292"/>
      <c r="C10" s="292"/>
      <c r="D10" s="292"/>
      <c r="E10" s="292"/>
      <c r="F10" s="292"/>
      <c r="G10" s="292"/>
      <c r="H10" s="292"/>
      <c r="L10" s="244"/>
      <c r="M10" s="209" t="s">
        <v>39</v>
      </c>
      <c r="N10" s="218"/>
      <c r="O10" s="9143" t="e">
        <f>IF(IstPub_ch="",IF(IstPub="","",IstPub),IstPub_ch)</f>
        <v>#NAME?</v>
      </c>
      <c r="P10" s="9144"/>
      <c r="Q10" s="9144"/>
      <c r="R10" s="9144"/>
      <c r="S10" s="9144"/>
      <c r="T10" s="9145"/>
      <c r="U10" s="1162"/>
      <c r="Y10" s="292"/>
      <c r="Z10" s="292"/>
      <c r="AA10" s="292"/>
      <c r="AB10" s="292"/>
      <c r="AC10" s="292"/>
    </row>
    <row r="11" spans="1:29" s="1771" customFormat="1" ht="18.75" hidden="1" customHeight="1">
      <c r="A11" s="1166"/>
      <c r="B11" s="1166"/>
      <c r="C11" s="1166"/>
      <c r="D11" s="1166"/>
      <c r="E11" s="1166"/>
      <c r="F11" s="1166"/>
      <c r="G11" s="1166"/>
      <c r="H11" s="1166"/>
      <c r="L11" s="244"/>
      <c r="M11" s="241"/>
      <c r="O11" s="1167"/>
      <c r="P11" s="1167"/>
      <c r="Q11" s="292" t="s">
        <v>2578</v>
      </c>
      <c r="R11" s="292" t="s">
        <v>2579</v>
      </c>
      <c r="S11" s="1167"/>
      <c r="T11" s="1167"/>
      <c r="U11" s="1162"/>
      <c r="Y11" s="1166"/>
      <c r="Z11" s="1166"/>
      <c r="AA11" s="1166"/>
      <c r="AB11" s="1166"/>
      <c r="AC11" s="1166"/>
    </row>
    <row r="12" spans="1:29" s="1771" customFormat="1" ht="11.25" hidden="1" customHeight="1">
      <c r="A12" s="292"/>
      <c r="B12" s="292"/>
      <c r="C12" s="292"/>
      <c r="D12" s="292"/>
      <c r="E12" s="292"/>
      <c r="F12" s="292"/>
      <c r="G12" s="292"/>
      <c r="H12" s="292"/>
      <c r="L12" s="9136"/>
      <c r="M12" s="9136"/>
      <c r="N12" s="1129"/>
      <c r="O12" s="248"/>
      <c r="P12" s="248"/>
      <c r="Q12" s="248"/>
      <c r="R12" s="248"/>
      <c r="S12" s="248"/>
      <c r="T12" s="248"/>
      <c r="U12" s="1165"/>
      <c r="V12" s="194" t="s">
        <v>890</v>
      </c>
      <c r="Y12" s="292"/>
      <c r="Z12" s="292"/>
      <c r="AA12" s="292"/>
      <c r="AB12" s="292"/>
      <c r="AC12" s="292"/>
    </row>
    <row r="13" spans="1:29" ht="14.25" customHeight="1">
      <c r="J13" s="300"/>
      <c r="K13" s="300"/>
      <c r="L13" s="286"/>
      <c r="M13" s="286"/>
      <c r="N13" s="286"/>
      <c r="O13" s="1168"/>
      <c r="P13" s="1168"/>
      <c r="Q13" s="9146"/>
      <c r="R13" s="9146"/>
      <c r="S13" s="9146"/>
      <c r="T13" s="9146"/>
      <c r="U13" s="9146"/>
      <c r="V13" s="9146"/>
    </row>
    <row r="14" spans="1:29" ht="14.25" customHeight="1">
      <c r="J14" s="300"/>
      <c r="K14" s="300"/>
      <c r="L14" s="8753" t="s">
        <v>763</v>
      </c>
      <c r="M14" s="8753"/>
      <c r="N14" s="8753"/>
      <c r="O14" s="8753"/>
      <c r="P14" s="8753"/>
      <c r="Q14" s="8753"/>
      <c r="R14" s="8753"/>
      <c r="S14" s="8753"/>
      <c r="T14" s="8753"/>
      <c r="U14" s="8753"/>
      <c r="V14" s="8753"/>
      <c r="W14" s="8753"/>
      <c r="X14" s="8753" t="s">
        <v>764</v>
      </c>
    </row>
    <row r="15" spans="1:29" ht="14.25" customHeight="1">
      <c r="J15" s="300"/>
      <c r="K15" s="300"/>
      <c r="L15" s="8843" t="s">
        <v>84</v>
      </c>
      <c r="M15" s="8843" t="s">
        <v>2580</v>
      </c>
      <c r="N15" s="1128"/>
      <c r="O15" s="8843" t="s">
        <v>2581</v>
      </c>
      <c r="P15" s="8842" t="s">
        <v>2582</v>
      </c>
      <c r="Q15" s="8842" t="s">
        <v>2562</v>
      </c>
      <c r="R15" s="8842"/>
      <c r="S15" s="8842"/>
      <c r="T15" s="8842"/>
      <c r="U15" s="8842"/>
      <c r="V15" s="8843" t="s">
        <v>893</v>
      </c>
      <c r="W15" s="9147" t="s">
        <v>1518</v>
      </c>
      <c r="X15" s="8753"/>
    </row>
    <row r="16" spans="1:29" ht="25.5" customHeight="1">
      <c r="J16" s="300"/>
      <c r="K16" s="300"/>
      <c r="L16" s="8843"/>
      <c r="M16" s="8843"/>
      <c r="N16" s="1128"/>
      <c r="O16" s="8843"/>
      <c r="P16" s="8842"/>
      <c r="Q16" s="8842" t="s">
        <v>2583</v>
      </c>
      <c r="R16" s="8842"/>
      <c r="S16" s="8753" t="s">
        <v>911</v>
      </c>
      <c r="T16" s="8753"/>
      <c r="U16" s="8753"/>
      <c r="V16" s="8843"/>
      <c r="W16" s="9147"/>
      <c r="X16" s="8753"/>
    </row>
    <row r="17" spans="1:29" ht="14.25" customHeight="1">
      <c r="J17" s="300"/>
      <c r="K17" s="300"/>
      <c r="L17" s="8843"/>
      <c r="M17" s="8843"/>
      <c r="N17" s="1128"/>
      <c r="O17" s="8843"/>
      <c r="P17" s="8842"/>
      <c r="Q17" s="1128" t="s">
        <v>940</v>
      </c>
      <c r="R17" s="1128" t="s">
        <v>941</v>
      </c>
      <c r="S17" s="1132" t="s">
        <v>909</v>
      </c>
      <c r="T17" s="8786" t="s">
        <v>910</v>
      </c>
      <c r="U17" s="8786"/>
      <c r="V17" s="8843"/>
      <c r="W17" s="9147"/>
      <c r="X17" s="8753"/>
    </row>
    <row r="18" spans="1:29" ht="14.25" customHeight="1">
      <c r="J18" s="300"/>
      <c r="K18" s="206">
        <v>1</v>
      </c>
      <c r="L18" s="374" t="s">
        <v>95</v>
      </c>
      <c r="M18" s="374" t="s">
        <v>99</v>
      </c>
      <c r="N18" s="1164" t="s">
        <v>99</v>
      </c>
      <c r="O18" s="1130">
        <f t="shared" ref="O18:T18" ca="1" si="0">OFFSET(O18,0,-1)+1</f>
        <v>3</v>
      </c>
      <c r="P18" s="1130">
        <f t="shared" ca="1" si="0"/>
        <v>4</v>
      </c>
      <c r="Q18" s="1130">
        <f t="shared" ca="1" si="0"/>
        <v>5</v>
      </c>
      <c r="R18" s="1130">
        <f t="shared" ca="1" si="0"/>
        <v>6</v>
      </c>
      <c r="S18" s="1130">
        <f t="shared" ca="1" si="0"/>
        <v>7</v>
      </c>
      <c r="T18" s="9148">
        <f t="shared" ca="1" si="0"/>
        <v>8</v>
      </c>
      <c r="U18" s="9148"/>
      <c r="V18" s="1130">
        <f ca="1">OFFSET(V18,0,-2)+1</f>
        <v>9</v>
      </c>
      <c r="X18" s="1130">
        <f ca="1">OFFSET(X18,0,-2)+1</f>
        <v>10</v>
      </c>
    </row>
    <row r="19" spans="1:29" ht="22.5" customHeight="1">
      <c r="A19" s="8882">
        <v>1</v>
      </c>
      <c r="B19" s="442"/>
      <c r="C19" s="442"/>
      <c r="D19" s="442"/>
      <c r="E19" s="442"/>
      <c r="F19" s="442"/>
      <c r="G19" s="307"/>
      <c r="H19" s="307"/>
      <c r="I19" s="282"/>
      <c r="J19" s="300"/>
      <c r="K19" s="300"/>
      <c r="L19" s="1137" t="e">
        <f ca="1">MERGEVALUE(A19)</f>
        <v>#NAME?</v>
      </c>
      <c r="M19" s="212" t="s">
        <v>211</v>
      </c>
      <c r="N19" s="231"/>
      <c r="O19" s="9062"/>
      <c r="P19" s="9062"/>
      <c r="Q19" s="9062"/>
      <c r="R19" s="9062"/>
      <c r="S19" s="9062"/>
      <c r="T19" s="9062"/>
      <c r="U19" s="9062"/>
      <c r="V19" s="9062"/>
      <c r="W19" s="9062"/>
      <c r="X19" s="266" t="s">
        <v>861</v>
      </c>
    </row>
    <row r="20" spans="1:29" ht="22.5" customHeight="1">
      <c r="A20" s="8882"/>
      <c r="B20" s="8882">
        <v>1</v>
      </c>
      <c r="C20" s="442"/>
      <c r="D20" s="442"/>
      <c r="E20" s="442"/>
      <c r="F20" s="442"/>
      <c r="G20" s="309"/>
      <c r="H20" s="1131"/>
      <c r="I20" s="284"/>
      <c r="J20" s="1138"/>
      <c r="K20" s="1060"/>
      <c r="L20" s="1137" t="e">
        <f ca="1">MERGEVALUE(A20)&amp;"."&amp;MERGEVALUE(B20)</f>
        <v>#NAME?</v>
      </c>
      <c r="M20" s="224" t="s">
        <v>862</v>
      </c>
      <c r="N20" s="231"/>
      <c r="O20" s="9062"/>
      <c r="P20" s="9062"/>
      <c r="Q20" s="9062"/>
      <c r="R20" s="9062"/>
      <c r="S20" s="9062"/>
      <c r="T20" s="9062"/>
      <c r="U20" s="9062"/>
      <c r="V20" s="9062"/>
      <c r="W20" s="9062"/>
      <c r="X20" s="266" t="s">
        <v>863</v>
      </c>
    </row>
    <row r="21" spans="1:29" ht="22.5" customHeight="1">
      <c r="A21" s="8882"/>
      <c r="B21" s="8882"/>
      <c r="C21" s="8882">
        <v>1</v>
      </c>
      <c r="D21" s="442"/>
      <c r="E21" s="442"/>
      <c r="F21" s="442"/>
      <c r="G21" s="309"/>
      <c r="H21" s="1131"/>
      <c r="I21" s="285"/>
      <c r="J21" s="1138"/>
      <c r="K21" s="1060"/>
      <c r="L21" s="1137" t="e">
        <f ca="1">MERGEVALUE(A21)&amp;"."&amp;MERGEVALUE(B21)&amp;"."&amp;MERGEVALUE(C21)</f>
        <v>#NAME?</v>
      </c>
      <c r="M21" s="225" t="s">
        <v>864</v>
      </c>
      <c r="N21" s="231"/>
      <c r="O21" s="9062"/>
      <c r="P21" s="9062"/>
      <c r="Q21" s="9062"/>
      <c r="R21" s="9062"/>
      <c r="S21" s="9062"/>
      <c r="T21" s="9062"/>
      <c r="U21" s="9062"/>
      <c r="V21" s="9062"/>
      <c r="W21" s="9062"/>
      <c r="X21" s="266" t="s">
        <v>865</v>
      </c>
    </row>
    <row r="22" spans="1:29" ht="14.25" customHeight="1">
      <c r="A22" s="8882"/>
      <c r="B22" s="8882"/>
      <c r="C22" s="8882"/>
      <c r="D22" s="8882">
        <v>1</v>
      </c>
      <c r="E22" s="442"/>
      <c r="F22" s="442"/>
      <c r="G22" s="309"/>
      <c r="H22" s="1131"/>
      <c r="I22" s="285"/>
      <c r="J22" s="283"/>
      <c r="K22" s="1060"/>
      <c r="L22" s="1137" t="e">
        <f ca="1">MERGEVALUE(A22)&amp;"."&amp;MERGEVALUE(B22)&amp;"."&amp;MERGEVALUE(C22)&amp;"."&amp;MERGEVALUE(D22)</f>
        <v>#NAME?</v>
      </c>
      <c r="M22" s="226" t="s">
        <v>866</v>
      </c>
      <c r="N22" s="231"/>
      <c r="O22" s="9062"/>
      <c r="P22" s="9062"/>
      <c r="Q22" s="9062"/>
      <c r="R22" s="9062"/>
      <c r="S22" s="9062"/>
      <c r="T22" s="9062"/>
      <c r="U22" s="9062"/>
      <c r="V22" s="9062"/>
      <c r="W22" s="9062"/>
      <c r="X22" s="259" t="s">
        <v>2584</v>
      </c>
    </row>
    <row r="23" spans="1:29" ht="22.5" customHeight="1">
      <c r="A23" s="8882"/>
      <c r="B23" s="8882"/>
      <c r="C23" s="8882"/>
      <c r="D23" s="8882"/>
      <c r="E23" s="442">
        <v>1</v>
      </c>
      <c r="F23" s="442"/>
      <c r="G23" s="309"/>
      <c r="H23" s="1131"/>
      <c r="I23" s="285"/>
      <c r="J23" s="283"/>
      <c r="K23" s="376"/>
      <c r="L23" s="1137" t="e">
        <f ca="1">MERGEVALUE(A23)&amp;"."&amp;MERGEVALUE(B23)&amp;"."&amp;MERGEVALUE(C23)&amp;"."&amp;MERGEVALUE(D23)&amp;"."&amp;MERGEVALUE(E23)</f>
        <v>#NAME?</v>
      </c>
      <c r="M23" s="302"/>
      <c r="N23" s="1134"/>
      <c r="O23" s="304"/>
      <c r="P23" s="305"/>
      <c r="Q23" s="219"/>
      <c r="R23" s="219"/>
      <c r="S23" s="1653"/>
      <c r="T23" s="1127" t="s">
        <v>53</v>
      </c>
      <c r="U23" s="1170"/>
      <c r="V23" s="1127" t="s">
        <v>53</v>
      </c>
      <c r="W23" s="1171"/>
      <c r="X23" s="8798" t="s">
        <v>2585</v>
      </c>
      <c r="Y23" s="435" t="e">
        <f ca="1">STRCHECKDATETWO(N23:W23)</f>
        <v>#NAME?</v>
      </c>
    </row>
    <row r="24" spans="1:29" ht="14.25" hidden="1" customHeight="1">
      <c r="A24" s="8882"/>
      <c r="B24" s="8882"/>
      <c r="C24" s="8882"/>
      <c r="D24" s="8882"/>
      <c r="E24" s="442"/>
      <c r="F24" s="442"/>
      <c r="G24" s="309"/>
      <c r="H24" s="1131"/>
      <c r="I24" s="285"/>
      <c r="J24" s="283"/>
      <c r="K24" s="376"/>
      <c r="L24" s="1136"/>
      <c r="M24" s="227"/>
      <c r="N24" s="214"/>
      <c r="O24" s="214"/>
      <c r="P24" s="214"/>
      <c r="Q24" s="214"/>
      <c r="R24" s="250" t="str">
        <f>S23&amp;"-"&amp;U23</f>
        <v>-</v>
      </c>
      <c r="S24" s="235"/>
      <c r="T24" s="232"/>
      <c r="U24" s="235"/>
      <c r="V24" s="214"/>
      <c r="W24" s="1172"/>
      <c r="X24" s="8799"/>
    </row>
    <row r="25" spans="1:29" ht="14.25" customHeight="1">
      <c r="A25" s="8882"/>
      <c r="B25" s="8882"/>
      <c r="C25" s="8882"/>
      <c r="D25" s="8882"/>
      <c r="E25" s="442"/>
      <c r="F25" s="442"/>
      <c r="G25" s="309"/>
      <c r="H25" s="1131"/>
      <c r="I25" s="285"/>
      <c r="J25" s="283"/>
      <c r="K25" s="376"/>
      <c r="L25" s="223"/>
      <c r="M25" s="288" t="s">
        <v>929</v>
      </c>
      <c r="N25" s="287"/>
      <c r="O25" s="243"/>
      <c r="P25" s="243"/>
      <c r="Q25" s="243"/>
      <c r="R25" s="243"/>
      <c r="S25" s="247"/>
      <c r="T25" s="291"/>
      <c r="U25" s="290"/>
      <c r="V25" s="287"/>
      <c r="W25" s="287"/>
      <c r="X25" s="8800"/>
    </row>
    <row r="26" spans="1:29" s="1818" customFormat="1" ht="14.25" customHeight="1">
      <c r="A26" s="8882"/>
      <c r="B26" s="8882"/>
      <c r="C26" s="8882"/>
      <c r="D26" s="308"/>
      <c r="E26" s="308"/>
      <c r="F26" s="308"/>
      <c r="G26" s="309"/>
      <c r="H26" s="308"/>
      <c r="I26" s="285"/>
      <c r="J26" s="299"/>
      <c r="K26" s="301"/>
      <c r="L26" s="223"/>
      <c r="M26" s="296" t="s">
        <v>1044</v>
      </c>
      <c r="N26" s="287"/>
      <c r="O26" s="243"/>
      <c r="P26" s="243"/>
      <c r="Q26" s="243"/>
      <c r="R26" s="243"/>
      <c r="S26" s="247"/>
      <c r="T26" s="291"/>
      <c r="U26" s="290"/>
      <c r="V26" s="287"/>
      <c r="W26" s="291"/>
      <c r="X26" s="1173"/>
      <c r="Y26" s="306"/>
      <c r="Z26" s="306"/>
      <c r="AA26" s="306"/>
      <c r="AB26" s="306"/>
      <c r="AC26" s="306"/>
    </row>
    <row r="27" spans="1:29" s="1818" customFormat="1" ht="14.25" customHeight="1">
      <c r="A27" s="8882"/>
      <c r="B27" s="8882"/>
      <c r="C27" s="308"/>
      <c r="D27" s="308"/>
      <c r="E27" s="308"/>
      <c r="F27" s="308"/>
      <c r="G27" s="309"/>
      <c r="H27" s="308"/>
      <c r="I27" s="281"/>
      <c r="J27" s="299"/>
      <c r="K27" s="301"/>
      <c r="L27" s="223"/>
      <c r="M27" s="287" t="s">
        <v>2563</v>
      </c>
      <c r="N27" s="287"/>
      <c r="O27" s="243"/>
      <c r="P27" s="243"/>
      <c r="Q27" s="243"/>
      <c r="R27" s="243"/>
      <c r="S27" s="247"/>
      <c r="T27" s="291"/>
      <c r="U27" s="290"/>
      <c r="V27" s="287"/>
      <c r="W27" s="291"/>
      <c r="X27" s="245"/>
      <c r="Y27" s="306"/>
      <c r="Z27" s="306"/>
      <c r="AA27" s="306"/>
      <c r="AB27" s="306"/>
      <c r="AC27" s="306"/>
    </row>
    <row r="28" spans="1:29" s="1818" customFormat="1" ht="14.25" customHeight="1">
      <c r="A28" s="8882"/>
      <c r="B28" s="308"/>
      <c r="C28" s="308"/>
      <c r="D28" s="308"/>
      <c r="E28" s="308"/>
      <c r="F28" s="308"/>
      <c r="G28" s="309"/>
      <c r="H28" s="308"/>
      <c r="I28" s="281"/>
      <c r="J28" s="299"/>
      <c r="K28" s="301"/>
      <c r="L28" s="223"/>
      <c r="M28" s="344" t="s">
        <v>196</v>
      </c>
      <c r="N28" s="287"/>
      <c r="O28" s="243"/>
      <c r="P28" s="243"/>
      <c r="Q28" s="243"/>
      <c r="R28" s="243"/>
      <c r="S28" s="247"/>
      <c r="T28" s="291"/>
      <c r="U28" s="290"/>
      <c r="V28" s="287"/>
      <c r="W28" s="291"/>
      <c r="X28" s="245"/>
      <c r="Y28" s="306"/>
      <c r="Z28" s="306"/>
      <c r="AA28" s="306"/>
      <c r="AB28" s="306"/>
      <c r="AC28" s="306"/>
    </row>
    <row r="29" spans="1:29" s="1818" customFormat="1" ht="14.25" customHeight="1">
      <c r="G29" s="289"/>
      <c r="H29" s="301"/>
      <c r="I29" s="298"/>
      <c r="J29" s="299"/>
      <c r="L29" s="223"/>
      <c r="M29" s="345" t="s">
        <v>706</v>
      </c>
      <c r="N29" s="287"/>
      <c r="O29" s="243"/>
      <c r="P29" s="243"/>
      <c r="Q29" s="243"/>
      <c r="R29" s="243"/>
      <c r="S29" s="247"/>
      <c r="T29" s="291"/>
      <c r="U29" s="290"/>
      <c r="V29" s="287"/>
      <c r="W29" s="291"/>
      <c r="X29" s="245"/>
      <c r="Y29" s="306"/>
      <c r="Z29" s="306"/>
      <c r="AA29" s="306"/>
      <c r="AB29" s="306"/>
      <c r="AC29" s="306"/>
    </row>
    <row r="31" spans="1:29" ht="14.25" customHeight="1">
      <c r="L31" s="1">
        <v>1</v>
      </c>
      <c r="M31" s="8903" t="s">
        <v>2586</v>
      </c>
      <c r="N31" s="8903"/>
      <c r="O31" s="8903"/>
      <c r="P31" s="8903"/>
      <c r="Q31" s="8903"/>
      <c r="R31" s="8903"/>
      <c r="S31" s="8903"/>
      <c r="T31" s="8903"/>
      <c r="U31" s="8903"/>
      <c r="V31" s="8903"/>
      <c r="W31" s="8903"/>
      <c r="X31" s="8903"/>
      <c r="Y31" s="1174"/>
      <c r="Z31" s="293"/>
      <c r="AA31" s="293"/>
      <c r="AB31" s="293"/>
      <c r="AC31" s="293"/>
    </row>
    <row r="32" spans="1:29" ht="14.25" customHeight="1">
      <c r="M32" s="1175"/>
      <c r="N32" s="1175"/>
      <c r="O32" s="1175"/>
      <c r="P32" s="1175"/>
      <c r="Q32" s="1175"/>
      <c r="R32" s="1175"/>
      <c r="S32" s="1175"/>
      <c r="T32" s="1175"/>
      <c r="U32" s="1175"/>
      <c r="V32" s="1175"/>
      <c r="W32" s="1175"/>
      <c r="X32" s="1175"/>
      <c r="Y32" s="434"/>
      <c r="Z32" s="434"/>
      <c r="AA32" s="434"/>
      <c r="AB32" s="434"/>
      <c r="AC32" s="434"/>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6" hidden="1" customWidth="1"/>
    <col min="2" max="2" width="15" style="425" hidden="1" customWidth="1"/>
    <col min="3" max="3" width="3.7109375" style="379" customWidth="1"/>
    <col min="4" max="4" width="6.85546875" style="380" customWidth="1"/>
    <col min="5" max="5" width="52.28515625" style="379" customWidth="1"/>
    <col min="6" max="6" width="48.85546875" style="379" customWidth="1"/>
    <col min="7" max="7" width="121.7109375" style="379" customWidth="1"/>
    <col min="8" max="8" width="9.140625" style="379"/>
    <col min="9" max="9" width="65" style="379" customWidth="1"/>
  </cols>
  <sheetData>
    <row r="1" spans="1:9" ht="11.25" hidden="1" customHeight="1">
      <c r="A1" s="1606" t="s">
        <v>762</v>
      </c>
    </row>
    <row r="2" spans="1:9" ht="11.25" hidden="1" customHeight="1"/>
    <row r="3" spans="1:9" s="401" customFormat="1" ht="11.25" customHeight="1">
      <c r="A3" s="1606"/>
      <c r="B3" s="425"/>
      <c r="D3" s="402"/>
    </row>
    <row r="4" spans="1:9" ht="25.5" customHeight="1">
      <c r="D4" s="8788" t="str">
        <f>ORG_INFO_NAME_FORM</f>
        <v>Форма 1. Информация об организации, осуществляющей холодное водоснабжение (общая информация)</v>
      </c>
      <c r="E4" s="8789"/>
      <c r="F4" s="8790"/>
      <c r="I4" s="632"/>
    </row>
    <row r="5" spans="1:9" ht="17.25" customHeight="1">
      <c r="D5" s="8814" t="str">
        <f>IF(org=0,"Не определено",org)</f>
        <v>ГУП СК "Ставрополькрайводоканал"</v>
      </c>
      <c r="E5" s="8814"/>
      <c r="F5" s="8814"/>
      <c r="I5" s="632"/>
    </row>
    <row r="6" spans="1:9" s="401" customFormat="1" ht="11.25" customHeight="1">
      <c r="A6" s="1606"/>
      <c r="B6" s="425"/>
      <c r="D6" s="631"/>
      <c r="E6" s="631"/>
      <c r="F6" s="667"/>
      <c r="G6" s="631"/>
    </row>
    <row r="7" spans="1:9" ht="11.25" hidden="1" customHeight="1">
      <c r="A7" s="381"/>
      <c r="B7" s="426"/>
      <c r="C7" s="381"/>
      <c r="D7" s="387"/>
      <c r="E7" s="8841"/>
      <c r="F7" s="8841"/>
    </row>
    <row r="8" spans="1:9" ht="11.25" customHeight="1">
      <c r="A8" s="381"/>
      <c r="B8" s="426"/>
      <c r="C8" s="381"/>
      <c r="D8" s="8837" t="s">
        <v>763</v>
      </c>
      <c r="E8" s="8838"/>
      <c r="F8" s="8838"/>
      <c r="G8" s="8842" t="s">
        <v>764</v>
      </c>
    </row>
    <row r="9" spans="1:9" ht="11.25" customHeight="1">
      <c r="A9" s="381"/>
      <c r="B9" s="426"/>
      <c r="C9" s="381"/>
      <c r="D9" s="396" t="s">
        <v>84</v>
      </c>
      <c r="E9" s="372" t="s">
        <v>765</v>
      </c>
      <c r="F9" s="372" t="s">
        <v>766</v>
      </c>
      <c r="G9" s="8843"/>
    </row>
    <row r="10" spans="1:9" ht="12" hidden="1" customHeight="1">
      <c r="A10" s="381"/>
      <c r="B10" s="426"/>
      <c r="C10" s="381"/>
      <c r="D10" s="388"/>
      <c r="E10" s="388"/>
      <c r="F10" s="388"/>
      <c r="G10" s="388"/>
    </row>
    <row r="11" spans="1:9" ht="22.5" hidden="1" customHeight="1">
      <c r="A11" s="381"/>
      <c r="B11" s="426"/>
      <c r="C11" s="381"/>
      <c r="D11" s="920" t="s">
        <v>95</v>
      </c>
      <c r="E11" s="923" t="s">
        <v>767</v>
      </c>
      <c r="F11" s="922" t="str">
        <f>IF(region_name="","",region_name)</f>
        <v>Ставропольский край</v>
      </c>
      <c r="G11" s="923" t="s">
        <v>768</v>
      </c>
      <c r="H11" s="399"/>
    </row>
    <row r="12" spans="1:9" ht="22.5" hidden="1" customHeight="1">
      <c r="A12" s="381"/>
      <c r="B12" s="426"/>
      <c r="C12" s="381"/>
      <c r="D12" s="371" t="s">
        <v>95</v>
      </c>
      <c r="E12" s="37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69" t="s">
        <v>769</v>
      </c>
      <c r="G12" s="398"/>
      <c r="H12" s="399"/>
    </row>
    <row r="13" spans="1:9" ht="22.5" customHeight="1">
      <c r="A13" s="381"/>
      <c r="B13" s="426"/>
      <c r="C13" s="381"/>
      <c r="D13" s="371" t="s">
        <v>95</v>
      </c>
      <c r="E13" s="368" t="str">
        <f>"Наименование юридического лица"&amp;IF(TEMPLATE_SPHERE="TKO"," (индивидуального предпринимателя)","")</f>
        <v>Наименование юридического лица</v>
      </c>
      <c r="F13" s="367"/>
      <c r="G13" s="37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99"/>
    </row>
    <row r="14" spans="1:9" ht="22.5" hidden="1" customHeight="1">
      <c r="A14" s="381"/>
      <c r="B14" s="426"/>
      <c r="C14" s="381"/>
      <c r="D14" s="920" t="s">
        <v>770</v>
      </c>
      <c r="E14" s="921" t="s">
        <v>771</v>
      </c>
      <c r="F14" s="922" t="str">
        <f>IF(inn="","",inn)</f>
        <v>2635040105</v>
      </c>
      <c r="G14" s="923" t="s">
        <v>772</v>
      </c>
      <c r="H14" s="399"/>
    </row>
    <row r="15" spans="1:9" ht="22.5" hidden="1" customHeight="1">
      <c r="A15" s="381"/>
      <c r="B15" s="426"/>
      <c r="C15" s="381"/>
      <c r="D15" s="920" t="s">
        <v>773</v>
      </c>
      <c r="E15" s="921" t="s">
        <v>774</v>
      </c>
      <c r="F15" s="922" t="str">
        <f>IF(kpp="","",kpp)</f>
        <v>263501001</v>
      </c>
      <c r="G15" s="923" t="s">
        <v>775</v>
      </c>
      <c r="H15" s="399"/>
    </row>
    <row r="16" spans="1:9" ht="36.75" customHeight="1">
      <c r="A16" s="381"/>
      <c r="B16" s="426"/>
      <c r="C16" s="381"/>
      <c r="D16" s="371" t="s">
        <v>99</v>
      </c>
      <c r="E16" s="36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7"/>
      <c r="G16" s="37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9"/>
    </row>
    <row r="17" spans="1:9" ht="22.5" customHeight="1">
      <c r="A17" s="381"/>
      <c r="B17" s="426"/>
      <c r="C17" s="381"/>
      <c r="D17" s="371" t="s">
        <v>86</v>
      </c>
      <c r="E17" s="368" t="str">
        <f>"Дата присвоения ОГРН"&amp;IF(TEMPLATE_SPHERE="TKO",""," (ОГРНИП)")</f>
        <v>Дата присвоения ОГРН (ОГРНИП)</v>
      </c>
      <c r="F17" s="1651" t="s">
        <v>24</v>
      </c>
      <c r="G17" s="370" t="str">
        <f>"Дата присвоения ОГРН"&amp;IF(TEMPLATE_SPHERE="TKO",""," (ОГРНИП)")&amp;" указывается в виде «ДД.ММ.ГГГГ»."</f>
        <v>Дата присвоения ОГРН (ОГРНИП) указывается в виде «ДД.ММ.ГГГГ».</v>
      </c>
      <c r="H17" s="399"/>
    </row>
    <row r="18" spans="1:9" ht="56.25" customHeight="1">
      <c r="A18" s="381"/>
      <c r="B18" s="426"/>
      <c r="C18" s="381"/>
      <c r="D18" s="371" t="s">
        <v>87</v>
      </c>
      <c r="E18" s="36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7"/>
      <c r="G18" s="398"/>
      <c r="H18" s="399"/>
    </row>
    <row r="19" spans="1:9" ht="22.5" hidden="1" customHeight="1">
      <c r="A19" s="8839">
        <v>1</v>
      </c>
      <c r="B19" s="426"/>
      <c r="C19" s="8844"/>
      <c r="D19" s="366">
        <v>5</v>
      </c>
      <c r="E19" s="368" t="s">
        <v>776</v>
      </c>
      <c r="F19" s="369" t="s">
        <v>769</v>
      </c>
      <c r="G19" s="370" t="s">
        <v>777</v>
      </c>
      <c r="H19" s="399"/>
      <c r="I19" s="766"/>
    </row>
    <row r="20" spans="1:9" ht="33.75" hidden="1" customHeight="1">
      <c r="A20" s="8839"/>
      <c r="B20" s="426"/>
      <c r="C20" s="8844"/>
      <c r="D20" s="371" t="s">
        <v>778</v>
      </c>
      <c r="E20" s="365" t="s">
        <v>779</v>
      </c>
      <c r="F20" s="795" t="s">
        <v>24</v>
      </c>
      <c r="G20" s="398"/>
      <c r="H20" s="399"/>
      <c r="I20" s="766"/>
    </row>
    <row r="21" spans="1:9" ht="22.5" hidden="1" customHeight="1">
      <c r="A21" s="8839"/>
      <c r="B21" s="426"/>
      <c r="C21" s="8844"/>
      <c r="D21" s="371" t="s">
        <v>780</v>
      </c>
      <c r="E21" s="365" t="s">
        <v>781</v>
      </c>
      <c r="F21" s="1652" t="s">
        <v>24</v>
      </c>
      <c r="G21" s="370" t="s">
        <v>782</v>
      </c>
      <c r="H21" s="399"/>
      <c r="I21" s="766"/>
    </row>
    <row r="22" spans="1:9" ht="22.5" hidden="1" customHeight="1">
      <c r="A22" s="8839"/>
      <c r="B22" s="426"/>
      <c r="C22" s="8844"/>
      <c r="D22" s="371" t="s">
        <v>783</v>
      </c>
      <c r="E22" s="365" t="s">
        <v>784</v>
      </c>
      <c r="F22" s="795" t="s">
        <v>24</v>
      </c>
      <c r="G22" s="398"/>
      <c r="H22" s="399"/>
      <c r="I22" s="766"/>
    </row>
    <row r="23" spans="1:9" ht="22.5" hidden="1" customHeight="1">
      <c r="A23" s="8839"/>
      <c r="B23" s="426"/>
      <c r="C23" s="8844"/>
      <c r="D23" s="371" t="s">
        <v>785</v>
      </c>
      <c r="E23" s="365" t="s">
        <v>786</v>
      </c>
      <c r="F23" s="795" t="s">
        <v>24</v>
      </c>
      <c r="G23" s="370" t="s">
        <v>787</v>
      </c>
      <c r="H23" s="399"/>
      <c r="I23" s="766"/>
    </row>
    <row r="24" spans="1:9" s="425" customFormat="1" ht="24.75" hidden="1" customHeight="1">
      <c r="A24" s="381"/>
      <c r="B24" s="426"/>
      <c r="C24" s="426"/>
      <c r="D24" s="917" t="s">
        <v>86</v>
      </c>
      <c r="E24" s="919" t="s">
        <v>788</v>
      </c>
      <c r="F24" s="924" t="s">
        <v>769</v>
      </c>
      <c r="G24" s="919"/>
    </row>
    <row r="25" spans="1:9" s="425" customFormat="1" ht="11.25" hidden="1" customHeight="1">
      <c r="A25" s="381"/>
      <c r="B25" s="426"/>
      <c r="C25" s="426"/>
      <c r="D25" s="917" t="s">
        <v>789</v>
      </c>
      <c r="E25" s="918" t="s">
        <v>790</v>
      </c>
      <c r="F25" s="924" t="s">
        <v>769</v>
      </c>
      <c r="G25" s="919"/>
    </row>
    <row r="26" spans="1:9" s="425" customFormat="1" ht="11.25" hidden="1" customHeight="1">
      <c r="A26" s="381"/>
      <c r="B26" s="426"/>
      <c r="C26" s="426"/>
      <c r="D26" s="917" t="s">
        <v>791</v>
      </c>
      <c r="E26" s="925" t="s">
        <v>792</v>
      </c>
      <c r="F26" s="926"/>
      <c r="G26" s="91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425" customFormat="1" ht="11.25" hidden="1" customHeight="1">
      <c r="A27" s="381"/>
      <c r="B27" s="426"/>
      <c r="C27" s="426"/>
      <c r="D27" s="917" t="s">
        <v>793</v>
      </c>
      <c r="E27" s="925" t="s">
        <v>794</v>
      </c>
      <c r="F27" s="926"/>
      <c r="G27" s="91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425" customFormat="1" ht="11.25" hidden="1" customHeight="1">
      <c r="A28" s="381"/>
      <c r="B28" s="426"/>
      <c r="C28" s="426"/>
      <c r="D28" s="917" t="s">
        <v>795</v>
      </c>
      <c r="E28" s="925" t="s">
        <v>796</v>
      </c>
      <c r="F28" s="926"/>
      <c r="G28" s="91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425" customFormat="1" ht="11.25" hidden="1" customHeight="1">
      <c r="A29" s="381"/>
      <c r="B29" s="426"/>
      <c r="C29" s="426"/>
      <c r="D29" s="917" t="s">
        <v>797</v>
      </c>
      <c r="E29" s="918" t="s">
        <v>798</v>
      </c>
      <c r="F29" s="926"/>
      <c r="G29" s="919"/>
    </row>
    <row r="30" spans="1:9" s="425" customFormat="1" ht="11.25" hidden="1" customHeight="1">
      <c r="A30" s="381"/>
      <c r="B30" s="426"/>
      <c r="C30" s="426"/>
      <c r="D30" s="917" t="s">
        <v>799</v>
      </c>
      <c r="E30" s="918" t="s">
        <v>800</v>
      </c>
      <c r="F30" s="926"/>
      <c r="G30" s="919"/>
    </row>
    <row r="31" spans="1:9" s="425" customFormat="1" ht="11.25" hidden="1" customHeight="1">
      <c r="A31" s="381"/>
      <c r="B31" s="426"/>
      <c r="C31" s="426"/>
      <c r="D31" s="917" t="s">
        <v>801</v>
      </c>
      <c r="E31" s="918" t="s">
        <v>802</v>
      </c>
      <c r="F31" s="927"/>
      <c r="G31" s="919"/>
    </row>
    <row r="32" spans="1:9" ht="22.5" customHeight="1">
      <c r="A32" s="381" t="str">
        <f>IF(TEMPLATE_SPHERE="HEAT","6","5")</f>
        <v>5</v>
      </c>
      <c r="B32" s="426"/>
      <c r="C32" s="381"/>
      <c r="D32" s="366" t="str">
        <f>A32</f>
        <v>5</v>
      </c>
      <c r="E32" s="36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69" t="s">
        <v>769</v>
      </c>
      <c r="G32" s="398"/>
      <c r="H32" s="399"/>
    </row>
    <row r="33" spans="1:8" ht="22.5" customHeight="1">
      <c r="A33" s="381"/>
      <c r="B33" s="426"/>
      <c r="C33" s="381"/>
      <c r="D33" s="366" t="str">
        <f>D32&amp;".1"</f>
        <v>5.1</v>
      </c>
      <c r="E33" s="368" t="str">
        <f>"фамилия"&amp;IF(TEMPLATE_SPHERE&lt;&gt;"HEAT"," руководителя","")</f>
        <v>фамилия руководителя</v>
      </c>
      <c r="F33" s="367"/>
      <c r="G33" s="37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399"/>
    </row>
    <row r="34" spans="1:8" ht="22.5" customHeight="1">
      <c r="A34" s="381"/>
      <c r="B34" s="426"/>
      <c r="C34" s="381"/>
      <c r="D34" s="366" t="str">
        <f>D32&amp;".2"</f>
        <v>5.2</v>
      </c>
      <c r="E34" s="368" t="str">
        <f>"имя"&amp;IF(TEMPLATE_SPHERE&lt;&gt;"HEAT"," руководителя","")</f>
        <v>имя руководителя</v>
      </c>
      <c r="F34" s="367"/>
      <c r="G34" s="37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399"/>
    </row>
    <row r="35" spans="1:8" ht="22.5" customHeight="1">
      <c r="A35" s="381"/>
      <c r="B35" s="426"/>
      <c r="C35" s="381"/>
      <c r="D35" s="366" t="str">
        <f>D32&amp;".3"</f>
        <v>5.3</v>
      </c>
      <c r="E35" s="368" t="str">
        <f>"отчество"&amp;IF(TEMPLATE_SPHERE&lt;&gt;"HEAT"," руководителя","")</f>
        <v>отчество руководителя</v>
      </c>
      <c r="F35" s="616"/>
      <c r="G35" s="37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399"/>
    </row>
    <row r="36" spans="1:8" ht="33.75" customHeight="1">
      <c r="A36" s="381"/>
      <c r="B36" s="426"/>
      <c r="C36" s="381"/>
      <c r="D36" s="366">
        <f>D32+1</f>
        <v>6</v>
      </c>
      <c r="E36" s="36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67"/>
      <c r="G36" s="370" t="s">
        <v>803</v>
      </c>
      <c r="H36" s="399"/>
    </row>
    <row r="37" spans="1:8" ht="33.75" customHeight="1">
      <c r="A37" s="381"/>
      <c r="B37" s="426"/>
      <c r="C37" s="381"/>
      <c r="D37" s="366">
        <f>D36+1</f>
        <v>7</v>
      </c>
      <c r="E37" s="36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67"/>
      <c r="G37" s="370" t="s">
        <v>803</v>
      </c>
      <c r="H37" s="399"/>
    </row>
    <row r="38" spans="1:8" ht="22.5" customHeight="1">
      <c r="A38" s="381"/>
      <c r="B38" s="426"/>
      <c r="C38" s="381"/>
      <c r="D38" s="366">
        <f>D37+1</f>
        <v>8</v>
      </c>
      <c r="E38" s="36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69" t="s">
        <v>769</v>
      </c>
      <c r="G38" s="88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9"/>
    </row>
    <row r="39" spans="1:8" ht="22.5" hidden="1" customHeight="1">
      <c r="A39" s="381"/>
      <c r="B39" s="426"/>
      <c r="C39" s="381"/>
      <c r="D39" s="366" t="str">
        <f>D38&amp;".0"</f>
        <v>8.0</v>
      </c>
      <c r="E39" s="1529"/>
      <c r="F39" s="795"/>
      <c r="G39" s="8846"/>
      <c r="H39" s="399"/>
    </row>
    <row r="40" spans="1:8" ht="22.5" customHeight="1">
      <c r="A40" s="381"/>
      <c r="B40" s="381"/>
      <c r="C40" s="1608"/>
      <c r="D40" s="366" t="str">
        <f>D38&amp;".1"</f>
        <v>8.1</v>
      </c>
      <c r="E40" s="774"/>
      <c r="F40" s="775"/>
      <c r="G40" s="8846"/>
      <c r="H40" s="399"/>
    </row>
    <row r="41" spans="1:8" ht="15" customHeight="1">
      <c r="A41" s="381"/>
      <c r="B41" s="426"/>
      <c r="C41" s="381"/>
      <c r="D41" s="391"/>
      <c r="E41" s="344" t="s">
        <v>804</v>
      </c>
      <c r="F41" s="393"/>
      <c r="G41" s="8847"/>
      <c r="H41" s="400"/>
    </row>
    <row r="42" spans="1:8" ht="25.5" customHeight="1">
      <c r="A42" s="381"/>
      <c r="B42" s="426"/>
      <c r="C42" s="381"/>
      <c r="D42" s="366">
        <f>D38+1</f>
        <v>9</v>
      </c>
      <c r="E42" s="36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6"/>
      <c r="G42" s="37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9"/>
    </row>
    <row r="43" spans="1:8" ht="22.5" customHeight="1">
      <c r="A43" s="381"/>
      <c r="B43" s="426"/>
      <c r="C43" s="381"/>
      <c r="D43" s="366">
        <f>D42+1</f>
        <v>10</v>
      </c>
      <c r="E43" s="36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04"/>
      <c r="G43" s="398" t="s">
        <v>805</v>
      </c>
      <c r="H43" s="399"/>
    </row>
    <row r="44" spans="1:8" ht="22.5" customHeight="1">
      <c r="A44" s="381"/>
      <c r="B44" s="426"/>
      <c r="C44" s="381"/>
      <c r="D44" s="366">
        <f>D43+1</f>
        <v>11</v>
      </c>
      <c r="E44" s="364" t="s">
        <v>806</v>
      </c>
      <c r="F44" s="369" t="s">
        <v>769</v>
      </c>
      <c r="G44" s="363" t="str">
        <f>IF(TEMPLATE_SPHERE="TKO","Указывается режим работы организации.","")</f>
        <v/>
      </c>
      <c r="H44" s="399"/>
    </row>
    <row r="45" spans="1:8" ht="22.5" customHeight="1">
      <c r="A45" s="381"/>
      <c r="B45" s="426"/>
      <c r="C45" s="381"/>
      <c r="D45" s="366" t="str">
        <f>D44&amp;".1"</f>
        <v>11.1</v>
      </c>
      <c r="E45" s="368" t="str">
        <f>"режим работы регулируемой организации"&amp;IF(TEMPLATE_SPHERE="HEAT",", ЕТО, ТО","")</f>
        <v>режим работы регулируемой организации</v>
      </c>
      <c r="F45" s="1604"/>
      <c r="G45" s="363" t="s">
        <v>807</v>
      </c>
      <c r="H45" s="399"/>
    </row>
    <row r="46" spans="1:8" ht="22.5" customHeight="1">
      <c r="A46" s="8835"/>
      <c r="B46" s="426"/>
      <c r="C46" s="416"/>
      <c r="D46" s="366" t="str">
        <f>D44&amp;".2"</f>
        <v>11.2</v>
      </c>
      <c r="E46" s="368" t="s">
        <v>808</v>
      </c>
      <c r="F46" s="414"/>
      <c r="G46" s="363" t="s">
        <v>809</v>
      </c>
      <c r="H46" s="399"/>
    </row>
    <row r="47" spans="1:8" ht="22.5" customHeight="1">
      <c r="A47" s="8835"/>
      <c r="B47" s="426"/>
      <c r="C47" s="416"/>
      <c r="D47" s="366" t="str">
        <f>D44&amp;".3"</f>
        <v>11.3</v>
      </c>
      <c r="E47" s="368" t="s">
        <v>810</v>
      </c>
      <c r="F47" s="414"/>
      <c r="G47" s="363" t="s">
        <v>811</v>
      </c>
      <c r="H47" s="399"/>
    </row>
    <row r="48" spans="1:8" ht="22.5" customHeight="1">
      <c r="A48" s="8835"/>
      <c r="B48" s="426"/>
      <c r="C48" s="416"/>
      <c r="D48" s="366" t="str">
        <f>IF(TEMPLATE_SPHERE="TKO",D44&amp;".0",D44&amp;".4")</f>
        <v>11.4</v>
      </c>
      <c r="E48" s="362" t="s">
        <v>812</v>
      </c>
      <c r="F48" s="1605"/>
      <c r="G48" s="1681" t="s">
        <v>813</v>
      </c>
      <c r="H48" s="399"/>
    </row>
    <row r="49" spans="1:9" ht="22.5" customHeight="1">
      <c r="A49" s="381"/>
      <c r="B49" s="426"/>
      <c r="C49" s="381"/>
      <c r="D49" s="391"/>
      <c r="E49" s="344" t="s">
        <v>814</v>
      </c>
      <c r="F49" s="392"/>
      <c r="G49" s="1681" t="s">
        <v>815</v>
      </c>
      <c r="H49" s="400"/>
    </row>
    <row r="50" spans="1:9" ht="22.5" customHeight="1">
      <c r="A50" s="772"/>
      <c r="B50" s="426"/>
      <c r="C50" s="416"/>
      <c r="D50" s="366">
        <f>D44+1</f>
        <v>12</v>
      </c>
      <c r="E50" s="452" t="s">
        <v>816</v>
      </c>
      <c r="F50" s="414"/>
      <c r="G50"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399"/>
    </row>
    <row r="51" spans="1:9" ht="11.25" customHeight="1">
      <c r="A51" s="381"/>
      <c r="B51" s="426"/>
      <c r="C51" s="381"/>
    </row>
    <row r="52" spans="1:9" s="384" customFormat="1" ht="30" customHeight="1">
      <c r="A52" s="1607"/>
      <c r="B52" s="427"/>
      <c r="C52" s="8836"/>
      <c r="D52" s="88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8840"/>
      <c r="F52" s="8840"/>
      <c r="G52" s="8840"/>
      <c r="H52" s="378"/>
      <c r="I52" s="378"/>
    </row>
    <row r="53" spans="1:9" s="384" customFormat="1" ht="39.75" customHeight="1">
      <c r="A53" s="381"/>
      <c r="B53" s="426"/>
      <c r="C53" s="8836"/>
      <c r="D53" s="884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8840"/>
      <c r="F53" s="8840"/>
      <c r="G53" s="8840"/>
    </row>
    <row r="54" spans="1:9" ht="11.25" customHeight="1">
      <c r="D54" s="382"/>
      <c r="E54" s="383"/>
      <c r="F54" s="383"/>
      <c r="G54" s="383"/>
    </row>
    <row r="55" spans="1:9" ht="27" customHeight="1">
      <c r="D55" s="385"/>
      <c r="E55" s="382"/>
      <c r="F55" s="394"/>
      <c r="G55" s="394"/>
    </row>
    <row r="56" spans="1:9" ht="11.25" customHeight="1">
      <c r="D56" s="382"/>
      <c r="E56" s="382"/>
      <c r="F56" s="383"/>
      <c r="G56" s="383"/>
    </row>
    <row r="57" spans="1:9" ht="39" customHeight="1">
      <c r="D57" s="386"/>
      <c r="E57" s="395"/>
      <c r="F57" s="395"/>
      <c r="G57" s="395"/>
    </row>
    <row r="58" spans="1:9" ht="27" customHeight="1">
      <c r="D58" s="386"/>
      <c r="E58" s="395"/>
      <c r="F58" s="395"/>
      <c r="G58" s="395"/>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8" t="s">
        <v>2587</v>
      </c>
      <c r="B1" s="679" t="s">
        <v>2588</v>
      </c>
      <c r="C1" s="9149" t="s">
        <v>2589</v>
      </c>
      <c r="D1" s="9150"/>
      <c r="E1" s="750" t="s">
        <v>2590</v>
      </c>
    </row>
    <row r="2" spans="1:5" ht="11.25" customHeight="1">
      <c r="A2" s="672"/>
      <c r="B2" s="680" t="s">
        <v>22</v>
      </c>
      <c r="C2" s="668"/>
      <c r="D2" s="679"/>
      <c r="E2" s="750"/>
    </row>
    <row r="3" spans="1:5" ht="11.25" customHeight="1">
      <c r="A3" s="683"/>
      <c r="B3" s="681" t="s">
        <v>29</v>
      </c>
      <c r="C3" s="668"/>
      <c r="D3" s="679"/>
      <c r="E3" s="750"/>
    </row>
    <row r="4" spans="1:5" ht="11.25" customHeight="1">
      <c r="A4" s="684"/>
      <c r="B4" s="681" t="s">
        <v>2099</v>
      </c>
      <c r="C4" s="668"/>
      <c r="D4" s="679"/>
      <c r="E4" s="750"/>
    </row>
    <row r="5" spans="1:5" ht="11.25" customHeight="1">
      <c r="A5" s="695"/>
      <c r="B5" s="681" t="s">
        <v>2094</v>
      </c>
      <c r="C5" s="671" t="s">
        <v>2328</v>
      </c>
      <c r="D5" s="794" t="s">
        <v>2591</v>
      </c>
      <c r="E5" s="750"/>
    </row>
    <row r="6" spans="1:5" s="1818" customFormat="1" ht="11.25" customHeight="1">
      <c r="A6" s="682"/>
      <c r="B6" s="681" t="s">
        <v>2102</v>
      </c>
      <c r="C6" s="668"/>
      <c r="D6" s="679"/>
      <c r="E6" s="750"/>
    </row>
    <row r="7" spans="1:5" ht="11.25" customHeight="1">
      <c r="A7" s="670"/>
      <c r="B7" s="681" t="s">
        <v>2107</v>
      </c>
      <c r="C7" s="668"/>
      <c r="D7" s="679"/>
      <c r="E7" s="750"/>
    </row>
    <row r="8" spans="1:5" ht="11.25" customHeight="1">
      <c r="A8" s="671"/>
      <c r="B8" s="681" t="s">
        <v>2104</v>
      </c>
      <c r="C8" s="668"/>
      <c r="D8" s="679"/>
      <c r="E8" s="750"/>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53"/>
  <sheetViews>
    <sheetView showGridLines="0" workbookViewId="0"/>
  </sheetViews>
  <sheetFormatPr defaultColWidth="9.140625" defaultRowHeight="11.25" customHeight="1"/>
  <cols>
    <col min="1" max="2" width="9.140625" style="1818"/>
    <col min="3" max="3" width="20.7109375" style="1818" customWidth="1"/>
    <col min="4" max="4" width="25.140625" style="1818" customWidth="1"/>
    <col min="5" max="9" width="9.140625" style="1818"/>
  </cols>
  <sheetData>
    <row r="1" spans="1:9" ht="11.25" customHeight="1">
      <c r="A1" t="s">
        <v>2592</v>
      </c>
      <c r="B1" t="s">
        <v>2593</v>
      </c>
      <c r="C1" t="s">
        <v>2594</v>
      </c>
      <c r="D1" t="s">
        <v>2595</v>
      </c>
      <c r="E1" t="s">
        <v>2596</v>
      </c>
      <c r="F1" t="s">
        <v>2597</v>
      </c>
      <c r="G1" t="s">
        <v>2598</v>
      </c>
      <c r="H1" t="s">
        <v>2599</v>
      </c>
      <c r="I1" t="s">
        <v>2600</v>
      </c>
    </row>
    <row r="2" spans="1:9" ht="11.25" customHeight="1">
      <c r="A2" s="1818" t="s">
        <v>2601</v>
      </c>
      <c r="B2" s="1818" t="s">
        <v>14</v>
      </c>
      <c r="C2" s="1818" t="s">
        <v>2602</v>
      </c>
      <c r="D2" s="1818" t="s">
        <v>2603</v>
      </c>
      <c r="E2" s="1818" t="s">
        <v>2604</v>
      </c>
      <c r="F2" s="1818" t="s">
        <v>2605</v>
      </c>
      <c r="G2" s="1818" t="s">
        <v>2606</v>
      </c>
      <c r="H2" s="1818" t="s">
        <v>24</v>
      </c>
      <c r="I2" s="1818" t="s">
        <v>1180</v>
      </c>
    </row>
    <row r="3" spans="1:9" ht="11.25" customHeight="1">
      <c r="A3" s="1818" t="s">
        <v>2601</v>
      </c>
      <c r="B3" s="1818" t="s">
        <v>14</v>
      </c>
      <c r="C3" s="1818" t="s">
        <v>2607</v>
      </c>
      <c r="D3" s="1818" t="s">
        <v>2608</v>
      </c>
      <c r="E3" s="1818" t="s">
        <v>2609</v>
      </c>
      <c r="F3" s="1818" t="s">
        <v>2610</v>
      </c>
      <c r="G3" s="1818" t="s">
        <v>2611</v>
      </c>
      <c r="H3" s="1818" t="s">
        <v>24</v>
      </c>
      <c r="I3" s="1818" t="s">
        <v>1180</v>
      </c>
    </row>
    <row r="4" spans="1:9" ht="11.25" customHeight="1">
      <c r="A4" s="1818" t="s">
        <v>2601</v>
      </c>
      <c r="B4" s="1818" t="s">
        <v>14</v>
      </c>
      <c r="C4" s="1818" t="s">
        <v>2612</v>
      </c>
      <c r="D4" s="1818" t="s">
        <v>2613</v>
      </c>
      <c r="E4" s="1818" t="s">
        <v>2614</v>
      </c>
      <c r="F4" s="1818" t="s">
        <v>2610</v>
      </c>
      <c r="G4" s="1818" t="s">
        <v>2615</v>
      </c>
      <c r="H4" s="1818" t="s">
        <v>24</v>
      </c>
      <c r="I4" s="1818" t="s">
        <v>1180</v>
      </c>
    </row>
    <row r="5" spans="1:9" ht="11.25" customHeight="1">
      <c r="A5" s="1818" t="s">
        <v>2601</v>
      </c>
      <c r="B5" s="1818" t="s">
        <v>14</v>
      </c>
      <c r="C5" s="1818" t="s">
        <v>2616</v>
      </c>
      <c r="D5" s="1818" t="s">
        <v>2617</v>
      </c>
      <c r="E5" s="1818" t="s">
        <v>2618</v>
      </c>
      <c r="F5" s="1818" t="s">
        <v>2619</v>
      </c>
      <c r="G5" s="1818" t="s">
        <v>2620</v>
      </c>
      <c r="H5" s="1818" t="s">
        <v>24</v>
      </c>
      <c r="I5" s="1818" t="s">
        <v>1180</v>
      </c>
    </row>
    <row r="6" spans="1:9" ht="11.25" customHeight="1">
      <c r="A6" s="1818" t="s">
        <v>2601</v>
      </c>
      <c r="B6" s="1818" t="s">
        <v>14</v>
      </c>
      <c r="C6" s="1818" t="s">
        <v>2621</v>
      </c>
      <c r="D6" s="1818" t="s">
        <v>2622</v>
      </c>
      <c r="E6" s="1818" t="s">
        <v>2623</v>
      </c>
      <c r="F6" s="1818" t="s">
        <v>2624</v>
      </c>
      <c r="G6" s="1818" t="s">
        <v>24</v>
      </c>
      <c r="H6" s="1818" t="s">
        <v>24</v>
      </c>
      <c r="I6" s="1818" t="s">
        <v>1180</v>
      </c>
    </row>
    <row r="7" spans="1:9" ht="11.25" customHeight="1">
      <c r="A7" s="1818" t="s">
        <v>2601</v>
      </c>
      <c r="B7" s="1818" t="s">
        <v>14</v>
      </c>
      <c r="C7" s="1818" t="s">
        <v>2625</v>
      </c>
      <c r="D7" s="1818" t="s">
        <v>2626</v>
      </c>
      <c r="E7" s="1818" t="s">
        <v>2627</v>
      </c>
      <c r="F7" s="1818" t="s">
        <v>2628</v>
      </c>
      <c r="G7" s="1818" t="s">
        <v>24</v>
      </c>
      <c r="H7" s="1818" t="s">
        <v>24</v>
      </c>
      <c r="I7" s="1818" t="s">
        <v>1180</v>
      </c>
    </row>
    <row r="8" spans="1:9" ht="11.25" customHeight="1">
      <c r="A8" s="1818" t="s">
        <v>2601</v>
      </c>
      <c r="B8" s="1818" t="s">
        <v>14</v>
      </c>
      <c r="C8" s="1818" t="s">
        <v>2629</v>
      </c>
      <c r="D8" s="1818" t="s">
        <v>2630</v>
      </c>
      <c r="E8" s="1818" t="s">
        <v>2631</v>
      </c>
      <c r="F8" s="1818" t="s">
        <v>2632</v>
      </c>
      <c r="G8" s="1818" t="s">
        <v>2633</v>
      </c>
      <c r="H8" s="1818" t="s">
        <v>24</v>
      </c>
      <c r="I8" s="1818" t="s">
        <v>1180</v>
      </c>
    </row>
    <row r="9" spans="1:9" ht="11.25" customHeight="1">
      <c r="A9" s="1818" t="s">
        <v>2601</v>
      </c>
      <c r="B9" s="1818" t="s">
        <v>14</v>
      </c>
      <c r="C9" s="1818" t="s">
        <v>2634</v>
      </c>
      <c r="D9" s="1818" t="s">
        <v>2635</v>
      </c>
      <c r="E9" s="1818" t="s">
        <v>2636</v>
      </c>
      <c r="F9" s="1818" t="s">
        <v>2605</v>
      </c>
      <c r="G9" s="1818" t="s">
        <v>2637</v>
      </c>
      <c r="H9" s="1818" t="s">
        <v>24</v>
      </c>
      <c r="I9" s="1818" t="s">
        <v>1180</v>
      </c>
    </row>
    <row r="10" spans="1:9" ht="11.25" customHeight="1">
      <c r="A10" s="1818" t="s">
        <v>2601</v>
      </c>
      <c r="B10" s="1818" t="s">
        <v>14</v>
      </c>
      <c r="C10" s="1818" t="s">
        <v>2638</v>
      </c>
      <c r="D10" s="1818" t="s">
        <v>2639</v>
      </c>
      <c r="E10" s="1818" t="s">
        <v>2640</v>
      </c>
      <c r="F10" s="1818" t="s">
        <v>2610</v>
      </c>
      <c r="G10" s="1818" t="s">
        <v>24</v>
      </c>
      <c r="H10" s="1818" t="s">
        <v>24</v>
      </c>
      <c r="I10" s="1818" t="s">
        <v>1180</v>
      </c>
    </row>
    <row r="11" spans="1:9" ht="11.25" customHeight="1">
      <c r="A11" s="1818" t="s">
        <v>2601</v>
      </c>
      <c r="B11" s="1818" t="s">
        <v>14</v>
      </c>
      <c r="C11" s="1818" t="s">
        <v>2641</v>
      </c>
      <c r="D11" s="1818" t="s">
        <v>2642</v>
      </c>
      <c r="E11" s="1818" t="s">
        <v>2643</v>
      </c>
      <c r="F11" s="1818" t="s">
        <v>48</v>
      </c>
      <c r="G11" s="1818" t="s">
        <v>2644</v>
      </c>
      <c r="H11" s="1818" t="s">
        <v>24</v>
      </c>
      <c r="I11" s="1818" t="s">
        <v>1180</v>
      </c>
    </row>
    <row r="12" spans="1:9" ht="11.25" customHeight="1">
      <c r="A12" s="1818" t="s">
        <v>2601</v>
      </c>
      <c r="B12" s="1818" t="s">
        <v>14</v>
      </c>
      <c r="C12" s="1818" t="s">
        <v>2645</v>
      </c>
      <c r="D12" s="1818" t="s">
        <v>2646</v>
      </c>
      <c r="E12" s="1818" t="s">
        <v>2647</v>
      </c>
      <c r="F12" s="1818" t="s">
        <v>2648</v>
      </c>
      <c r="G12" s="1818" t="s">
        <v>2649</v>
      </c>
      <c r="H12" s="1818" t="s">
        <v>24</v>
      </c>
      <c r="I12" s="1818" t="s">
        <v>1180</v>
      </c>
    </row>
    <row r="13" spans="1:9" ht="11.25" customHeight="1">
      <c r="A13" s="1818" t="s">
        <v>2601</v>
      </c>
      <c r="B13" s="1818" t="s">
        <v>14</v>
      </c>
      <c r="C13" s="1818" t="s">
        <v>2650</v>
      </c>
      <c r="D13" s="1818" t="s">
        <v>2651</v>
      </c>
      <c r="E13" s="1818" t="s">
        <v>2652</v>
      </c>
      <c r="F13" s="1818" t="s">
        <v>2653</v>
      </c>
      <c r="G13" s="1818" t="s">
        <v>2654</v>
      </c>
      <c r="H13" s="1818" t="s">
        <v>24</v>
      </c>
      <c r="I13" s="1818" t="s">
        <v>1180</v>
      </c>
    </row>
    <row r="14" spans="1:9" ht="11.25" customHeight="1">
      <c r="A14" s="1818" t="s">
        <v>2601</v>
      </c>
      <c r="B14" s="1818" t="s">
        <v>14</v>
      </c>
      <c r="C14" s="1818" t="s">
        <v>2655</v>
      </c>
      <c r="D14" s="1818" t="s">
        <v>2656</v>
      </c>
      <c r="E14" s="1818" t="s">
        <v>2657</v>
      </c>
      <c r="F14" s="1818" t="s">
        <v>2658</v>
      </c>
      <c r="G14" s="1818" t="s">
        <v>24</v>
      </c>
      <c r="H14" s="1818" t="s">
        <v>24</v>
      </c>
      <c r="I14" s="1818" t="s">
        <v>1180</v>
      </c>
    </row>
    <row r="15" spans="1:9" ht="11.25" customHeight="1">
      <c r="A15" s="1818" t="s">
        <v>2601</v>
      </c>
      <c r="B15" s="1818" t="s">
        <v>14</v>
      </c>
      <c r="C15" s="1818" t="s">
        <v>2659</v>
      </c>
      <c r="D15" s="1818" t="s">
        <v>2660</v>
      </c>
      <c r="E15" s="1818" t="s">
        <v>2661</v>
      </c>
      <c r="F15" s="1818" t="s">
        <v>2662</v>
      </c>
      <c r="G15" s="1818" t="s">
        <v>2663</v>
      </c>
      <c r="H15" s="1818" t="s">
        <v>24</v>
      </c>
      <c r="I15" s="1818" t="s">
        <v>1180</v>
      </c>
    </row>
    <row r="16" spans="1:9" ht="11.25" customHeight="1">
      <c r="A16" s="1818" t="s">
        <v>2601</v>
      </c>
      <c r="B16" s="1818" t="s">
        <v>14</v>
      </c>
      <c r="C16" s="1818" t="s">
        <v>2664</v>
      </c>
      <c r="D16" s="1818" t="s">
        <v>2665</v>
      </c>
      <c r="E16" s="1818" t="s">
        <v>2666</v>
      </c>
      <c r="F16" s="1818" t="s">
        <v>2667</v>
      </c>
      <c r="G16" s="1818" t="s">
        <v>2668</v>
      </c>
      <c r="H16" s="1818" t="s">
        <v>24</v>
      </c>
      <c r="I16" s="1818" t="s">
        <v>1180</v>
      </c>
    </row>
    <row r="17" spans="1:9" ht="11.25" customHeight="1">
      <c r="A17" s="1818" t="s">
        <v>2601</v>
      </c>
      <c r="B17" s="1818" t="s">
        <v>14</v>
      </c>
      <c r="C17" s="1818" t="s">
        <v>2669</v>
      </c>
      <c r="D17" s="1818" t="s">
        <v>2670</v>
      </c>
      <c r="E17" s="1818" t="s">
        <v>2671</v>
      </c>
      <c r="F17" s="1818" t="s">
        <v>2632</v>
      </c>
      <c r="G17" s="1818" t="s">
        <v>2672</v>
      </c>
      <c r="H17" s="1818" t="s">
        <v>24</v>
      </c>
      <c r="I17" s="1818" t="s">
        <v>1180</v>
      </c>
    </row>
    <row r="18" spans="1:9" ht="11.25" customHeight="1">
      <c r="A18" s="1818" t="s">
        <v>2601</v>
      </c>
      <c r="B18" s="1818" t="s">
        <v>14</v>
      </c>
      <c r="C18" s="1818" t="s">
        <v>2673</v>
      </c>
      <c r="D18" s="1818" t="s">
        <v>2674</v>
      </c>
      <c r="E18" s="1818" t="s">
        <v>2675</v>
      </c>
      <c r="F18" s="1818" t="s">
        <v>2619</v>
      </c>
      <c r="G18" s="1818" t="s">
        <v>2676</v>
      </c>
      <c r="H18" s="1818" t="s">
        <v>24</v>
      </c>
      <c r="I18" s="1818" t="s">
        <v>1180</v>
      </c>
    </row>
    <row r="19" spans="1:9" ht="11.25" customHeight="1">
      <c r="A19" s="1818" t="s">
        <v>2601</v>
      </c>
      <c r="B19" s="1818" t="s">
        <v>14</v>
      </c>
      <c r="C19" s="1818" t="s">
        <v>2677</v>
      </c>
      <c r="D19" s="1818" t="s">
        <v>2678</v>
      </c>
      <c r="E19" s="1818" t="s">
        <v>2679</v>
      </c>
      <c r="F19" s="1818" t="s">
        <v>48</v>
      </c>
      <c r="G19" s="1818" t="s">
        <v>2680</v>
      </c>
      <c r="H19" s="1818" t="s">
        <v>24</v>
      </c>
      <c r="I19" s="1818" t="s">
        <v>1180</v>
      </c>
    </row>
    <row r="20" spans="1:9" ht="11.25" customHeight="1">
      <c r="A20" s="1818" t="s">
        <v>2601</v>
      </c>
      <c r="B20" s="1818" t="s">
        <v>14</v>
      </c>
      <c r="C20" s="1818" t="s">
        <v>2681</v>
      </c>
      <c r="D20" s="1818" t="s">
        <v>43</v>
      </c>
      <c r="E20" s="1818" t="s">
        <v>46</v>
      </c>
      <c r="F20" s="1818" t="s">
        <v>48</v>
      </c>
      <c r="G20" s="1818" t="s">
        <v>2682</v>
      </c>
      <c r="H20" s="1818" t="s">
        <v>24</v>
      </c>
      <c r="I20" s="1818" t="s">
        <v>1180</v>
      </c>
    </row>
    <row r="21" spans="1:9" ht="11.25" customHeight="1">
      <c r="A21" s="1818" t="s">
        <v>2601</v>
      </c>
      <c r="B21" s="1818" t="s">
        <v>14</v>
      </c>
      <c r="C21" s="1818" t="s">
        <v>2683</v>
      </c>
      <c r="D21" s="1818" t="s">
        <v>2684</v>
      </c>
      <c r="E21" s="1818" t="s">
        <v>2685</v>
      </c>
      <c r="F21" s="1818" t="s">
        <v>2686</v>
      </c>
      <c r="G21" s="1818" t="s">
        <v>2687</v>
      </c>
      <c r="H21" s="1818" t="s">
        <v>24</v>
      </c>
      <c r="I21" s="1818" t="s">
        <v>1180</v>
      </c>
    </row>
    <row r="22" spans="1:9" ht="11.25" customHeight="1">
      <c r="A22" s="1818" t="s">
        <v>2601</v>
      </c>
      <c r="B22" s="1818" t="s">
        <v>14</v>
      </c>
      <c r="C22" s="1818" t="s">
        <v>2688</v>
      </c>
      <c r="D22" s="1818" t="s">
        <v>2689</v>
      </c>
      <c r="E22" s="1818" t="s">
        <v>2690</v>
      </c>
      <c r="F22" s="1818" t="s">
        <v>2691</v>
      </c>
      <c r="G22" s="1818" t="s">
        <v>2692</v>
      </c>
      <c r="H22" s="1818" t="s">
        <v>24</v>
      </c>
      <c r="I22" s="1818" t="s">
        <v>1180</v>
      </c>
    </row>
    <row r="23" spans="1:9" ht="11.25" customHeight="1">
      <c r="A23" s="1818" t="s">
        <v>2601</v>
      </c>
      <c r="B23" s="1818" t="s">
        <v>14</v>
      </c>
      <c r="C23" s="1818" t="s">
        <v>2693</v>
      </c>
      <c r="D23" s="1818" t="s">
        <v>2694</v>
      </c>
      <c r="E23" s="1818" t="s">
        <v>2695</v>
      </c>
      <c r="F23" s="1818" t="s">
        <v>1033</v>
      </c>
      <c r="G23" s="1818" t="s">
        <v>2696</v>
      </c>
      <c r="H23" s="1818" t="s">
        <v>24</v>
      </c>
      <c r="I23" s="1818" t="s">
        <v>1180</v>
      </c>
    </row>
    <row r="24" spans="1:9" ht="11.25" customHeight="1">
      <c r="A24" s="1818" t="s">
        <v>2601</v>
      </c>
      <c r="B24" s="1818" t="s">
        <v>14</v>
      </c>
      <c r="C24" s="1818" t="s">
        <v>2697</v>
      </c>
      <c r="D24" s="1818" t="s">
        <v>2698</v>
      </c>
      <c r="E24" s="1818" t="s">
        <v>2699</v>
      </c>
      <c r="F24" s="1818" t="s">
        <v>1033</v>
      </c>
      <c r="G24" s="1818" t="s">
        <v>2700</v>
      </c>
      <c r="H24" s="1818" t="s">
        <v>24</v>
      </c>
      <c r="I24" s="1818" t="s">
        <v>1180</v>
      </c>
    </row>
    <row r="25" spans="1:9" ht="11.25" customHeight="1">
      <c r="A25" s="1818" t="s">
        <v>2601</v>
      </c>
      <c r="B25" s="1818" t="s">
        <v>14</v>
      </c>
      <c r="C25" s="1818" t="s">
        <v>2701</v>
      </c>
      <c r="D25" s="1818" t="s">
        <v>2702</v>
      </c>
      <c r="E25" s="1818" t="s">
        <v>2703</v>
      </c>
      <c r="F25" s="1818" t="s">
        <v>1033</v>
      </c>
      <c r="G25" s="1818" t="s">
        <v>2704</v>
      </c>
      <c r="H25" s="1818" t="s">
        <v>24</v>
      </c>
      <c r="I25" s="1818" t="s">
        <v>1180</v>
      </c>
    </row>
    <row r="26" spans="1:9" ht="11.25" customHeight="1">
      <c r="A26" s="1818" t="s">
        <v>2601</v>
      </c>
      <c r="B26" s="1818" t="s">
        <v>14</v>
      </c>
      <c r="C26" s="1818" t="s">
        <v>2705</v>
      </c>
      <c r="D26" s="1818" t="s">
        <v>2706</v>
      </c>
      <c r="E26" s="1818" t="s">
        <v>2707</v>
      </c>
      <c r="F26" s="1818" t="s">
        <v>1033</v>
      </c>
      <c r="G26" s="1818" t="s">
        <v>2708</v>
      </c>
      <c r="H26" s="1818" t="s">
        <v>24</v>
      </c>
      <c r="I26" s="1818" t="s">
        <v>1180</v>
      </c>
    </row>
    <row r="27" spans="1:9" ht="11.25" customHeight="1">
      <c r="A27" s="1818" t="s">
        <v>2601</v>
      </c>
      <c r="B27" s="1818" t="s">
        <v>14</v>
      </c>
      <c r="C27" s="1818" t="s">
        <v>2709</v>
      </c>
      <c r="D27" s="1818" t="s">
        <v>2710</v>
      </c>
      <c r="E27" s="1818" t="s">
        <v>2690</v>
      </c>
      <c r="F27" s="1818" t="s">
        <v>2711</v>
      </c>
      <c r="G27" s="1818" t="s">
        <v>2692</v>
      </c>
      <c r="H27" s="1818" t="s">
        <v>24</v>
      </c>
      <c r="I27" s="1818" t="s">
        <v>1180</v>
      </c>
    </row>
    <row r="28" spans="1:9" ht="11.25" customHeight="1">
      <c r="A28" s="1818" t="s">
        <v>2601</v>
      </c>
      <c r="B28" s="1818" t="s">
        <v>14</v>
      </c>
      <c r="C28" s="1818" t="s">
        <v>2712</v>
      </c>
      <c r="D28" s="1818" t="s">
        <v>2713</v>
      </c>
      <c r="E28" s="1818" t="s">
        <v>2714</v>
      </c>
      <c r="F28" s="1818" t="s">
        <v>2619</v>
      </c>
      <c r="G28" s="1818" t="s">
        <v>2715</v>
      </c>
      <c r="H28" s="1818" t="s">
        <v>24</v>
      </c>
      <c r="I28" s="1818" t="s">
        <v>1180</v>
      </c>
    </row>
    <row r="29" spans="1:9" ht="11.25" customHeight="1">
      <c r="A29" s="1818" t="s">
        <v>2601</v>
      </c>
      <c r="B29" s="1818" t="s">
        <v>14</v>
      </c>
      <c r="C29" s="1818" t="s">
        <v>2716</v>
      </c>
      <c r="D29" s="1818" t="s">
        <v>2717</v>
      </c>
      <c r="E29" s="1818" t="s">
        <v>2718</v>
      </c>
      <c r="F29" s="1818" t="s">
        <v>2619</v>
      </c>
      <c r="G29" s="1818" t="s">
        <v>2719</v>
      </c>
      <c r="H29" s="1818" t="s">
        <v>24</v>
      </c>
      <c r="I29" s="1818" t="s">
        <v>1180</v>
      </c>
    </row>
    <row r="30" spans="1:9" ht="11.25" customHeight="1">
      <c r="A30" s="1818" t="s">
        <v>2601</v>
      </c>
      <c r="B30" s="1818" t="s">
        <v>14</v>
      </c>
      <c r="C30" s="1818" t="s">
        <v>2720</v>
      </c>
      <c r="D30" s="1818" t="s">
        <v>2721</v>
      </c>
      <c r="E30" s="1818" t="s">
        <v>2722</v>
      </c>
      <c r="F30" s="1818" t="s">
        <v>2723</v>
      </c>
      <c r="G30" s="1818" t="s">
        <v>2724</v>
      </c>
      <c r="H30" s="1818" t="s">
        <v>24</v>
      </c>
      <c r="I30" s="1818" t="s">
        <v>1180</v>
      </c>
    </row>
    <row r="31" spans="1:9" ht="11.25" customHeight="1">
      <c r="A31" s="1818" t="s">
        <v>2601</v>
      </c>
      <c r="B31" s="1818" t="s">
        <v>14</v>
      </c>
      <c r="C31" s="1818" t="s">
        <v>2725</v>
      </c>
      <c r="D31" s="1818" t="s">
        <v>2726</v>
      </c>
      <c r="E31" s="1818" t="s">
        <v>2727</v>
      </c>
      <c r="F31" s="1818" t="s">
        <v>2728</v>
      </c>
      <c r="G31" s="1818" t="s">
        <v>2729</v>
      </c>
      <c r="H31" s="1818" t="s">
        <v>24</v>
      </c>
      <c r="I31" s="1818" t="s">
        <v>1180</v>
      </c>
    </row>
    <row r="32" spans="1:9" ht="11.25" customHeight="1">
      <c r="A32" s="1818" t="s">
        <v>2601</v>
      </c>
      <c r="B32" s="1818" t="s">
        <v>14</v>
      </c>
      <c r="C32" s="1818" t="s">
        <v>2730</v>
      </c>
      <c r="D32" s="1818" t="s">
        <v>2731</v>
      </c>
      <c r="E32" s="1818" t="s">
        <v>2732</v>
      </c>
      <c r="F32" s="1818" t="s">
        <v>2733</v>
      </c>
      <c r="G32" s="1818" t="s">
        <v>2734</v>
      </c>
      <c r="H32" s="1818" t="s">
        <v>24</v>
      </c>
      <c r="I32" s="1818" t="s">
        <v>1180</v>
      </c>
    </row>
    <row r="33" spans="1:9" ht="11.25" customHeight="1">
      <c r="A33" s="1818" t="s">
        <v>2601</v>
      </c>
      <c r="B33" s="1818" t="s">
        <v>14</v>
      </c>
      <c r="C33" s="1818" t="s">
        <v>2735</v>
      </c>
      <c r="D33" s="1818" t="s">
        <v>2736</v>
      </c>
      <c r="E33" s="1818" t="s">
        <v>2737</v>
      </c>
      <c r="F33" s="1818" t="s">
        <v>2738</v>
      </c>
      <c r="G33" s="1818" t="s">
        <v>2739</v>
      </c>
      <c r="H33" s="1818" t="s">
        <v>24</v>
      </c>
      <c r="I33" s="1818" t="s">
        <v>1180</v>
      </c>
    </row>
    <row r="34" spans="1:9" ht="11.25" customHeight="1">
      <c r="A34" s="1818" t="s">
        <v>2601</v>
      </c>
      <c r="B34" s="1818" t="s">
        <v>14</v>
      </c>
      <c r="C34" s="1818" t="s">
        <v>2740</v>
      </c>
      <c r="D34" s="1818" t="s">
        <v>2741</v>
      </c>
      <c r="E34" s="1818" t="s">
        <v>2742</v>
      </c>
      <c r="F34" s="1818" t="s">
        <v>2743</v>
      </c>
      <c r="G34" s="1818" t="s">
        <v>2744</v>
      </c>
      <c r="H34" s="1818" t="s">
        <v>24</v>
      </c>
      <c r="I34" s="1818" t="s">
        <v>1180</v>
      </c>
    </row>
    <row r="35" spans="1:9" ht="11.25" customHeight="1">
      <c r="A35" s="1818" t="s">
        <v>2601</v>
      </c>
      <c r="B35" s="1818" t="s">
        <v>14</v>
      </c>
      <c r="C35" s="1818" t="s">
        <v>2745</v>
      </c>
      <c r="D35" s="1818" t="s">
        <v>2746</v>
      </c>
      <c r="E35" s="1818" t="s">
        <v>2747</v>
      </c>
      <c r="F35" s="1818" t="s">
        <v>2632</v>
      </c>
      <c r="G35" s="1818" t="s">
        <v>2748</v>
      </c>
      <c r="H35" s="1818" t="s">
        <v>24</v>
      </c>
      <c r="I35" s="1818" t="s">
        <v>1180</v>
      </c>
    </row>
    <row r="36" spans="1:9" ht="11.25" customHeight="1">
      <c r="A36" s="1818" t="s">
        <v>2601</v>
      </c>
      <c r="B36" s="1818" t="s">
        <v>14</v>
      </c>
      <c r="C36" s="1818" t="s">
        <v>2749</v>
      </c>
      <c r="D36" s="1818" t="s">
        <v>2750</v>
      </c>
      <c r="E36" s="1818" t="s">
        <v>2623</v>
      </c>
      <c r="F36" s="1818" t="s">
        <v>2751</v>
      </c>
      <c r="G36" s="1818" t="s">
        <v>2752</v>
      </c>
      <c r="H36" s="1818" t="s">
        <v>24</v>
      </c>
      <c r="I36" s="1818" t="s">
        <v>1180</v>
      </c>
    </row>
    <row r="37" spans="1:9" ht="11.25" customHeight="1">
      <c r="A37" s="1818" t="s">
        <v>2601</v>
      </c>
      <c r="B37" s="1818" t="s">
        <v>14</v>
      </c>
      <c r="C37" s="1818" t="s">
        <v>2753</v>
      </c>
      <c r="D37" s="1818" t="s">
        <v>2754</v>
      </c>
      <c r="E37" s="1818" t="s">
        <v>2755</v>
      </c>
      <c r="F37" s="1818" t="s">
        <v>2756</v>
      </c>
      <c r="G37" s="1818" t="s">
        <v>24</v>
      </c>
      <c r="H37" s="1818" t="s">
        <v>2757</v>
      </c>
      <c r="I37" s="1818" t="s">
        <v>1180</v>
      </c>
    </row>
    <row r="38" spans="1:9" ht="11.25" customHeight="1">
      <c r="A38" s="1818" t="s">
        <v>2601</v>
      </c>
      <c r="B38" s="1818" t="s">
        <v>14</v>
      </c>
      <c r="C38" s="1818" t="s">
        <v>2758</v>
      </c>
      <c r="D38" s="1818" t="s">
        <v>2759</v>
      </c>
      <c r="E38" s="1818" t="s">
        <v>2760</v>
      </c>
      <c r="F38" s="1818" t="s">
        <v>2619</v>
      </c>
      <c r="G38" s="1818" t="s">
        <v>2761</v>
      </c>
      <c r="H38" s="1818" t="s">
        <v>24</v>
      </c>
      <c r="I38" s="1818" t="s">
        <v>1180</v>
      </c>
    </row>
    <row r="39" spans="1:9" ht="11.25" customHeight="1">
      <c r="A39" s="1818" t="s">
        <v>2601</v>
      </c>
      <c r="B39" s="1818" t="s">
        <v>14</v>
      </c>
      <c r="C39" s="1818" t="s">
        <v>2762</v>
      </c>
      <c r="D39" s="1818" t="s">
        <v>2763</v>
      </c>
      <c r="E39" s="1818" t="s">
        <v>2764</v>
      </c>
      <c r="F39" s="1818" t="s">
        <v>2765</v>
      </c>
      <c r="G39" s="1818" t="s">
        <v>2766</v>
      </c>
      <c r="H39" s="1818" t="s">
        <v>24</v>
      </c>
      <c r="I39" s="1818" t="s">
        <v>1180</v>
      </c>
    </row>
    <row r="40" spans="1:9" ht="11.25" customHeight="1">
      <c r="A40" s="1818" t="s">
        <v>2601</v>
      </c>
      <c r="B40" s="1818" t="s">
        <v>14</v>
      </c>
      <c r="C40" s="1818" t="s">
        <v>2767</v>
      </c>
      <c r="D40" s="1818" t="s">
        <v>2768</v>
      </c>
      <c r="E40" s="1818" t="s">
        <v>2769</v>
      </c>
      <c r="F40" s="1818" t="s">
        <v>2632</v>
      </c>
      <c r="G40" s="1818" t="s">
        <v>24</v>
      </c>
      <c r="H40" s="1818" t="s">
        <v>24</v>
      </c>
      <c r="I40" s="1818" t="s">
        <v>1180</v>
      </c>
    </row>
    <row r="41" spans="1:9" ht="11.25" customHeight="1">
      <c r="A41" s="1818" t="s">
        <v>2601</v>
      </c>
      <c r="B41" s="1818" t="s">
        <v>14</v>
      </c>
      <c r="C41" s="1818" t="s">
        <v>2770</v>
      </c>
      <c r="D41" s="1818" t="s">
        <v>2771</v>
      </c>
      <c r="E41" s="1818" t="s">
        <v>2772</v>
      </c>
      <c r="F41" s="1818" t="s">
        <v>2773</v>
      </c>
      <c r="G41" s="1818" t="s">
        <v>2774</v>
      </c>
      <c r="H41" s="1818" t="s">
        <v>24</v>
      </c>
      <c r="I41" s="1818" t="s">
        <v>1180</v>
      </c>
    </row>
    <row r="42" spans="1:9" ht="11.25" customHeight="1">
      <c r="A42" s="1818" t="s">
        <v>2601</v>
      </c>
      <c r="B42" s="1818" t="s">
        <v>14</v>
      </c>
      <c r="C42" s="1818" t="s">
        <v>2775</v>
      </c>
      <c r="D42" s="1818" t="s">
        <v>2776</v>
      </c>
      <c r="E42" s="1818" t="s">
        <v>2777</v>
      </c>
      <c r="F42" s="1818" t="s">
        <v>2667</v>
      </c>
      <c r="G42" s="1818" t="s">
        <v>2778</v>
      </c>
      <c r="H42" s="1818" t="s">
        <v>24</v>
      </c>
      <c r="I42" s="1818" t="s">
        <v>1180</v>
      </c>
    </row>
    <row r="43" spans="1:9" ht="11.25" customHeight="1">
      <c r="A43" s="1818" t="s">
        <v>2601</v>
      </c>
      <c r="B43" s="1818" t="s">
        <v>14</v>
      </c>
      <c r="C43" s="1818" t="s">
        <v>2779</v>
      </c>
      <c r="D43" s="1818" t="s">
        <v>2780</v>
      </c>
      <c r="E43" s="1818" t="s">
        <v>2781</v>
      </c>
      <c r="F43" s="1818" t="s">
        <v>2782</v>
      </c>
      <c r="G43" s="1818" t="s">
        <v>2783</v>
      </c>
      <c r="H43" s="1818" t="s">
        <v>24</v>
      </c>
      <c r="I43" s="1818" t="s">
        <v>1180</v>
      </c>
    </row>
    <row r="44" spans="1:9" ht="11.25" customHeight="1">
      <c r="A44" s="1818" t="s">
        <v>2601</v>
      </c>
      <c r="B44" s="1818" t="s">
        <v>14</v>
      </c>
      <c r="C44" s="1818" t="s">
        <v>2784</v>
      </c>
      <c r="D44" s="1818" t="s">
        <v>2785</v>
      </c>
      <c r="E44" s="1818" t="s">
        <v>2786</v>
      </c>
      <c r="F44" s="1818" t="s">
        <v>2653</v>
      </c>
      <c r="G44" s="1818" t="s">
        <v>24</v>
      </c>
      <c r="H44" s="1818" t="s">
        <v>24</v>
      </c>
      <c r="I44" s="1818" t="s">
        <v>1180</v>
      </c>
    </row>
    <row r="45" spans="1:9" ht="11.25" customHeight="1">
      <c r="A45" s="1818" t="s">
        <v>2601</v>
      </c>
      <c r="B45" s="1818" t="s">
        <v>14</v>
      </c>
      <c r="C45" s="1818" t="s">
        <v>2787</v>
      </c>
      <c r="D45" s="1818" t="s">
        <v>2788</v>
      </c>
      <c r="E45" s="1818" t="s">
        <v>2789</v>
      </c>
      <c r="F45" s="1818" t="s">
        <v>2619</v>
      </c>
      <c r="G45" s="1818" t="s">
        <v>24</v>
      </c>
      <c r="H45" s="1818" t="s">
        <v>24</v>
      </c>
      <c r="I45" s="1818" t="s">
        <v>1180</v>
      </c>
    </row>
    <row r="46" spans="1:9" ht="11.25" customHeight="1">
      <c r="A46" s="1818" t="s">
        <v>2601</v>
      </c>
      <c r="B46" s="1818" t="s">
        <v>14</v>
      </c>
      <c r="C46" s="1818" t="s">
        <v>2790</v>
      </c>
      <c r="D46" s="1818" t="s">
        <v>2791</v>
      </c>
      <c r="E46" s="1818" t="s">
        <v>2792</v>
      </c>
      <c r="F46" s="1818" t="s">
        <v>48</v>
      </c>
      <c r="G46" s="1818" t="s">
        <v>2793</v>
      </c>
      <c r="H46" s="1818" t="s">
        <v>24</v>
      </c>
      <c r="I46" s="1818" t="s">
        <v>1180</v>
      </c>
    </row>
    <row r="47" spans="1:9" ht="11.25" customHeight="1">
      <c r="A47" s="1818" t="s">
        <v>2601</v>
      </c>
      <c r="B47" s="1818" t="s">
        <v>14</v>
      </c>
      <c r="C47" s="1818" t="s">
        <v>2794</v>
      </c>
      <c r="D47" s="1818" t="s">
        <v>2795</v>
      </c>
      <c r="E47" s="1818" t="s">
        <v>2796</v>
      </c>
      <c r="F47" s="1818" t="s">
        <v>2797</v>
      </c>
      <c r="G47" s="1818" t="s">
        <v>2798</v>
      </c>
      <c r="H47" s="1818" t="s">
        <v>24</v>
      </c>
      <c r="I47" s="1818" t="s">
        <v>1180</v>
      </c>
    </row>
    <row r="48" spans="1:9" ht="11.25" customHeight="1">
      <c r="A48" s="1818" t="s">
        <v>2601</v>
      </c>
      <c r="B48" s="1818" t="s">
        <v>14</v>
      </c>
      <c r="C48" s="1818" t="s">
        <v>2799</v>
      </c>
      <c r="D48" s="1818" t="s">
        <v>2800</v>
      </c>
      <c r="E48" s="1818" t="s">
        <v>2801</v>
      </c>
      <c r="F48" s="1818" t="s">
        <v>2605</v>
      </c>
      <c r="G48" s="1818" t="s">
        <v>2802</v>
      </c>
      <c r="H48" s="1818" t="s">
        <v>24</v>
      </c>
      <c r="I48" s="1818" t="s">
        <v>1180</v>
      </c>
    </row>
    <row r="49" spans="1:9" ht="11.25" customHeight="1">
      <c r="A49" s="1818" t="s">
        <v>2601</v>
      </c>
      <c r="B49" s="1818" t="s">
        <v>14</v>
      </c>
      <c r="C49" s="1818" t="s">
        <v>2803</v>
      </c>
      <c r="D49" s="1818" t="s">
        <v>2804</v>
      </c>
      <c r="E49" s="1818" t="s">
        <v>2805</v>
      </c>
      <c r="F49" s="1818" t="s">
        <v>2619</v>
      </c>
      <c r="G49" s="1818" t="s">
        <v>24</v>
      </c>
      <c r="H49" s="1818" t="s">
        <v>24</v>
      </c>
      <c r="I49" s="1818" t="s">
        <v>1180</v>
      </c>
    </row>
    <row r="50" spans="1:9" ht="11.25" customHeight="1">
      <c r="A50" s="1818" t="s">
        <v>2601</v>
      </c>
      <c r="B50" s="1818" t="s">
        <v>14</v>
      </c>
      <c r="C50" s="1818" t="s">
        <v>2806</v>
      </c>
      <c r="D50" s="1818" t="s">
        <v>2807</v>
      </c>
      <c r="E50" s="1818" t="s">
        <v>2808</v>
      </c>
      <c r="F50" s="1818" t="s">
        <v>2738</v>
      </c>
      <c r="G50" s="1818" t="s">
        <v>2809</v>
      </c>
      <c r="H50" s="1818" t="s">
        <v>24</v>
      </c>
      <c r="I50" s="1818" t="s">
        <v>1180</v>
      </c>
    </row>
    <row r="51" spans="1:9" ht="11.25" customHeight="1">
      <c r="A51" s="1818" t="s">
        <v>2601</v>
      </c>
      <c r="B51" s="1818" t="s">
        <v>14</v>
      </c>
      <c r="C51" s="1818" t="s">
        <v>2810</v>
      </c>
      <c r="D51" s="1818" t="s">
        <v>2811</v>
      </c>
      <c r="E51" s="1818" t="s">
        <v>2812</v>
      </c>
      <c r="F51" s="1818" t="s">
        <v>2619</v>
      </c>
      <c r="G51" s="1818" t="s">
        <v>24</v>
      </c>
      <c r="H51" s="1818" t="s">
        <v>24</v>
      </c>
      <c r="I51" s="1818" t="s">
        <v>1180</v>
      </c>
    </row>
    <row r="52" spans="1:9" ht="11.25" customHeight="1">
      <c r="A52" s="1818" t="s">
        <v>2601</v>
      </c>
      <c r="B52" s="1818" t="s">
        <v>14</v>
      </c>
      <c r="C52" s="1818" t="s">
        <v>2813</v>
      </c>
      <c r="D52" s="1818" t="s">
        <v>2814</v>
      </c>
      <c r="E52" s="1818" t="s">
        <v>2815</v>
      </c>
      <c r="F52" s="1818" t="s">
        <v>2648</v>
      </c>
      <c r="G52" s="1818" t="s">
        <v>2816</v>
      </c>
      <c r="H52" s="1818" t="s">
        <v>24</v>
      </c>
      <c r="I52" s="1818" t="s">
        <v>1180</v>
      </c>
    </row>
    <row r="53" spans="1:9" ht="11.25" customHeight="1">
      <c r="A53" s="1818" t="s">
        <v>2601</v>
      </c>
      <c r="B53" s="1818" t="s">
        <v>14</v>
      </c>
      <c r="C53" s="1818" t="s">
        <v>2817</v>
      </c>
      <c r="D53" s="1818" t="s">
        <v>2818</v>
      </c>
      <c r="E53" s="1818" t="s">
        <v>2819</v>
      </c>
      <c r="F53" s="1818" t="s">
        <v>2610</v>
      </c>
      <c r="G53" s="1818" t="s">
        <v>2820</v>
      </c>
      <c r="H53" s="1818" t="s">
        <v>24</v>
      </c>
      <c r="I53" s="1818" t="s">
        <v>1180</v>
      </c>
    </row>
    <row r="54" spans="1:9" ht="11.25" customHeight="1">
      <c r="A54" s="1818" t="s">
        <v>2601</v>
      </c>
      <c r="B54" s="1818" t="s">
        <v>14</v>
      </c>
      <c r="C54" s="1818" t="s">
        <v>2821</v>
      </c>
      <c r="D54" s="1818" t="s">
        <v>2822</v>
      </c>
      <c r="E54" s="1818" t="s">
        <v>2823</v>
      </c>
      <c r="F54" s="1818" t="s">
        <v>2648</v>
      </c>
      <c r="G54" s="1818" t="s">
        <v>2824</v>
      </c>
      <c r="H54" s="1818" t="s">
        <v>24</v>
      </c>
      <c r="I54" s="1818" t="s">
        <v>1180</v>
      </c>
    </row>
    <row r="55" spans="1:9" ht="11.25" customHeight="1">
      <c r="A55" s="1818" t="s">
        <v>2601</v>
      </c>
      <c r="B55" s="1818" t="s">
        <v>14</v>
      </c>
      <c r="C55" s="1818" t="s">
        <v>2825</v>
      </c>
      <c r="D55" s="1818" t="s">
        <v>2826</v>
      </c>
      <c r="E55" s="1818" t="s">
        <v>2827</v>
      </c>
      <c r="F55" s="1818" t="s">
        <v>2828</v>
      </c>
      <c r="G55" s="1818" t="s">
        <v>2829</v>
      </c>
      <c r="H55" s="1818" t="s">
        <v>24</v>
      </c>
      <c r="I55" s="1818" t="s">
        <v>1180</v>
      </c>
    </row>
    <row r="56" spans="1:9" ht="11.25" customHeight="1">
      <c r="A56" s="1818" t="s">
        <v>2601</v>
      </c>
      <c r="B56" s="1818" t="s">
        <v>14</v>
      </c>
      <c r="C56" s="1818" t="s">
        <v>2830</v>
      </c>
      <c r="D56" s="1818" t="s">
        <v>2831</v>
      </c>
      <c r="E56" s="1818" t="s">
        <v>2832</v>
      </c>
      <c r="F56" s="1818" t="s">
        <v>2738</v>
      </c>
      <c r="G56" s="1818" t="s">
        <v>2833</v>
      </c>
      <c r="H56" s="1818" t="s">
        <v>24</v>
      </c>
      <c r="I56" s="1818" t="s">
        <v>1180</v>
      </c>
    </row>
    <row r="57" spans="1:9" ht="11.25" customHeight="1">
      <c r="A57" s="1818" t="s">
        <v>2601</v>
      </c>
      <c r="B57" s="1818" t="s">
        <v>14</v>
      </c>
      <c r="C57" s="1818" t="s">
        <v>2834</v>
      </c>
      <c r="D57" s="1818" t="s">
        <v>2835</v>
      </c>
      <c r="E57" s="1818" t="s">
        <v>2836</v>
      </c>
      <c r="F57" s="1818" t="s">
        <v>2828</v>
      </c>
      <c r="G57" s="1818" t="s">
        <v>2837</v>
      </c>
      <c r="H57" s="1818" t="s">
        <v>24</v>
      </c>
      <c r="I57" s="1818" t="s">
        <v>1180</v>
      </c>
    </row>
    <row r="58" spans="1:9" ht="11.25" customHeight="1">
      <c r="A58" s="1818" t="s">
        <v>2601</v>
      </c>
      <c r="B58" s="1818" t="s">
        <v>14</v>
      </c>
      <c r="C58" s="1818" t="s">
        <v>2838</v>
      </c>
      <c r="D58" s="1818" t="s">
        <v>2839</v>
      </c>
      <c r="E58" s="1818" t="s">
        <v>2840</v>
      </c>
      <c r="F58" s="1818" t="s">
        <v>2797</v>
      </c>
      <c r="G58" s="1818" t="s">
        <v>2841</v>
      </c>
      <c r="H58" s="1818" t="s">
        <v>24</v>
      </c>
      <c r="I58" s="1818" t="s">
        <v>1180</v>
      </c>
    </row>
    <row r="59" spans="1:9" ht="11.25" customHeight="1">
      <c r="A59" s="1818" t="s">
        <v>2601</v>
      </c>
      <c r="B59" s="1818" t="s">
        <v>14</v>
      </c>
      <c r="C59" s="1818" t="s">
        <v>2842</v>
      </c>
      <c r="D59" s="1818" t="s">
        <v>2843</v>
      </c>
      <c r="E59" s="1818" t="s">
        <v>2844</v>
      </c>
      <c r="F59" s="1818" t="s">
        <v>2632</v>
      </c>
      <c r="G59" s="1818" t="s">
        <v>2845</v>
      </c>
      <c r="H59" s="1818" t="s">
        <v>24</v>
      </c>
      <c r="I59" s="1818" t="s">
        <v>1180</v>
      </c>
    </row>
    <row r="60" spans="1:9" ht="11.25" customHeight="1">
      <c r="A60" s="1818" t="s">
        <v>2601</v>
      </c>
      <c r="B60" s="1818" t="s">
        <v>14</v>
      </c>
      <c r="C60" s="1818" t="s">
        <v>2846</v>
      </c>
      <c r="D60" s="1818" t="s">
        <v>2847</v>
      </c>
      <c r="E60" s="1818" t="s">
        <v>2848</v>
      </c>
      <c r="F60" s="1818" t="s">
        <v>2849</v>
      </c>
      <c r="G60" s="1818" t="s">
        <v>24</v>
      </c>
      <c r="H60" s="1818" t="s">
        <v>24</v>
      </c>
      <c r="I60" s="1818" t="s">
        <v>1180</v>
      </c>
    </row>
    <row r="61" spans="1:9" ht="11.25" customHeight="1">
      <c r="A61" s="1818" t="s">
        <v>2601</v>
      </c>
      <c r="B61" s="1818" t="s">
        <v>14</v>
      </c>
      <c r="C61" s="1818" t="s">
        <v>2850</v>
      </c>
      <c r="D61" s="1818" t="s">
        <v>2851</v>
      </c>
      <c r="E61" s="1818" t="s">
        <v>2852</v>
      </c>
      <c r="F61" s="1818" t="s">
        <v>2853</v>
      </c>
      <c r="G61" s="1818" t="s">
        <v>2854</v>
      </c>
      <c r="H61" s="1818" t="s">
        <v>24</v>
      </c>
      <c r="I61" s="1818" t="s">
        <v>1180</v>
      </c>
    </row>
    <row r="62" spans="1:9" ht="11.25" customHeight="1">
      <c r="A62" s="1818" t="s">
        <v>2601</v>
      </c>
      <c r="B62" s="1818" t="s">
        <v>14</v>
      </c>
      <c r="C62" s="1818" t="s">
        <v>2855</v>
      </c>
      <c r="D62" s="1818" t="s">
        <v>2856</v>
      </c>
      <c r="E62" s="1818" t="s">
        <v>2857</v>
      </c>
      <c r="F62" s="1818" t="s">
        <v>2858</v>
      </c>
      <c r="G62" s="1818" t="s">
        <v>2859</v>
      </c>
      <c r="H62" s="1818" t="s">
        <v>24</v>
      </c>
      <c r="I62" s="1818" t="s">
        <v>1180</v>
      </c>
    </row>
    <row r="63" spans="1:9" ht="11.25" customHeight="1">
      <c r="A63" s="1818" t="s">
        <v>2601</v>
      </c>
      <c r="B63" s="1818" t="s">
        <v>14</v>
      </c>
      <c r="C63" s="1818" t="s">
        <v>2860</v>
      </c>
      <c r="D63" s="1818" t="s">
        <v>2861</v>
      </c>
      <c r="E63" s="1818" t="s">
        <v>2862</v>
      </c>
      <c r="F63" s="1818" t="s">
        <v>2853</v>
      </c>
      <c r="G63" s="1818" t="s">
        <v>2863</v>
      </c>
      <c r="H63" s="1818" t="s">
        <v>24</v>
      </c>
      <c r="I63" s="1818" t="s">
        <v>1180</v>
      </c>
    </row>
    <row r="64" spans="1:9" ht="11.25" customHeight="1">
      <c r="A64" s="1818" t="s">
        <v>2601</v>
      </c>
      <c r="B64" s="1818" t="s">
        <v>14</v>
      </c>
      <c r="C64" s="1818" t="s">
        <v>2864</v>
      </c>
      <c r="D64" s="1818" t="s">
        <v>2865</v>
      </c>
      <c r="E64" s="1818" t="s">
        <v>2866</v>
      </c>
      <c r="F64" s="1818" t="s">
        <v>2867</v>
      </c>
      <c r="G64" s="1818" t="s">
        <v>2868</v>
      </c>
      <c r="H64" s="1818" t="s">
        <v>24</v>
      </c>
      <c r="I64" s="1818" t="s">
        <v>1180</v>
      </c>
    </row>
    <row r="65" spans="1:9" ht="11.25" customHeight="1">
      <c r="A65" s="1818" t="s">
        <v>2601</v>
      </c>
      <c r="B65" s="1818" t="s">
        <v>14</v>
      </c>
      <c r="C65" s="1818" t="s">
        <v>2869</v>
      </c>
      <c r="D65" s="1818" t="s">
        <v>2870</v>
      </c>
      <c r="E65" s="1818" t="s">
        <v>2871</v>
      </c>
      <c r="F65" s="1818" t="s">
        <v>2872</v>
      </c>
      <c r="G65" s="1818" t="s">
        <v>2873</v>
      </c>
      <c r="H65" s="1818" t="s">
        <v>24</v>
      </c>
      <c r="I65" s="1818" t="s">
        <v>1180</v>
      </c>
    </row>
    <row r="66" spans="1:9" ht="11.25" customHeight="1">
      <c r="A66" s="1818" t="s">
        <v>2601</v>
      </c>
      <c r="B66" s="1818" t="s">
        <v>14</v>
      </c>
      <c r="C66" s="1818" t="s">
        <v>2874</v>
      </c>
      <c r="D66" s="1818" t="s">
        <v>2875</v>
      </c>
      <c r="E66" s="1818" t="s">
        <v>2876</v>
      </c>
      <c r="F66" s="1818" t="s">
        <v>48</v>
      </c>
      <c r="G66" s="1818" t="s">
        <v>24</v>
      </c>
      <c r="H66" s="1818" t="s">
        <v>24</v>
      </c>
      <c r="I66" s="1818" t="s">
        <v>1180</v>
      </c>
    </row>
    <row r="67" spans="1:9" ht="11.25" customHeight="1">
      <c r="A67" s="1818" t="s">
        <v>2601</v>
      </c>
      <c r="B67" s="1818" t="s">
        <v>14</v>
      </c>
      <c r="C67" s="1818" t="s">
        <v>2877</v>
      </c>
      <c r="D67" s="1818" t="s">
        <v>2878</v>
      </c>
      <c r="E67" s="1818" t="s">
        <v>2879</v>
      </c>
      <c r="F67" s="1818" t="s">
        <v>2880</v>
      </c>
      <c r="G67" s="1818" t="s">
        <v>2881</v>
      </c>
      <c r="H67" s="1818" t="s">
        <v>24</v>
      </c>
      <c r="I67" s="1818" t="s">
        <v>1180</v>
      </c>
    </row>
    <row r="68" spans="1:9" ht="11.25" customHeight="1">
      <c r="A68" s="1818" t="s">
        <v>2601</v>
      </c>
      <c r="B68" s="1818" t="s">
        <v>14</v>
      </c>
      <c r="C68" s="1818" t="s">
        <v>24</v>
      </c>
      <c r="D68" s="1818" t="s">
        <v>2882</v>
      </c>
      <c r="E68" s="1818" t="s">
        <v>2883</v>
      </c>
      <c r="F68" s="1818" t="s">
        <v>2884</v>
      </c>
      <c r="G68" s="1818" t="s">
        <v>24</v>
      </c>
      <c r="H68" s="1818" t="s">
        <v>24</v>
      </c>
      <c r="I68" s="1818" t="s">
        <v>1180</v>
      </c>
    </row>
    <row r="69" spans="1:9" ht="11.25" customHeight="1">
      <c r="A69" s="1818" t="s">
        <v>2601</v>
      </c>
      <c r="B69" s="1818" t="s">
        <v>14</v>
      </c>
      <c r="C69" s="1818" t="s">
        <v>2885</v>
      </c>
      <c r="D69" s="1818" t="s">
        <v>2886</v>
      </c>
      <c r="E69" s="1818" t="s">
        <v>2887</v>
      </c>
      <c r="F69" s="1818" t="s">
        <v>2888</v>
      </c>
      <c r="G69" s="1818" t="s">
        <v>2889</v>
      </c>
      <c r="H69" s="1818" t="s">
        <v>24</v>
      </c>
      <c r="I69" s="1818" t="s">
        <v>1180</v>
      </c>
    </row>
    <row r="70" spans="1:9" ht="11.25" customHeight="1">
      <c r="A70" s="1818" t="s">
        <v>2601</v>
      </c>
      <c r="B70" s="1818" t="s">
        <v>14</v>
      </c>
      <c r="C70" s="1818" t="s">
        <v>2890</v>
      </c>
      <c r="D70" s="1818" t="s">
        <v>2891</v>
      </c>
      <c r="E70" s="1818" t="s">
        <v>2892</v>
      </c>
      <c r="F70" s="1818" t="s">
        <v>2893</v>
      </c>
      <c r="G70" s="1818" t="s">
        <v>24</v>
      </c>
      <c r="H70" s="1818" t="s">
        <v>24</v>
      </c>
      <c r="I70" s="1818" t="s">
        <v>1180</v>
      </c>
    </row>
    <row r="71" spans="1:9" ht="11.25" customHeight="1">
      <c r="A71" s="1818" t="s">
        <v>2601</v>
      </c>
      <c r="B71" s="1818" t="s">
        <v>14</v>
      </c>
      <c r="C71" s="1818" t="s">
        <v>2894</v>
      </c>
      <c r="D71" s="1818" t="s">
        <v>2895</v>
      </c>
      <c r="E71" s="1818" t="s">
        <v>2896</v>
      </c>
      <c r="F71" s="1818" t="s">
        <v>2897</v>
      </c>
      <c r="G71" s="1818" t="s">
        <v>2898</v>
      </c>
      <c r="H71" s="1818" t="s">
        <v>24</v>
      </c>
      <c r="I71" s="1818" t="s">
        <v>1180</v>
      </c>
    </row>
    <row r="72" spans="1:9" ht="11.25" customHeight="1">
      <c r="A72" s="1818" t="s">
        <v>2601</v>
      </c>
      <c r="B72" s="1818" t="s">
        <v>14</v>
      </c>
      <c r="C72" s="1818" t="s">
        <v>2899</v>
      </c>
      <c r="D72" s="1818" t="s">
        <v>2900</v>
      </c>
      <c r="E72" s="1818" t="s">
        <v>2901</v>
      </c>
      <c r="F72" s="1818" t="s">
        <v>2884</v>
      </c>
      <c r="G72" s="1818" t="s">
        <v>24</v>
      </c>
      <c r="H72" s="1818" t="s">
        <v>24</v>
      </c>
      <c r="I72" s="1818" t="s">
        <v>1180</v>
      </c>
    </row>
    <row r="73" spans="1:9" ht="11.25" customHeight="1">
      <c r="A73" s="1818" t="s">
        <v>2601</v>
      </c>
      <c r="B73" s="1818" t="s">
        <v>14</v>
      </c>
      <c r="C73" s="1818" t="s">
        <v>2902</v>
      </c>
      <c r="D73" s="1818" t="s">
        <v>2903</v>
      </c>
      <c r="E73" s="1818" t="s">
        <v>2904</v>
      </c>
      <c r="F73" s="1818" t="s">
        <v>2905</v>
      </c>
      <c r="G73" s="1818" t="s">
        <v>2719</v>
      </c>
      <c r="H73" s="1818" t="s">
        <v>24</v>
      </c>
      <c r="I73" s="1818" t="s">
        <v>1180</v>
      </c>
    </row>
    <row r="74" spans="1:9" ht="11.25" customHeight="1">
      <c r="A74" s="1818" t="s">
        <v>2601</v>
      </c>
      <c r="B74" s="1818" t="s">
        <v>14</v>
      </c>
      <c r="C74" s="1818" t="s">
        <v>2906</v>
      </c>
      <c r="D74" s="1818" t="s">
        <v>2907</v>
      </c>
      <c r="E74" s="1818" t="s">
        <v>2908</v>
      </c>
      <c r="F74" s="1818" t="s">
        <v>2909</v>
      </c>
      <c r="G74" s="1818" t="s">
        <v>2910</v>
      </c>
      <c r="H74" s="1818" t="s">
        <v>24</v>
      </c>
      <c r="I74" s="1818" t="s">
        <v>1180</v>
      </c>
    </row>
    <row r="75" spans="1:9" ht="11.25" customHeight="1">
      <c r="A75" s="1818" t="s">
        <v>2601</v>
      </c>
      <c r="B75" s="1818" t="s">
        <v>14</v>
      </c>
      <c r="C75" s="1818" t="s">
        <v>2911</v>
      </c>
      <c r="D75" s="1818" t="s">
        <v>2912</v>
      </c>
      <c r="E75" s="1818" t="s">
        <v>2913</v>
      </c>
      <c r="F75" s="1818" t="s">
        <v>2658</v>
      </c>
      <c r="G75" s="1818" t="s">
        <v>2914</v>
      </c>
      <c r="H75" s="1818" t="s">
        <v>24</v>
      </c>
      <c r="I75" s="1818" t="s">
        <v>1180</v>
      </c>
    </row>
    <row r="76" spans="1:9" ht="11.25" customHeight="1">
      <c r="A76" s="1818" t="s">
        <v>2601</v>
      </c>
      <c r="B76" s="1818" t="s">
        <v>14</v>
      </c>
      <c r="C76" s="1818" t="s">
        <v>2915</v>
      </c>
      <c r="D76" s="1818" t="s">
        <v>2916</v>
      </c>
      <c r="E76" s="1818" t="s">
        <v>2871</v>
      </c>
      <c r="F76" s="1818" t="s">
        <v>2917</v>
      </c>
      <c r="G76" s="1818" t="s">
        <v>2873</v>
      </c>
      <c r="H76" s="1818" t="s">
        <v>24</v>
      </c>
      <c r="I76" s="1818" t="s">
        <v>1180</v>
      </c>
    </row>
    <row r="77" spans="1:9" ht="11.25" customHeight="1">
      <c r="A77" s="1818" t="s">
        <v>2601</v>
      </c>
      <c r="B77" s="1818" t="s">
        <v>14</v>
      </c>
      <c r="C77" s="1818" t="s">
        <v>2638</v>
      </c>
      <c r="D77" s="1818" t="s">
        <v>2639</v>
      </c>
      <c r="E77" s="1818" t="s">
        <v>2640</v>
      </c>
      <c r="F77" s="1818" t="s">
        <v>2610</v>
      </c>
      <c r="G77" s="1818" t="s">
        <v>24</v>
      </c>
      <c r="H77" s="1818" t="s">
        <v>24</v>
      </c>
      <c r="I77" s="1818" t="s">
        <v>1264</v>
      </c>
    </row>
    <row r="78" spans="1:9" ht="11.25" customHeight="1">
      <c r="A78" s="1818" t="s">
        <v>2601</v>
      </c>
      <c r="B78" s="1818" t="s">
        <v>14</v>
      </c>
      <c r="C78" s="1818" t="s">
        <v>2645</v>
      </c>
      <c r="D78" s="1818" t="s">
        <v>2646</v>
      </c>
      <c r="E78" s="1818" t="s">
        <v>2647</v>
      </c>
      <c r="F78" s="1818" t="s">
        <v>2648</v>
      </c>
      <c r="G78" s="1818" t="s">
        <v>2649</v>
      </c>
      <c r="H78" s="1818" t="s">
        <v>24</v>
      </c>
      <c r="I78" s="1818" t="s">
        <v>1264</v>
      </c>
    </row>
    <row r="79" spans="1:9" ht="11.25" customHeight="1">
      <c r="A79" s="1818" t="s">
        <v>2601</v>
      </c>
      <c r="B79" s="1818" t="s">
        <v>14</v>
      </c>
      <c r="C79" s="1818" t="s">
        <v>2650</v>
      </c>
      <c r="D79" s="1818" t="s">
        <v>2651</v>
      </c>
      <c r="E79" s="1818" t="s">
        <v>2652</v>
      </c>
      <c r="F79" s="1818" t="s">
        <v>2653</v>
      </c>
      <c r="G79" s="1818" t="s">
        <v>2654</v>
      </c>
      <c r="H79" s="1818" t="s">
        <v>24</v>
      </c>
      <c r="I79" s="1818" t="s">
        <v>1264</v>
      </c>
    </row>
    <row r="80" spans="1:9" ht="11.25" customHeight="1">
      <c r="A80" s="1818" t="s">
        <v>2601</v>
      </c>
      <c r="B80" s="1818" t="s">
        <v>14</v>
      </c>
      <c r="C80" s="1818" t="s">
        <v>2659</v>
      </c>
      <c r="D80" s="1818" t="s">
        <v>2660</v>
      </c>
      <c r="E80" s="1818" t="s">
        <v>2661</v>
      </c>
      <c r="F80" s="1818" t="s">
        <v>2662</v>
      </c>
      <c r="G80" s="1818" t="s">
        <v>2663</v>
      </c>
      <c r="H80" s="1818" t="s">
        <v>24</v>
      </c>
      <c r="I80" s="1818" t="s">
        <v>1264</v>
      </c>
    </row>
    <row r="81" spans="1:9" ht="11.25" customHeight="1">
      <c r="A81" s="1818" t="s">
        <v>2601</v>
      </c>
      <c r="B81" s="1818" t="s">
        <v>14</v>
      </c>
      <c r="C81" s="1818" t="s">
        <v>2677</v>
      </c>
      <c r="D81" s="1818" t="s">
        <v>2678</v>
      </c>
      <c r="E81" s="1818" t="s">
        <v>2679</v>
      </c>
      <c r="F81" s="1818" t="s">
        <v>48</v>
      </c>
      <c r="G81" s="1818" t="s">
        <v>2680</v>
      </c>
      <c r="H81" s="1818" t="s">
        <v>24</v>
      </c>
      <c r="I81" s="1818" t="s">
        <v>1264</v>
      </c>
    </row>
    <row r="82" spans="1:9" ht="11.25" customHeight="1">
      <c r="A82" s="1818" t="s">
        <v>2601</v>
      </c>
      <c r="B82" s="1818" t="s">
        <v>14</v>
      </c>
      <c r="C82" s="1818" t="s">
        <v>2681</v>
      </c>
      <c r="D82" s="1818" t="s">
        <v>43</v>
      </c>
      <c r="E82" s="1818" t="s">
        <v>46</v>
      </c>
      <c r="F82" s="1818" t="s">
        <v>48</v>
      </c>
      <c r="G82" s="1818" t="s">
        <v>2682</v>
      </c>
      <c r="H82" s="1818" t="s">
        <v>24</v>
      </c>
      <c r="I82" s="1818" t="s">
        <v>1264</v>
      </c>
    </row>
    <row r="83" spans="1:9" ht="11.25" customHeight="1">
      <c r="A83" s="1818" t="s">
        <v>2601</v>
      </c>
      <c r="B83" s="1818" t="s">
        <v>14</v>
      </c>
      <c r="C83" s="1818" t="s">
        <v>2683</v>
      </c>
      <c r="D83" s="1818" t="s">
        <v>2684</v>
      </c>
      <c r="E83" s="1818" t="s">
        <v>2685</v>
      </c>
      <c r="F83" s="1818" t="s">
        <v>2686</v>
      </c>
      <c r="G83" s="1818" t="s">
        <v>2687</v>
      </c>
      <c r="H83" s="1818" t="s">
        <v>24</v>
      </c>
      <c r="I83" s="1818" t="s">
        <v>1264</v>
      </c>
    </row>
    <row r="84" spans="1:9" ht="11.25" customHeight="1">
      <c r="A84" s="1818" t="s">
        <v>2601</v>
      </c>
      <c r="B84" s="1818" t="s">
        <v>14</v>
      </c>
      <c r="C84" s="1818" t="s">
        <v>2712</v>
      </c>
      <c r="D84" s="1818" t="s">
        <v>2713</v>
      </c>
      <c r="E84" s="1818" t="s">
        <v>2714</v>
      </c>
      <c r="F84" s="1818" t="s">
        <v>2619</v>
      </c>
      <c r="G84" s="1818" t="s">
        <v>2715</v>
      </c>
      <c r="H84" s="1818" t="s">
        <v>24</v>
      </c>
      <c r="I84" s="1818" t="s">
        <v>1264</v>
      </c>
    </row>
    <row r="85" spans="1:9" ht="11.25" customHeight="1">
      <c r="A85" s="1818" t="s">
        <v>2601</v>
      </c>
      <c r="B85" s="1818" t="s">
        <v>14</v>
      </c>
      <c r="C85" s="1818" t="s">
        <v>2730</v>
      </c>
      <c r="D85" s="1818" t="s">
        <v>2731</v>
      </c>
      <c r="E85" s="1818" t="s">
        <v>2732</v>
      </c>
      <c r="F85" s="1818" t="s">
        <v>2733</v>
      </c>
      <c r="G85" s="1818" t="s">
        <v>2734</v>
      </c>
      <c r="H85" s="1818" t="s">
        <v>24</v>
      </c>
      <c r="I85" s="1818" t="s">
        <v>1264</v>
      </c>
    </row>
    <row r="86" spans="1:9" ht="11.25" customHeight="1">
      <c r="A86" s="1818" t="s">
        <v>2601</v>
      </c>
      <c r="B86" s="1818" t="s">
        <v>14</v>
      </c>
      <c r="C86" s="1818" t="s">
        <v>2749</v>
      </c>
      <c r="D86" s="1818" t="s">
        <v>2750</v>
      </c>
      <c r="E86" s="1818" t="s">
        <v>2623</v>
      </c>
      <c r="F86" s="1818" t="s">
        <v>2751</v>
      </c>
      <c r="G86" s="1818" t="s">
        <v>2752</v>
      </c>
      <c r="H86" s="1818" t="s">
        <v>24</v>
      </c>
      <c r="I86" s="1818" t="s">
        <v>1264</v>
      </c>
    </row>
    <row r="87" spans="1:9" ht="11.25" customHeight="1">
      <c r="A87" s="1818" t="s">
        <v>2601</v>
      </c>
      <c r="B87" s="1818" t="s">
        <v>14</v>
      </c>
      <c r="C87" s="1818" t="s">
        <v>2753</v>
      </c>
      <c r="D87" s="1818" t="s">
        <v>2754</v>
      </c>
      <c r="E87" s="1818" t="s">
        <v>2755</v>
      </c>
      <c r="F87" s="1818" t="s">
        <v>2756</v>
      </c>
      <c r="G87" s="1818" t="s">
        <v>24</v>
      </c>
      <c r="H87" s="1818" t="s">
        <v>2757</v>
      </c>
      <c r="I87" s="1818" t="s">
        <v>1264</v>
      </c>
    </row>
    <row r="88" spans="1:9" ht="11.25" customHeight="1">
      <c r="A88" s="1818" t="s">
        <v>2601</v>
      </c>
      <c r="B88" s="1818" t="s">
        <v>14</v>
      </c>
      <c r="C88" s="1818" t="s">
        <v>2758</v>
      </c>
      <c r="D88" s="1818" t="s">
        <v>2759</v>
      </c>
      <c r="E88" s="1818" t="s">
        <v>2760</v>
      </c>
      <c r="F88" s="1818" t="s">
        <v>2619</v>
      </c>
      <c r="G88" s="1818" t="s">
        <v>2761</v>
      </c>
      <c r="H88" s="1818" t="s">
        <v>24</v>
      </c>
      <c r="I88" s="1818" t="s">
        <v>1264</v>
      </c>
    </row>
    <row r="89" spans="1:9" ht="11.25" customHeight="1">
      <c r="A89" s="1818" t="s">
        <v>2601</v>
      </c>
      <c r="B89" s="1818" t="s">
        <v>14</v>
      </c>
      <c r="C89" s="1818" t="s">
        <v>2767</v>
      </c>
      <c r="D89" s="1818" t="s">
        <v>2768</v>
      </c>
      <c r="E89" s="1818" t="s">
        <v>2769</v>
      </c>
      <c r="F89" s="1818" t="s">
        <v>2632</v>
      </c>
      <c r="G89" s="1818" t="s">
        <v>24</v>
      </c>
      <c r="H89" s="1818" t="s">
        <v>24</v>
      </c>
      <c r="I89" s="1818" t="s">
        <v>1264</v>
      </c>
    </row>
    <row r="90" spans="1:9" ht="11.25" customHeight="1">
      <c r="A90" s="1818" t="s">
        <v>2601</v>
      </c>
      <c r="B90" s="1818" t="s">
        <v>14</v>
      </c>
      <c r="C90" s="1818" t="s">
        <v>2775</v>
      </c>
      <c r="D90" s="1818" t="s">
        <v>2776</v>
      </c>
      <c r="E90" s="1818" t="s">
        <v>2777</v>
      </c>
      <c r="F90" s="1818" t="s">
        <v>2667</v>
      </c>
      <c r="G90" s="1818" t="s">
        <v>2778</v>
      </c>
      <c r="H90" s="1818" t="s">
        <v>24</v>
      </c>
      <c r="I90" s="1818" t="s">
        <v>1264</v>
      </c>
    </row>
    <row r="91" spans="1:9" ht="11.25" customHeight="1">
      <c r="A91" s="1818" t="s">
        <v>2601</v>
      </c>
      <c r="B91" s="1818" t="s">
        <v>14</v>
      </c>
      <c r="C91" s="1818" t="s">
        <v>2784</v>
      </c>
      <c r="D91" s="1818" t="s">
        <v>2785</v>
      </c>
      <c r="E91" s="1818" t="s">
        <v>2786</v>
      </c>
      <c r="F91" s="1818" t="s">
        <v>2653</v>
      </c>
      <c r="G91" s="1818" t="s">
        <v>24</v>
      </c>
      <c r="H91" s="1818" t="s">
        <v>24</v>
      </c>
      <c r="I91" s="1818" t="s">
        <v>1264</v>
      </c>
    </row>
    <row r="92" spans="1:9" ht="11.25" customHeight="1">
      <c r="A92" s="1818" t="s">
        <v>2601</v>
      </c>
      <c r="B92" s="1818" t="s">
        <v>14</v>
      </c>
      <c r="C92" s="1818" t="s">
        <v>2787</v>
      </c>
      <c r="D92" s="1818" t="s">
        <v>2788</v>
      </c>
      <c r="E92" s="1818" t="s">
        <v>2789</v>
      </c>
      <c r="F92" s="1818" t="s">
        <v>2619</v>
      </c>
      <c r="G92" s="1818" t="s">
        <v>24</v>
      </c>
      <c r="H92" s="1818" t="s">
        <v>24</v>
      </c>
      <c r="I92" s="1818" t="s">
        <v>1264</v>
      </c>
    </row>
    <row r="93" spans="1:9" ht="11.25" customHeight="1">
      <c r="A93" s="1818" t="s">
        <v>2601</v>
      </c>
      <c r="B93" s="1818" t="s">
        <v>14</v>
      </c>
      <c r="C93" s="1818" t="s">
        <v>2794</v>
      </c>
      <c r="D93" s="1818" t="s">
        <v>2795</v>
      </c>
      <c r="E93" s="1818" t="s">
        <v>2796</v>
      </c>
      <c r="F93" s="1818" t="s">
        <v>2797</v>
      </c>
      <c r="G93" s="1818" t="s">
        <v>2798</v>
      </c>
      <c r="H93" s="1818" t="s">
        <v>24</v>
      </c>
      <c r="I93" s="1818" t="s">
        <v>1264</v>
      </c>
    </row>
    <row r="94" spans="1:9" ht="11.25" customHeight="1">
      <c r="A94" s="1818" t="s">
        <v>2601</v>
      </c>
      <c r="B94" s="1818" t="s">
        <v>14</v>
      </c>
      <c r="C94" s="1818" t="s">
        <v>2799</v>
      </c>
      <c r="D94" s="1818" t="s">
        <v>2800</v>
      </c>
      <c r="E94" s="1818" t="s">
        <v>2801</v>
      </c>
      <c r="F94" s="1818" t="s">
        <v>2605</v>
      </c>
      <c r="G94" s="1818" t="s">
        <v>2802</v>
      </c>
      <c r="H94" s="1818" t="s">
        <v>24</v>
      </c>
      <c r="I94" s="1818" t="s">
        <v>1264</v>
      </c>
    </row>
    <row r="95" spans="1:9" ht="11.25" customHeight="1">
      <c r="A95" s="1818" t="s">
        <v>2601</v>
      </c>
      <c r="B95" s="1818" t="s">
        <v>14</v>
      </c>
      <c r="C95" s="1818" t="s">
        <v>2810</v>
      </c>
      <c r="D95" s="1818" t="s">
        <v>2811</v>
      </c>
      <c r="E95" s="1818" t="s">
        <v>2812</v>
      </c>
      <c r="F95" s="1818" t="s">
        <v>2619</v>
      </c>
      <c r="G95" s="1818" t="s">
        <v>24</v>
      </c>
      <c r="H95" s="1818" t="s">
        <v>24</v>
      </c>
      <c r="I95" s="1818" t="s">
        <v>1264</v>
      </c>
    </row>
    <row r="96" spans="1:9" ht="11.25" customHeight="1">
      <c r="A96" s="1818" t="s">
        <v>2601</v>
      </c>
      <c r="B96" s="1818" t="s">
        <v>14</v>
      </c>
      <c r="C96" s="1818" t="s">
        <v>2813</v>
      </c>
      <c r="D96" s="1818" t="s">
        <v>2814</v>
      </c>
      <c r="E96" s="1818" t="s">
        <v>2815</v>
      </c>
      <c r="F96" s="1818" t="s">
        <v>2648</v>
      </c>
      <c r="G96" s="1818" t="s">
        <v>2816</v>
      </c>
      <c r="H96" s="1818" t="s">
        <v>24</v>
      </c>
      <c r="I96" s="1818" t="s">
        <v>1264</v>
      </c>
    </row>
    <row r="97" spans="1:9" ht="11.25" customHeight="1">
      <c r="A97" s="1818" t="s">
        <v>2601</v>
      </c>
      <c r="B97" s="1818" t="s">
        <v>14</v>
      </c>
      <c r="C97" s="1818" t="s">
        <v>2817</v>
      </c>
      <c r="D97" s="1818" t="s">
        <v>2818</v>
      </c>
      <c r="E97" s="1818" t="s">
        <v>2819</v>
      </c>
      <c r="F97" s="1818" t="s">
        <v>2610</v>
      </c>
      <c r="G97" s="1818" t="s">
        <v>2820</v>
      </c>
      <c r="H97" s="1818" t="s">
        <v>24</v>
      </c>
      <c r="I97" s="1818" t="s">
        <v>1264</v>
      </c>
    </row>
    <row r="98" spans="1:9" ht="11.25" customHeight="1">
      <c r="A98" s="1818" t="s">
        <v>2601</v>
      </c>
      <c r="B98" s="1818" t="s">
        <v>14</v>
      </c>
      <c r="C98" s="1818" t="s">
        <v>2825</v>
      </c>
      <c r="D98" s="1818" t="s">
        <v>2826</v>
      </c>
      <c r="E98" s="1818" t="s">
        <v>2827</v>
      </c>
      <c r="F98" s="1818" t="s">
        <v>2828</v>
      </c>
      <c r="G98" s="1818" t="s">
        <v>2829</v>
      </c>
      <c r="H98" s="1818" t="s">
        <v>24</v>
      </c>
      <c r="I98" s="1818" t="s">
        <v>1264</v>
      </c>
    </row>
    <row r="99" spans="1:9" ht="11.25" customHeight="1">
      <c r="A99" s="1818" t="s">
        <v>2601</v>
      </c>
      <c r="B99" s="1818" t="s">
        <v>14</v>
      </c>
      <c r="C99" s="1818" t="s">
        <v>2842</v>
      </c>
      <c r="D99" s="1818" t="s">
        <v>2843</v>
      </c>
      <c r="E99" s="1818" t="s">
        <v>2844</v>
      </c>
      <c r="F99" s="1818" t="s">
        <v>2632</v>
      </c>
      <c r="G99" s="1818" t="s">
        <v>2845</v>
      </c>
      <c r="H99" s="1818" t="s">
        <v>24</v>
      </c>
      <c r="I99" s="1818" t="s">
        <v>1264</v>
      </c>
    </row>
    <row r="100" spans="1:9" ht="11.25" customHeight="1">
      <c r="A100" s="1818" t="s">
        <v>2601</v>
      </c>
      <c r="B100" s="1818" t="s">
        <v>14</v>
      </c>
      <c r="C100" s="1818" t="s">
        <v>2864</v>
      </c>
      <c r="D100" s="1818" t="s">
        <v>2865</v>
      </c>
      <c r="E100" s="1818" t="s">
        <v>2866</v>
      </c>
      <c r="F100" s="1818" t="s">
        <v>2867</v>
      </c>
      <c r="G100" s="1818" t="s">
        <v>2868</v>
      </c>
      <c r="H100" s="1818" t="s">
        <v>24</v>
      </c>
      <c r="I100" s="1818" t="s">
        <v>1264</v>
      </c>
    </row>
    <row r="101" spans="1:9" ht="11.25" customHeight="1">
      <c r="A101" s="1818" t="s">
        <v>2601</v>
      </c>
      <c r="B101" s="1818" t="s">
        <v>14</v>
      </c>
      <c r="C101" s="1818" t="s">
        <v>2869</v>
      </c>
      <c r="D101" s="1818" t="s">
        <v>2870</v>
      </c>
      <c r="E101" s="1818" t="s">
        <v>2871</v>
      </c>
      <c r="F101" s="1818" t="s">
        <v>2872</v>
      </c>
      <c r="G101" s="1818" t="s">
        <v>2873</v>
      </c>
      <c r="H101" s="1818" t="s">
        <v>24</v>
      </c>
      <c r="I101" s="1818" t="s">
        <v>1264</v>
      </c>
    </row>
    <row r="102" spans="1:9" ht="11.25" customHeight="1">
      <c r="A102" s="1818" t="s">
        <v>2601</v>
      </c>
      <c r="B102" s="1818" t="s">
        <v>14</v>
      </c>
      <c r="C102" s="1818" t="s">
        <v>24</v>
      </c>
      <c r="D102" s="1818" t="s">
        <v>2882</v>
      </c>
      <c r="E102" s="1818" t="s">
        <v>2883</v>
      </c>
      <c r="F102" s="1818" t="s">
        <v>2884</v>
      </c>
      <c r="G102" s="1818" t="s">
        <v>24</v>
      </c>
      <c r="H102" s="1818" t="s">
        <v>24</v>
      </c>
      <c r="I102" s="1818" t="s">
        <v>1264</v>
      </c>
    </row>
    <row r="103" spans="1:9" ht="11.25" customHeight="1">
      <c r="A103" s="1818" t="s">
        <v>2601</v>
      </c>
      <c r="B103" s="1818" t="s">
        <v>14</v>
      </c>
      <c r="C103" s="1818" t="s">
        <v>2885</v>
      </c>
      <c r="D103" s="1818" t="s">
        <v>2886</v>
      </c>
      <c r="E103" s="1818" t="s">
        <v>2887</v>
      </c>
      <c r="F103" s="1818" t="s">
        <v>2888</v>
      </c>
      <c r="G103" s="1818" t="s">
        <v>2889</v>
      </c>
      <c r="H103" s="1818" t="s">
        <v>24</v>
      </c>
      <c r="I103" s="1818" t="s">
        <v>1264</v>
      </c>
    </row>
    <row r="104" spans="1:9" ht="11.25" customHeight="1">
      <c r="A104" s="1818" t="s">
        <v>2601</v>
      </c>
      <c r="B104" s="1818" t="s">
        <v>14</v>
      </c>
      <c r="C104" s="1818" t="s">
        <v>2890</v>
      </c>
      <c r="D104" s="1818" t="s">
        <v>2891</v>
      </c>
      <c r="E104" s="1818" t="s">
        <v>2892</v>
      </c>
      <c r="F104" s="1818" t="s">
        <v>2893</v>
      </c>
      <c r="G104" s="1818" t="s">
        <v>24</v>
      </c>
      <c r="H104" s="1818" t="s">
        <v>24</v>
      </c>
      <c r="I104" s="1818" t="s">
        <v>1264</v>
      </c>
    </row>
    <row r="105" spans="1:9" ht="11.25" customHeight="1">
      <c r="A105" s="1818" t="s">
        <v>2601</v>
      </c>
      <c r="B105" s="1818" t="s">
        <v>14</v>
      </c>
      <c r="C105" s="1818" t="s">
        <v>2894</v>
      </c>
      <c r="D105" s="1818" t="s">
        <v>2895</v>
      </c>
      <c r="E105" s="1818" t="s">
        <v>2896</v>
      </c>
      <c r="F105" s="1818" t="s">
        <v>2897</v>
      </c>
      <c r="G105" s="1818" t="s">
        <v>2898</v>
      </c>
      <c r="H105" s="1818" t="s">
        <v>24</v>
      </c>
      <c r="I105" s="1818" t="s">
        <v>1264</v>
      </c>
    </row>
    <row r="106" spans="1:9" ht="11.25" customHeight="1">
      <c r="A106" s="1818" t="s">
        <v>2601</v>
      </c>
      <c r="B106" s="1818" t="s">
        <v>14</v>
      </c>
      <c r="C106" s="1818" t="s">
        <v>2899</v>
      </c>
      <c r="D106" s="1818" t="s">
        <v>2900</v>
      </c>
      <c r="E106" s="1818" t="s">
        <v>2901</v>
      </c>
      <c r="F106" s="1818" t="s">
        <v>2884</v>
      </c>
      <c r="G106" s="1818" t="s">
        <v>24</v>
      </c>
      <c r="H106" s="1818" t="s">
        <v>24</v>
      </c>
      <c r="I106" s="1818" t="s">
        <v>1264</v>
      </c>
    </row>
    <row r="107" spans="1:9" ht="11.25" customHeight="1">
      <c r="A107" s="1818" t="s">
        <v>2601</v>
      </c>
      <c r="B107" s="1818" t="s">
        <v>14</v>
      </c>
      <c r="C107" s="1818" t="s">
        <v>2902</v>
      </c>
      <c r="D107" s="1818" t="s">
        <v>2903</v>
      </c>
      <c r="E107" s="1818" t="s">
        <v>2904</v>
      </c>
      <c r="F107" s="1818" t="s">
        <v>2905</v>
      </c>
      <c r="G107" s="1818" t="s">
        <v>2719</v>
      </c>
      <c r="H107" s="1818" t="s">
        <v>24</v>
      </c>
      <c r="I107" s="1818" t="s">
        <v>1264</v>
      </c>
    </row>
    <row r="108" spans="1:9" ht="11.25" customHeight="1">
      <c r="A108" s="1818" t="s">
        <v>2601</v>
      </c>
      <c r="B108" s="1818" t="s">
        <v>14</v>
      </c>
      <c r="C108" s="1818" t="s">
        <v>2911</v>
      </c>
      <c r="D108" s="1818" t="s">
        <v>2912</v>
      </c>
      <c r="E108" s="1818" t="s">
        <v>2913</v>
      </c>
      <c r="F108" s="1818" t="s">
        <v>2658</v>
      </c>
      <c r="G108" s="1818" t="s">
        <v>2914</v>
      </c>
      <c r="H108" s="1818" t="s">
        <v>24</v>
      </c>
      <c r="I108" s="1818" t="s">
        <v>1264</v>
      </c>
    </row>
    <row r="109" spans="1:9" ht="11.25" customHeight="1">
      <c r="A109" s="1818" t="s">
        <v>2601</v>
      </c>
      <c r="B109" s="1818" t="s">
        <v>14</v>
      </c>
      <c r="C109" s="1818" t="s">
        <v>2915</v>
      </c>
      <c r="D109" s="1818" t="s">
        <v>2916</v>
      </c>
      <c r="E109" s="1818" t="s">
        <v>2871</v>
      </c>
      <c r="F109" s="1818" t="s">
        <v>2917</v>
      </c>
      <c r="G109" s="1818" t="s">
        <v>2873</v>
      </c>
      <c r="H109" s="1818" t="s">
        <v>24</v>
      </c>
      <c r="I109" s="1818" t="s">
        <v>1264</v>
      </c>
    </row>
    <row r="110" spans="1:9" ht="11.25" customHeight="1">
      <c r="A110" s="1818" t="s">
        <v>2601</v>
      </c>
      <c r="B110" s="1818" t="s">
        <v>14</v>
      </c>
      <c r="C110" s="1818" t="s">
        <v>2918</v>
      </c>
      <c r="D110" s="1818" t="s">
        <v>2919</v>
      </c>
      <c r="E110" s="1818" t="s">
        <v>2920</v>
      </c>
      <c r="F110" s="1818" t="s">
        <v>2610</v>
      </c>
      <c r="G110" s="1818" t="s">
        <v>2921</v>
      </c>
      <c r="H110" s="1818" t="s">
        <v>24</v>
      </c>
      <c r="I110" s="1818" t="s">
        <v>1226</v>
      </c>
    </row>
    <row r="111" spans="1:9" ht="11.25" customHeight="1">
      <c r="A111" s="1818" t="s">
        <v>2601</v>
      </c>
      <c r="B111" s="1818" t="s">
        <v>14</v>
      </c>
      <c r="C111" s="1818" t="s">
        <v>2922</v>
      </c>
      <c r="D111" s="1818" t="s">
        <v>2923</v>
      </c>
      <c r="E111" s="1818" t="s">
        <v>2924</v>
      </c>
      <c r="F111" s="1818" t="s">
        <v>48</v>
      </c>
      <c r="G111" s="1818" t="s">
        <v>2925</v>
      </c>
      <c r="H111" s="1818" t="s">
        <v>24</v>
      </c>
      <c r="I111" s="1818" t="s">
        <v>1226</v>
      </c>
    </row>
    <row r="112" spans="1:9" ht="11.25" customHeight="1">
      <c r="A112" s="1818" t="s">
        <v>2601</v>
      </c>
      <c r="B112" s="1818" t="s">
        <v>14</v>
      </c>
      <c r="C112" s="1818" t="s">
        <v>2612</v>
      </c>
      <c r="D112" s="1818" t="s">
        <v>2613</v>
      </c>
      <c r="E112" s="1818" t="s">
        <v>2614</v>
      </c>
      <c r="F112" s="1818" t="s">
        <v>2610</v>
      </c>
      <c r="G112" s="1818" t="s">
        <v>2615</v>
      </c>
      <c r="H112" s="1818" t="s">
        <v>24</v>
      </c>
      <c r="I112" s="1818" t="s">
        <v>1226</v>
      </c>
    </row>
    <row r="113" spans="1:9" ht="11.25" customHeight="1">
      <c r="A113" s="1818" t="s">
        <v>2601</v>
      </c>
      <c r="B113" s="1818" t="s">
        <v>14</v>
      </c>
      <c r="C113" s="1818" t="s">
        <v>2926</v>
      </c>
      <c r="D113" s="1818" t="s">
        <v>2927</v>
      </c>
      <c r="E113" s="1818" t="s">
        <v>2928</v>
      </c>
      <c r="F113" s="1818" t="s">
        <v>2884</v>
      </c>
      <c r="G113" s="1818" t="s">
        <v>2929</v>
      </c>
      <c r="H113" s="1818" t="s">
        <v>24</v>
      </c>
      <c r="I113" s="1818" t="s">
        <v>1226</v>
      </c>
    </row>
    <row r="114" spans="1:9" ht="11.25" customHeight="1">
      <c r="A114" s="1818" t="s">
        <v>2601</v>
      </c>
      <c r="B114" s="1818" t="s">
        <v>14</v>
      </c>
      <c r="C114" s="1818" t="s">
        <v>2664</v>
      </c>
      <c r="D114" s="1818" t="s">
        <v>2665</v>
      </c>
      <c r="E114" s="1818" t="s">
        <v>2666</v>
      </c>
      <c r="F114" s="1818" t="s">
        <v>2667</v>
      </c>
      <c r="G114" s="1818" t="s">
        <v>2668</v>
      </c>
      <c r="H114" s="1818" t="s">
        <v>24</v>
      </c>
      <c r="I114" s="1818" t="s">
        <v>1226</v>
      </c>
    </row>
    <row r="115" spans="1:9" ht="11.25" customHeight="1">
      <c r="A115" s="1818" t="s">
        <v>2601</v>
      </c>
      <c r="B115" s="1818" t="s">
        <v>14</v>
      </c>
      <c r="C115" s="1818" t="s">
        <v>2930</v>
      </c>
      <c r="D115" s="1818" t="s">
        <v>2931</v>
      </c>
      <c r="E115" s="1818" t="s">
        <v>2932</v>
      </c>
      <c r="F115" s="1818" t="s">
        <v>2884</v>
      </c>
      <c r="G115" s="1818" t="s">
        <v>2933</v>
      </c>
      <c r="H115" s="1818" t="s">
        <v>24</v>
      </c>
      <c r="I115" s="1818" t="s">
        <v>1226</v>
      </c>
    </row>
    <row r="116" spans="1:9" ht="11.25" customHeight="1">
      <c r="A116" s="1818" t="s">
        <v>2601</v>
      </c>
      <c r="B116" s="1818" t="s">
        <v>14</v>
      </c>
      <c r="C116" s="1818" t="s">
        <v>2934</v>
      </c>
      <c r="D116" s="1818" t="s">
        <v>2935</v>
      </c>
      <c r="E116" s="1818" t="s">
        <v>2936</v>
      </c>
      <c r="F116" s="1818" t="s">
        <v>2937</v>
      </c>
      <c r="G116" s="1818" t="s">
        <v>2938</v>
      </c>
      <c r="H116" s="1818" t="s">
        <v>24</v>
      </c>
      <c r="I116" s="1818" t="s">
        <v>1226</v>
      </c>
    </row>
    <row r="117" spans="1:9" ht="11.25" customHeight="1">
      <c r="A117" s="1818" t="s">
        <v>2601</v>
      </c>
      <c r="B117" s="1818" t="s">
        <v>14</v>
      </c>
      <c r="C117" s="1818" t="s">
        <v>2939</v>
      </c>
      <c r="D117" s="1818" t="s">
        <v>2940</v>
      </c>
      <c r="E117" s="1818" t="s">
        <v>2941</v>
      </c>
      <c r="F117" s="1818" t="s">
        <v>2942</v>
      </c>
      <c r="G117" s="1818" t="s">
        <v>2943</v>
      </c>
      <c r="H117" s="1818" t="s">
        <v>24</v>
      </c>
      <c r="I117" s="1818" t="s">
        <v>1226</v>
      </c>
    </row>
    <row r="118" spans="1:9" ht="11.25" customHeight="1">
      <c r="A118" s="1818" t="s">
        <v>2601</v>
      </c>
      <c r="B118" s="1818" t="s">
        <v>14</v>
      </c>
      <c r="C118" s="1818" t="s">
        <v>2944</v>
      </c>
      <c r="D118" s="1818" t="s">
        <v>2945</v>
      </c>
      <c r="E118" s="1818" t="s">
        <v>2946</v>
      </c>
      <c r="F118" s="1818" t="s">
        <v>2942</v>
      </c>
      <c r="G118" s="1818" t="s">
        <v>2947</v>
      </c>
      <c r="H118" s="1818" t="s">
        <v>24</v>
      </c>
      <c r="I118" s="1818" t="s">
        <v>1226</v>
      </c>
    </row>
    <row r="119" spans="1:9" ht="11.25" customHeight="1">
      <c r="A119" s="1818" t="s">
        <v>2601</v>
      </c>
      <c r="B119" s="1818" t="s">
        <v>14</v>
      </c>
      <c r="C119" s="1818" t="s">
        <v>2948</v>
      </c>
      <c r="D119" s="1818" t="s">
        <v>2949</v>
      </c>
      <c r="E119" s="1818" t="s">
        <v>2950</v>
      </c>
      <c r="F119" s="1818" t="s">
        <v>2937</v>
      </c>
      <c r="G119" s="1818" t="s">
        <v>2951</v>
      </c>
      <c r="H119" s="1818" t="s">
        <v>24</v>
      </c>
      <c r="I119" s="1818" t="s">
        <v>1226</v>
      </c>
    </row>
    <row r="120" spans="1:9" ht="11.25" customHeight="1">
      <c r="A120" s="1818" t="s">
        <v>2601</v>
      </c>
      <c r="B120" s="1818" t="s">
        <v>14</v>
      </c>
      <c r="C120" s="1818" t="s">
        <v>2952</v>
      </c>
      <c r="D120" s="1818" t="s">
        <v>2953</v>
      </c>
      <c r="E120" s="1818" t="s">
        <v>2954</v>
      </c>
      <c r="F120" s="1818" t="s">
        <v>2853</v>
      </c>
      <c r="G120" s="1818" t="s">
        <v>2955</v>
      </c>
      <c r="H120" s="1818" t="s">
        <v>24</v>
      </c>
      <c r="I120" s="1818" t="s">
        <v>1226</v>
      </c>
    </row>
    <row r="121" spans="1:9" ht="11.25" customHeight="1">
      <c r="A121" s="1818" t="s">
        <v>2601</v>
      </c>
      <c r="B121" s="1818" t="s">
        <v>14</v>
      </c>
      <c r="C121" s="1818" t="s">
        <v>2681</v>
      </c>
      <c r="D121" s="1818" t="s">
        <v>43</v>
      </c>
      <c r="E121" s="1818" t="s">
        <v>46</v>
      </c>
      <c r="F121" s="1818" t="s">
        <v>48</v>
      </c>
      <c r="G121" s="1818" t="s">
        <v>2682</v>
      </c>
      <c r="H121" s="1818" t="s">
        <v>24</v>
      </c>
      <c r="I121" s="1818" t="s">
        <v>1226</v>
      </c>
    </row>
    <row r="122" spans="1:9" ht="11.25" customHeight="1">
      <c r="A122" s="1818" t="s">
        <v>2601</v>
      </c>
      <c r="B122" s="1818" t="s">
        <v>14</v>
      </c>
      <c r="C122" s="1818" t="s">
        <v>2956</v>
      </c>
      <c r="D122" s="1818" t="s">
        <v>2957</v>
      </c>
      <c r="E122" s="1818" t="s">
        <v>2958</v>
      </c>
      <c r="F122" s="1818" t="s">
        <v>2667</v>
      </c>
      <c r="G122" s="1818" t="s">
        <v>2959</v>
      </c>
      <c r="H122" s="1818" t="s">
        <v>24</v>
      </c>
      <c r="I122" s="1818" t="s">
        <v>1226</v>
      </c>
    </row>
    <row r="123" spans="1:9" ht="11.25" customHeight="1">
      <c r="A123" s="1818" t="s">
        <v>2601</v>
      </c>
      <c r="B123" s="1818" t="s">
        <v>14</v>
      </c>
      <c r="C123" s="1818" t="s">
        <v>2960</v>
      </c>
      <c r="D123" s="1818" t="s">
        <v>2961</v>
      </c>
      <c r="E123" s="1818" t="s">
        <v>2962</v>
      </c>
      <c r="F123" s="1818" t="s">
        <v>2797</v>
      </c>
      <c r="G123" s="1818" t="s">
        <v>2963</v>
      </c>
      <c r="H123" s="1818" t="s">
        <v>24</v>
      </c>
      <c r="I123" s="1818" t="s">
        <v>1226</v>
      </c>
    </row>
    <row r="124" spans="1:9" ht="11.25" customHeight="1">
      <c r="A124" s="1818" t="s">
        <v>2601</v>
      </c>
      <c r="B124" s="1818" t="s">
        <v>14</v>
      </c>
      <c r="C124" s="1818" t="s">
        <v>2964</v>
      </c>
      <c r="D124" s="1818" t="s">
        <v>2965</v>
      </c>
      <c r="E124" s="1818" t="s">
        <v>2966</v>
      </c>
      <c r="F124" s="1818" t="s">
        <v>1033</v>
      </c>
      <c r="G124" s="1818" t="s">
        <v>2967</v>
      </c>
      <c r="H124" s="1818" t="s">
        <v>24</v>
      </c>
      <c r="I124" s="1818" t="s">
        <v>1226</v>
      </c>
    </row>
    <row r="125" spans="1:9" ht="11.25" customHeight="1">
      <c r="A125" s="1818" t="s">
        <v>2601</v>
      </c>
      <c r="B125" s="1818" t="s">
        <v>14</v>
      </c>
      <c r="C125" s="1818" t="s">
        <v>2968</v>
      </c>
      <c r="D125" s="1818" t="s">
        <v>2969</v>
      </c>
      <c r="E125" s="1818" t="s">
        <v>2970</v>
      </c>
      <c r="F125" s="1818" t="s">
        <v>2971</v>
      </c>
      <c r="G125" s="1818" t="s">
        <v>2972</v>
      </c>
      <c r="H125" s="1818" t="s">
        <v>24</v>
      </c>
      <c r="I125" s="1818" t="s">
        <v>1226</v>
      </c>
    </row>
    <row r="126" spans="1:9" ht="11.25" customHeight="1">
      <c r="A126" s="1818" t="s">
        <v>2601</v>
      </c>
      <c r="B126" s="1818" t="s">
        <v>14</v>
      </c>
      <c r="C126" s="1818" t="s">
        <v>2973</v>
      </c>
      <c r="D126" s="1818" t="s">
        <v>2974</v>
      </c>
      <c r="E126" s="1818" t="s">
        <v>2975</v>
      </c>
      <c r="F126" s="1818" t="s">
        <v>2976</v>
      </c>
      <c r="G126" s="1818" t="s">
        <v>2977</v>
      </c>
      <c r="H126" s="1818" t="s">
        <v>24</v>
      </c>
      <c r="I126" s="1818" t="s">
        <v>1226</v>
      </c>
    </row>
    <row r="127" spans="1:9" ht="11.25" customHeight="1">
      <c r="A127" s="1818" t="s">
        <v>2601</v>
      </c>
      <c r="B127" s="1818" t="s">
        <v>14</v>
      </c>
      <c r="C127" s="1818" t="s">
        <v>2978</v>
      </c>
      <c r="D127" s="1818" t="s">
        <v>2979</v>
      </c>
      <c r="E127" s="1818" t="s">
        <v>2980</v>
      </c>
      <c r="F127" s="1818" t="s">
        <v>2976</v>
      </c>
      <c r="G127" s="1818" t="s">
        <v>2981</v>
      </c>
      <c r="H127" s="1818" t="s">
        <v>24</v>
      </c>
      <c r="I127" s="1818" t="s">
        <v>1226</v>
      </c>
    </row>
    <row r="128" spans="1:9" ht="11.25" customHeight="1">
      <c r="A128" s="1818" t="s">
        <v>2601</v>
      </c>
      <c r="B128" s="1818" t="s">
        <v>14</v>
      </c>
      <c r="C128" s="1818" t="s">
        <v>2982</v>
      </c>
      <c r="D128" s="1818" t="s">
        <v>2983</v>
      </c>
      <c r="E128" s="1818" t="s">
        <v>2984</v>
      </c>
      <c r="F128" s="1818" t="s">
        <v>2985</v>
      </c>
      <c r="G128" s="1818" t="s">
        <v>2986</v>
      </c>
      <c r="H128" s="1818" t="s">
        <v>24</v>
      </c>
      <c r="I128" s="1818" t="s">
        <v>1226</v>
      </c>
    </row>
    <row r="129" spans="1:9" ht="11.25" customHeight="1">
      <c r="A129" s="1818" t="s">
        <v>2601</v>
      </c>
      <c r="B129" s="1818" t="s">
        <v>14</v>
      </c>
      <c r="C129" s="1818" t="s">
        <v>2987</v>
      </c>
      <c r="D129" s="1818" t="s">
        <v>2988</v>
      </c>
      <c r="E129" s="1818" t="s">
        <v>2989</v>
      </c>
      <c r="F129" s="1818" t="s">
        <v>2985</v>
      </c>
      <c r="G129" s="1818" t="s">
        <v>2990</v>
      </c>
      <c r="H129" s="1818" t="s">
        <v>24</v>
      </c>
      <c r="I129" s="1818" t="s">
        <v>1226</v>
      </c>
    </row>
    <row r="130" spans="1:9" ht="11.25" customHeight="1">
      <c r="A130" s="1818" t="s">
        <v>2601</v>
      </c>
      <c r="B130" s="1818" t="s">
        <v>14</v>
      </c>
      <c r="C130" s="1818" t="s">
        <v>2991</v>
      </c>
      <c r="D130" s="1818" t="s">
        <v>2992</v>
      </c>
      <c r="E130" s="1818" t="s">
        <v>2993</v>
      </c>
      <c r="F130" s="1818" t="s">
        <v>48</v>
      </c>
      <c r="G130" s="1818" t="s">
        <v>2994</v>
      </c>
      <c r="H130" s="1818" t="s">
        <v>24</v>
      </c>
      <c r="I130" s="1818" t="s">
        <v>1226</v>
      </c>
    </row>
    <row r="131" spans="1:9" ht="11.25" customHeight="1">
      <c r="A131" s="1818" t="s">
        <v>2601</v>
      </c>
      <c r="B131" s="1818" t="s">
        <v>14</v>
      </c>
      <c r="C131" s="1818" t="s">
        <v>2995</v>
      </c>
      <c r="D131" s="1818" t="s">
        <v>2996</v>
      </c>
      <c r="E131" s="1818" t="s">
        <v>2997</v>
      </c>
      <c r="F131" s="1818" t="s">
        <v>2728</v>
      </c>
      <c r="G131" s="1818" t="s">
        <v>2998</v>
      </c>
      <c r="H131" s="1818" t="s">
        <v>24</v>
      </c>
      <c r="I131" s="1818" t="s">
        <v>1226</v>
      </c>
    </row>
    <row r="132" spans="1:9" ht="11.25" customHeight="1">
      <c r="A132" s="1818" t="s">
        <v>2601</v>
      </c>
      <c r="B132" s="1818" t="s">
        <v>14</v>
      </c>
      <c r="C132" s="1818" t="s">
        <v>2999</v>
      </c>
      <c r="D132" s="1818" t="s">
        <v>3000</v>
      </c>
      <c r="E132" s="1818" t="s">
        <v>3001</v>
      </c>
      <c r="F132" s="1818" t="s">
        <v>2937</v>
      </c>
      <c r="G132" s="1818" t="s">
        <v>3002</v>
      </c>
      <c r="H132" s="1818" t="s">
        <v>24</v>
      </c>
      <c r="I132" s="1818" t="s">
        <v>1226</v>
      </c>
    </row>
    <row r="133" spans="1:9" ht="11.25" customHeight="1">
      <c r="A133" s="1818" t="s">
        <v>2601</v>
      </c>
      <c r="B133" s="1818" t="s">
        <v>14</v>
      </c>
      <c r="C133" s="1818" t="s">
        <v>3003</v>
      </c>
      <c r="D133" s="1818" t="s">
        <v>3004</v>
      </c>
      <c r="E133" s="1818" t="s">
        <v>3005</v>
      </c>
      <c r="F133" s="1818" t="s">
        <v>2985</v>
      </c>
      <c r="G133" s="1818" t="s">
        <v>3006</v>
      </c>
      <c r="H133" s="1818" t="s">
        <v>24</v>
      </c>
      <c r="I133" s="1818" t="s">
        <v>1226</v>
      </c>
    </row>
    <row r="134" spans="1:9" ht="11.25" customHeight="1">
      <c r="A134" s="1818" t="s">
        <v>2601</v>
      </c>
      <c r="B134" s="1818" t="s">
        <v>14</v>
      </c>
      <c r="C134" s="1818" t="s">
        <v>2725</v>
      </c>
      <c r="D134" s="1818" t="s">
        <v>2726</v>
      </c>
      <c r="E134" s="1818" t="s">
        <v>2727</v>
      </c>
      <c r="F134" s="1818" t="s">
        <v>2728</v>
      </c>
      <c r="G134" s="1818" t="s">
        <v>2729</v>
      </c>
      <c r="H134" s="1818" t="s">
        <v>24</v>
      </c>
      <c r="I134" s="1818" t="s">
        <v>1226</v>
      </c>
    </row>
    <row r="135" spans="1:9" ht="11.25" customHeight="1">
      <c r="A135" s="1818" t="s">
        <v>2601</v>
      </c>
      <c r="B135" s="1818" t="s">
        <v>14</v>
      </c>
      <c r="C135" s="1818" t="s">
        <v>3007</v>
      </c>
      <c r="D135" s="1818" t="s">
        <v>3008</v>
      </c>
      <c r="E135" s="1818" t="s">
        <v>3009</v>
      </c>
      <c r="F135" s="1818" t="s">
        <v>2942</v>
      </c>
      <c r="G135" s="1818" t="s">
        <v>3010</v>
      </c>
      <c r="H135" s="1818" t="s">
        <v>24</v>
      </c>
      <c r="I135" s="1818" t="s">
        <v>1226</v>
      </c>
    </row>
    <row r="136" spans="1:9" ht="11.25" customHeight="1">
      <c r="A136" s="1818" t="s">
        <v>2601</v>
      </c>
      <c r="B136" s="1818" t="s">
        <v>14</v>
      </c>
      <c r="C136" s="1818" t="s">
        <v>3011</v>
      </c>
      <c r="D136" s="1818" t="s">
        <v>3012</v>
      </c>
      <c r="E136" s="1818" t="s">
        <v>3013</v>
      </c>
      <c r="F136" s="1818" t="s">
        <v>3014</v>
      </c>
      <c r="G136" s="1818" t="s">
        <v>3015</v>
      </c>
      <c r="H136" s="1818" t="s">
        <v>24</v>
      </c>
      <c r="I136" s="1818" t="s">
        <v>1226</v>
      </c>
    </row>
    <row r="137" spans="1:9" ht="11.25" customHeight="1">
      <c r="A137" s="1818" t="s">
        <v>2601</v>
      </c>
      <c r="B137" s="1818" t="s">
        <v>14</v>
      </c>
      <c r="C137" s="1818" t="s">
        <v>3016</v>
      </c>
      <c r="D137" s="1818" t="s">
        <v>3012</v>
      </c>
      <c r="E137" s="1818" t="s">
        <v>3017</v>
      </c>
      <c r="F137" s="1818" t="s">
        <v>2937</v>
      </c>
      <c r="G137" s="1818" t="s">
        <v>3018</v>
      </c>
      <c r="H137" s="1818" t="s">
        <v>24</v>
      </c>
      <c r="I137" s="1818" t="s">
        <v>1226</v>
      </c>
    </row>
    <row r="138" spans="1:9" ht="11.25" customHeight="1">
      <c r="A138" s="1818" t="s">
        <v>2601</v>
      </c>
      <c r="B138" s="1818" t="s">
        <v>14</v>
      </c>
      <c r="C138" s="1818" t="s">
        <v>3019</v>
      </c>
      <c r="D138" s="1818" t="s">
        <v>3020</v>
      </c>
      <c r="E138" s="1818" t="s">
        <v>3021</v>
      </c>
      <c r="F138" s="1818" t="s">
        <v>2985</v>
      </c>
      <c r="G138" s="1818" t="s">
        <v>3022</v>
      </c>
      <c r="H138" s="1818" t="s">
        <v>24</v>
      </c>
      <c r="I138" s="1818" t="s">
        <v>1226</v>
      </c>
    </row>
    <row r="139" spans="1:9" ht="11.25" customHeight="1">
      <c r="A139" s="1818" t="s">
        <v>2601</v>
      </c>
      <c r="B139" s="1818" t="s">
        <v>14</v>
      </c>
      <c r="C139" s="1818" t="s">
        <v>3023</v>
      </c>
      <c r="D139" s="1818" t="s">
        <v>3024</v>
      </c>
      <c r="E139" s="1818" t="s">
        <v>3025</v>
      </c>
      <c r="F139" s="1818" t="s">
        <v>2937</v>
      </c>
      <c r="G139" s="1818" t="s">
        <v>3026</v>
      </c>
      <c r="H139" s="1818" t="s">
        <v>24</v>
      </c>
      <c r="I139" s="1818" t="s">
        <v>1226</v>
      </c>
    </row>
    <row r="140" spans="1:9" ht="11.25" customHeight="1">
      <c r="A140" s="1818" t="s">
        <v>2601</v>
      </c>
      <c r="B140" s="1818" t="s">
        <v>14</v>
      </c>
      <c r="C140" s="1818" t="s">
        <v>3027</v>
      </c>
      <c r="D140" s="1818" t="s">
        <v>3028</v>
      </c>
      <c r="E140" s="1818" t="s">
        <v>3029</v>
      </c>
      <c r="F140" s="1818" t="s">
        <v>2985</v>
      </c>
      <c r="G140" s="1818" t="s">
        <v>3030</v>
      </c>
      <c r="H140" s="1818" t="s">
        <v>3031</v>
      </c>
      <c r="I140" s="1818" t="s">
        <v>1226</v>
      </c>
    </row>
    <row r="141" spans="1:9" ht="11.25" customHeight="1">
      <c r="A141" s="1818" t="s">
        <v>2601</v>
      </c>
      <c r="B141" s="1818" t="s">
        <v>14</v>
      </c>
      <c r="C141" s="1818" t="s">
        <v>3032</v>
      </c>
      <c r="D141" s="1818" t="s">
        <v>3033</v>
      </c>
      <c r="E141" s="1818" t="s">
        <v>3034</v>
      </c>
      <c r="F141" s="1818" t="s">
        <v>2632</v>
      </c>
      <c r="G141" s="1818" t="s">
        <v>3035</v>
      </c>
      <c r="H141" s="1818" t="s">
        <v>24</v>
      </c>
      <c r="I141" s="1818" t="s">
        <v>1226</v>
      </c>
    </row>
    <row r="142" spans="1:9" ht="11.25" customHeight="1">
      <c r="A142" s="1818" t="s">
        <v>2601</v>
      </c>
      <c r="B142" s="1818" t="s">
        <v>14</v>
      </c>
      <c r="C142" s="1818" t="s">
        <v>3036</v>
      </c>
      <c r="D142" s="1818" t="s">
        <v>3037</v>
      </c>
      <c r="E142" s="1818" t="s">
        <v>3038</v>
      </c>
      <c r="F142" s="1818" t="s">
        <v>2667</v>
      </c>
      <c r="G142" s="1818" t="s">
        <v>3039</v>
      </c>
      <c r="H142" s="1818" t="s">
        <v>24</v>
      </c>
      <c r="I142" s="1818" t="s">
        <v>1226</v>
      </c>
    </row>
    <row r="143" spans="1:9" ht="11.25" customHeight="1">
      <c r="A143" s="1818" t="s">
        <v>2601</v>
      </c>
      <c r="B143" s="1818" t="s">
        <v>14</v>
      </c>
      <c r="C143" s="1818" t="s">
        <v>3040</v>
      </c>
      <c r="D143" s="1818" t="s">
        <v>3041</v>
      </c>
      <c r="E143" s="1818" t="s">
        <v>3042</v>
      </c>
      <c r="F143" s="1818" t="s">
        <v>2605</v>
      </c>
      <c r="G143" s="1818" t="s">
        <v>3043</v>
      </c>
      <c r="H143" s="1818" t="s">
        <v>24</v>
      </c>
      <c r="I143" s="1818" t="s">
        <v>1226</v>
      </c>
    </row>
    <row r="144" spans="1:9" ht="11.25" customHeight="1">
      <c r="A144" s="1818" t="s">
        <v>2601</v>
      </c>
      <c r="B144" s="1818" t="s">
        <v>14</v>
      </c>
      <c r="C144" s="1818" t="s">
        <v>3044</v>
      </c>
      <c r="D144" s="1818" t="s">
        <v>3045</v>
      </c>
      <c r="E144" s="1818" t="s">
        <v>3046</v>
      </c>
      <c r="F144" s="1818" t="s">
        <v>3014</v>
      </c>
      <c r="G144" s="1818" t="s">
        <v>3047</v>
      </c>
      <c r="H144" s="1818" t="s">
        <v>24</v>
      </c>
      <c r="I144" s="1818" t="s">
        <v>1226</v>
      </c>
    </row>
    <row r="145" spans="1:9" ht="11.25" customHeight="1">
      <c r="A145" s="1818" t="s">
        <v>2601</v>
      </c>
      <c r="B145" s="1818" t="s">
        <v>14</v>
      </c>
      <c r="C145" s="1818" t="s">
        <v>3048</v>
      </c>
      <c r="D145" s="1818" t="s">
        <v>3049</v>
      </c>
      <c r="E145" s="1818" t="s">
        <v>3050</v>
      </c>
      <c r="F145" s="1818" t="s">
        <v>2937</v>
      </c>
      <c r="G145" s="1818" t="s">
        <v>3051</v>
      </c>
      <c r="H145" s="1818" t="s">
        <v>24</v>
      </c>
      <c r="I145" s="1818" t="s">
        <v>1226</v>
      </c>
    </row>
    <row r="146" spans="1:9" ht="11.25" customHeight="1">
      <c r="A146" s="1818" t="s">
        <v>2601</v>
      </c>
      <c r="B146" s="1818" t="s">
        <v>14</v>
      </c>
      <c r="C146" s="1818" t="s">
        <v>3052</v>
      </c>
      <c r="D146" s="1818" t="s">
        <v>3053</v>
      </c>
      <c r="E146" s="1818" t="s">
        <v>3054</v>
      </c>
      <c r="F146" s="1818" t="s">
        <v>3055</v>
      </c>
      <c r="G146" s="1818" t="s">
        <v>3056</v>
      </c>
      <c r="H146" s="1818" t="s">
        <v>24</v>
      </c>
      <c r="I146" s="1818" t="s">
        <v>1226</v>
      </c>
    </row>
    <row r="147" spans="1:9" ht="11.25" customHeight="1">
      <c r="A147" s="1818" t="s">
        <v>2601</v>
      </c>
      <c r="B147" s="1818" t="s">
        <v>14</v>
      </c>
      <c r="C147" s="1818" t="s">
        <v>2745</v>
      </c>
      <c r="D147" s="1818" t="s">
        <v>2746</v>
      </c>
      <c r="E147" s="1818" t="s">
        <v>2747</v>
      </c>
      <c r="F147" s="1818" t="s">
        <v>2632</v>
      </c>
      <c r="G147" s="1818" t="s">
        <v>2748</v>
      </c>
      <c r="H147" s="1818" t="s">
        <v>24</v>
      </c>
      <c r="I147" s="1818" t="s">
        <v>1226</v>
      </c>
    </row>
    <row r="148" spans="1:9" ht="11.25" customHeight="1">
      <c r="A148" s="1818" t="s">
        <v>2601</v>
      </c>
      <c r="B148" s="1818" t="s">
        <v>14</v>
      </c>
      <c r="C148" s="1818" t="s">
        <v>3057</v>
      </c>
      <c r="D148" s="1818" t="s">
        <v>3058</v>
      </c>
      <c r="E148" s="1818" t="s">
        <v>3059</v>
      </c>
      <c r="F148" s="1818" t="s">
        <v>2605</v>
      </c>
      <c r="G148" s="1818" t="s">
        <v>3060</v>
      </c>
      <c r="H148" s="1818" t="s">
        <v>24</v>
      </c>
      <c r="I148" s="1818" t="s">
        <v>1226</v>
      </c>
    </row>
    <row r="149" spans="1:9" ht="11.25" customHeight="1">
      <c r="A149" s="1818" t="s">
        <v>2601</v>
      </c>
      <c r="B149" s="1818" t="s">
        <v>14</v>
      </c>
      <c r="C149" s="1818" t="s">
        <v>3061</v>
      </c>
      <c r="D149" s="1818" t="s">
        <v>3062</v>
      </c>
      <c r="E149" s="1818" t="s">
        <v>3063</v>
      </c>
      <c r="F149" s="1818" t="s">
        <v>2976</v>
      </c>
      <c r="G149" s="1818" t="s">
        <v>3064</v>
      </c>
      <c r="H149" s="1818" t="s">
        <v>24</v>
      </c>
      <c r="I149" s="1818" t="s">
        <v>1226</v>
      </c>
    </row>
    <row r="150" spans="1:9" ht="11.25" customHeight="1">
      <c r="A150" s="1818" t="s">
        <v>2601</v>
      </c>
      <c r="B150" s="1818" t="s">
        <v>14</v>
      </c>
      <c r="C150" s="1818" t="s">
        <v>3065</v>
      </c>
      <c r="D150" s="1818" t="s">
        <v>3066</v>
      </c>
      <c r="E150" s="1818" t="s">
        <v>3067</v>
      </c>
      <c r="F150" s="1818" t="s">
        <v>2942</v>
      </c>
      <c r="G150" s="1818" t="s">
        <v>3068</v>
      </c>
      <c r="H150" s="1818" t="s">
        <v>3069</v>
      </c>
      <c r="I150" s="1818" t="s">
        <v>1226</v>
      </c>
    </row>
    <row r="151" spans="1:9" ht="11.25" customHeight="1">
      <c r="A151" s="1818" t="s">
        <v>2601</v>
      </c>
      <c r="B151" s="1818" t="s">
        <v>14</v>
      </c>
      <c r="C151" s="1818" t="s">
        <v>3070</v>
      </c>
      <c r="D151" s="1818" t="s">
        <v>3071</v>
      </c>
      <c r="E151" s="1818" t="s">
        <v>3072</v>
      </c>
      <c r="F151" s="1818" t="s">
        <v>2667</v>
      </c>
      <c r="G151" s="1818" t="s">
        <v>3073</v>
      </c>
      <c r="H151" s="1818" t="s">
        <v>24</v>
      </c>
      <c r="I151" s="1818" t="s">
        <v>1226</v>
      </c>
    </row>
    <row r="152" spans="1:9" ht="11.25" customHeight="1">
      <c r="A152" s="1818" t="s">
        <v>2601</v>
      </c>
      <c r="B152" s="1818" t="s">
        <v>14</v>
      </c>
      <c r="C152" s="1818" t="s">
        <v>3074</v>
      </c>
      <c r="D152" s="1818" t="s">
        <v>3075</v>
      </c>
      <c r="E152" s="1818" t="s">
        <v>3076</v>
      </c>
      <c r="F152" s="1818" t="s">
        <v>2971</v>
      </c>
      <c r="G152" s="1818" t="s">
        <v>3077</v>
      </c>
      <c r="H152" s="1818" t="s">
        <v>24</v>
      </c>
      <c r="I152" s="1818" t="s">
        <v>1226</v>
      </c>
    </row>
    <row r="153" spans="1:9" ht="11.25" customHeight="1">
      <c r="A153" s="1818" t="s">
        <v>2601</v>
      </c>
      <c r="B153" s="1818" t="s">
        <v>14</v>
      </c>
      <c r="C153" s="1818" t="s">
        <v>3078</v>
      </c>
      <c r="D153" s="1818" t="s">
        <v>3079</v>
      </c>
      <c r="E153" s="1818" t="s">
        <v>3080</v>
      </c>
      <c r="F153" s="1818" t="s">
        <v>3055</v>
      </c>
      <c r="G153" s="1818" t="s">
        <v>24</v>
      </c>
      <c r="H153" s="1818" t="s">
        <v>24</v>
      </c>
      <c r="I153" s="1818" t="s">
        <v>1226</v>
      </c>
    </row>
    <row r="154" spans="1:9" ht="11.25" customHeight="1">
      <c r="A154" s="1818" t="s">
        <v>2601</v>
      </c>
      <c r="B154" s="1818" t="s">
        <v>14</v>
      </c>
      <c r="C154" s="1818" t="s">
        <v>3081</v>
      </c>
      <c r="D154" s="1818" t="s">
        <v>3082</v>
      </c>
      <c r="E154" s="1818" t="s">
        <v>3083</v>
      </c>
      <c r="F154" s="1818" t="s">
        <v>2667</v>
      </c>
      <c r="G154" s="1818" t="s">
        <v>3073</v>
      </c>
      <c r="H154" s="1818" t="s">
        <v>24</v>
      </c>
      <c r="I154" s="1818" t="s">
        <v>1226</v>
      </c>
    </row>
    <row r="155" spans="1:9" ht="11.25" customHeight="1">
      <c r="A155" s="1818" t="s">
        <v>2601</v>
      </c>
      <c r="B155" s="1818" t="s">
        <v>14</v>
      </c>
      <c r="C155" s="1818" t="s">
        <v>2775</v>
      </c>
      <c r="D155" s="1818" t="s">
        <v>2776</v>
      </c>
      <c r="E155" s="1818" t="s">
        <v>2777</v>
      </c>
      <c r="F155" s="1818" t="s">
        <v>2667</v>
      </c>
      <c r="G155" s="1818" t="s">
        <v>2778</v>
      </c>
      <c r="H155" s="1818" t="s">
        <v>24</v>
      </c>
      <c r="I155" s="1818" t="s">
        <v>1226</v>
      </c>
    </row>
    <row r="156" spans="1:9" ht="11.25" customHeight="1">
      <c r="A156" s="1818" t="s">
        <v>2601</v>
      </c>
      <c r="B156" s="1818" t="s">
        <v>14</v>
      </c>
      <c r="C156" s="1818" t="s">
        <v>3084</v>
      </c>
      <c r="D156" s="1818" t="s">
        <v>3085</v>
      </c>
      <c r="E156" s="1818" t="s">
        <v>3086</v>
      </c>
      <c r="F156" s="1818" t="s">
        <v>3087</v>
      </c>
      <c r="G156" s="1818" t="s">
        <v>3088</v>
      </c>
      <c r="H156" s="1818" t="s">
        <v>24</v>
      </c>
      <c r="I156" s="1818" t="s">
        <v>1226</v>
      </c>
    </row>
    <row r="157" spans="1:9" ht="11.25" customHeight="1">
      <c r="A157" s="1818" t="s">
        <v>2601</v>
      </c>
      <c r="B157" s="1818" t="s">
        <v>14</v>
      </c>
      <c r="C157" s="1818" t="s">
        <v>3089</v>
      </c>
      <c r="D157" s="1818" t="s">
        <v>3090</v>
      </c>
      <c r="E157" s="1818" t="s">
        <v>3091</v>
      </c>
      <c r="F157" s="1818" t="s">
        <v>3014</v>
      </c>
      <c r="G157" s="1818" t="s">
        <v>3092</v>
      </c>
      <c r="H157" s="1818" t="s">
        <v>24</v>
      </c>
      <c r="I157" s="1818" t="s">
        <v>1226</v>
      </c>
    </row>
    <row r="158" spans="1:9" ht="11.25" customHeight="1">
      <c r="A158" s="1818" t="s">
        <v>2601</v>
      </c>
      <c r="B158" s="1818" t="s">
        <v>14</v>
      </c>
      <c r="C158" s="1818" t="s">
        <v>3093</v>
      </c>
      <c r="D158" s="1818" t="s">
        <v>3094</v>
      </c>
      <c r="E158" s="1818" t="s">
        <v>3095</v>
      </c>
      <c r="F158" s="1818" t="s">
        <v>2797</v>
      </c>
      <c r="G158" s="1818" t="s">
        <v>3096</v>
      </c>
      <c r="H158" s="1818" t="s">
        <v>24</v>
      </c>
      <c r="I158" s="1818" t="s">
        <v>1226</v>
      </c>
    </row>
    <row r="159" spans="1:9" ht="11.25" customHeight="1">
      <c r="A159" s="1818" t="s">
        <v>2601</v>
      </c>
      <c r="B159" s="1818" t="s">
        <v>14</v>
      </c>
      <c r="C159" s="1818" t="s">
        <v>3097</v>
      </c>
      <c r="D159" s="1818" t="s">
        <v>3098</v>
      </c>
      <c r="E159" s="1818" t="s">
        <v>3099</v>
      </c>
      <c r="F159" s="1818" t="s">
        <v>2797</v>
      </c>
      <c r="G159" s="1818" t="s">
        <v>3100</v>
      </c>
      <c r="H159" s="1818" t="s">
        <v>24</v>
      </c>
      <c r="I159" s="1818" t="s">
        <v>1226</v>
      </c>
    </row>
    <row r="160" spans="1:9" ht="11.25" customHeight="1">
      <c r="A160" s="1818" t="s">
        <v>2601</v>
      </c>
      <c r="B160" s="1818" t="s">
        <v>14</v>
      </c>
      <c r="C160" s="1818" t="s">
        <v>3101</v>
      </c>
      <c r="D160" s="1818" t="s">
        <v>3102</v>
      </c>
      <c r="E160" s="1818" t="s">
        <v>3103</v>
      </c>
      <c r="F160" s="1818" t="s">
        <v>48</v>
      </c>
      <c r="G160" s="1818" t="s">
        <v>2809</v>
      </c>
      <c r="H160" s="1818" t="s">
        <v>24</v>
      </c>
      <c r="I160" s="1818" t="s">
        <v>1226</v>
      </c>
    </row>
    <row r="161" spans="1:9" ht="11.25" customHeight="1">
      <c r="A161" s="1818" t="s">
        <v>2601</v>
      </c>
      <c r="B161" s="1818" t="s">
        <v>14</v>
      </c>
      <c r="C161" s="1818" t="s">
        <v>3104</v>
      </c>
      <c r="D161" s="1818" t="s">
        <v>3105</v>
      </c>
      <c r="E161" s="1818" t="s">
        <v>3106</v>
      </c>
      <c r="F161" s="1818" t="s">
        <v>2971</v>
      </c>
      <c r="G161" s="1818" t="s">
        <v>3107</v>
      </c>
      <c r="H161" s="1818" t="s">
        <v>24</v>
      </c>
      <c r="I161" s="1818" t="s">
        <v>1226</v>
      </c>
    </row>
    <row r="162" spans="1:9" ht="11.25" customHeight="1">
      <c r="A162" s="1818" t="s">
        <v>2601</v>
      </c>
      <c r="B162" s="1818" t="s">
        <v>14</v>
      </c>
      <c r="C162" s="1818" t="s">
        <v>3108</v>
      </c>
      <c r="D162" s="1818" t="s">
        <v>3109</v>
      </c>
      <c r="E162" s="1818" t="s">
        <v>3110</v>
      </c>
      <c r="F162" s="1818" t="s">
        <v>2653</v>
      </c>
      <c r="G162" s="1818" t="s">
        <v>3111</v>
      </c>
      <c r="H162" s="1818" t="s">
        <v>24</v>
      </c>
      <c r="I162" s="1818" t="s">
        <v>1226</v>
      </c>
    </row>
    <row r="163" spans="1:9" ht="11.25" customHeight="1">
      <c r="A163" s="1818" t="s">
        <v>2601</v>
      </c>
      <c r="B163" s="1818" t="s">
        <v>14</v>
      </c>
      <c r="C163" s="1818" t="s">
        <v>2864</v>
      </c>
      <c r="D163" s="1818" t="s">
        <v>2865</v>
      </c>
      <c r="E163" s="1818" t="s">
        <v>2866</v>
      </c>
      <c r="F163" s="1818" t="s">
        <v>2867</v>
      </c>
      <c r="G163" s="1818" t="s">
        <v>2868</v>
      </c>
      <c r="H163" s="1818" t="s">
        <v>24</v>
      </c>
      <c r="I163" s="1818" t="s">
        <v>1226</v>
      </c>
    </row>
    <row r="164" spans="1:9" ht="11.25" customHeight="1">
      <c r="A164" s="1818" t="s">
        <v>2601</v>
      </c>
      <c r="B164" s="1818" t="s">
        <v>14</v>
      </c>
      <c r="C164" s="1818" t="s">
        <v>24</v>
      </c>
      <c r="D164" s="1818" t="s">
        <v>2882</v>
      </c>
      <c r="E164" s="1818" t="s">
        <v>2883</v>
      </c>
      <c r="F164" s="1818" t="s">
        <v>2884</v>
      </c>
      <c r="G164" s="1818" t="s">
        <v>24</v>
      </c>
      <c r="H164" s="1818" t="s">
        <v>24</v>
      </c>
      <c r="I164" s="1818" t="s">
        <v>1226</v>
      </c>
    </row>
    <row r="165" spans="1:9" ht="11.25" customHeight="1">
      <c r="A165" s="1818" t="s">
        <v>2601</v>
      </c>
      <c r="B165" s="1818" t="s">
        <v>14</v>
      </c>
      <c r="C165" s="1818" t="s">
        <v>3112</v>
      </c>
      <c r="D165" s="1818" t="s">
        <v>3113</v>
      </c>
      <c r="E165" s="1818" t="s">
        <v>3114</v>
      </c>
      <c r="F165" s="1818" t="s">
        <v>2667</v>
      </c>
      <c r="G165" s="1818" t="s">
        <v>3115</v>
      </c>
      <c r="H165" s="1818" t="s">
        <v>24</v>
      </c>
      <c r="I165" s="1818" t="s">
        <v>1226</v>
      </c>
    </row>
    <row r="166" spans="1:9" ht="11.25" customHeight="1">
      <c r="A166" s="1818" t="s">
        <v>2601</v>
      </c>
      <c r="B166" s="1818" t="s">
        <v>14</v>
      </c>
      <c r="C166" s="1818" t="s">
        <v>3116</v>
      </c>
      <c r="D166" s="1818" t="s">
        <v>3117</v>
      </c>
      <c r="E166" s="1818" t="s">
        <v>3118</v>
      </c>
      <c r="F166" s="1818" t="s">
        <v>2976</v>
      </c>
      <c r="G166" s="1818" t="s">
        <v>3119</v>
      </c>
      <c r="H166" s="1818" t="s">
        <v>24</v>
      </c>
      <c r="I166" s="1818" t="s">
        <v>1226</v>
      </c>
    </row>
    <row r="167" spans="1:9" ht="11.25" customHeight="1">
      <c r="A167" s="1818" t="s">
        <v>2601</v>
      </c>
      <c r="B167" s="1818" t="s">
        <v>14</v>
      </c>
      <c r="C167" s="1818" t="s">
        <v>3120</v>
      </c>
      <c r="D167" s="1818" t="s">
        <v>3121</v>
      </c>
      <c r="E167" s="1818" t="s">
        <v>3122</v>
      </c>
      <c r="F167" s="1818" t="s">
        <v>2942</v>
      </c>
      <c r="G167" s="1818" t="s">
        <v>3123</v>
      </c>
      <c r="H167" s="1818" t="s">
        <v>3124</v>
      </c>
      <c r="I167" s="1818" t="s">
        <v>1226</v>
      </c>
    </row>
    <row r="168" spans="1:9" ht="11.25" customHeight="1">
      <c r="A168" s="1818" t="s">
        <v>2601</v>
      </c>
      <c r="B168" s="1818" t="s">
        <v>14</v>
      </c>
      <c r="C168" s="1818" t="s">
        <v>3125</v>
      </c>
      <c r="D168" s="1818" t="s">
        <v>3126</v>
      </c>
      <c r="E168" s="1818" t="s">
        <v>3127</v>
      </c>
      <c r="F168" s="1818" t="s">
        <v>2942</v>
      </c>
      <c r="G168" s="1818" t="s">
        <v>3128</v>
      </c>
      <c r="H168" s="1818" t="s">
        <v>24</v>
      </c>
      <c r="I168" s="1818" t="s">
        <v>1226</v>
      </c>
    </row>
    <row r="169" spans="1:9" ht="11.25" customHeight="1">
      <c r="A169" s="1818" t="s">
        <v>2601</v>
      </c>
      <c r="B169" s="1818" t="s">
        <v>14</v>
      </c>
      <c r="C169" s="1818" t="s">
        <v>3129</v>
      </c>
      <c r="D169" s="1818" t="s">
        <v>3130</v>
      </c>
      <c r="E169" s="1818" t="s">
        <v>3131</v>
      </c>
      <c r="F169" s="1818" t="s">
        <v>2976</v>
      </c>
      <c r="G169" s="1818" t="s">
        <v>3132</v>
      </c>
      <c r="H169" s="1818" t="s">
        <v>24</v>
      </c>
      <c r="I169" s="1818" t="s">
        <v>1226</v>
      </c>
    </row>
    <row r="170" spans="1:9" ht="11.25" customHeight="1">
      <c r="A170" s="1818" t="s">
        <v>2601</v>
      </c>
      <c r="B170" s="1818" t="s">
        <v>14</v>
      </c>
      <c r="C170" s="1818" t="s">
        <v>2890</v>
      </c>
      <c r="D170" s="1818" t="s">
        <v>2891</v>
      </c>
      <c r="E170" s="1818" t="s">
        <v>2892</v>
      </c>
      <c r="F170" s="1818" t="s">
        <v>2893</v>
      </c>
      <c r="G170" s="1818" t="s">
        <v>24</v>
      </c>
      <c r="H170" s="1818" t="s">
        <v>24</v>
      </c>
      <c r="I170" s="1818" t="s">
        <v>1226</v>
      </c>
    </row>
    <row r="171" spans="1:9" ht="11.25" customHeight="1">
      <c r="A171" s="1818" t="s">
        <v>2601</v>
      </c>
      <c r="B171" s="1818" t="s">
        <v>14</v>
      </c>
      <c r="C171" s="1818" t="s">
        <v>2894</v>
      </c>
      <c r="D171" s="1818" t="s">
        <v>2895</v>
      </c>
      <c r="E171" s="1818" t="s">
        <v>2896</v>
      </c>
      <c r="F171" s="1818" t="s">
        <v>2897</v>
      </c>
      <c r="G171" s="1818" t="s">
        <v>2898</v>
      </c>
      <c r="H171" s="1818" t="s">
        <v>24</v>
      </c>
      <c r="I171" s="1818" t="s">
        <v>1226</v>
      </c>
    </row>
    <row r="172" spans="1:9" ht="11.25" customHeight="1">
      <c r="A172" s="1818" t="s">
        <v>2601</v>
      </c>
      <c r="B172" s="1818" t="s">
        <v>14</v>
      </c>
      <c r="C172" s="1818" t="s">
        <v>2902</v>
      </c>
      <c r="D172" s="1818" t="s">
        <v>2903</v>
      </c>
      <c r="E172" s="1818" t="s">
        <v>2904</v>
      </c>
      <c r="F172" s="1818" t="s">
        <v>2905</v>
      </c>
      <c r="G172" s="1818" t="s">
        <v>2719</v>
      </c>
      <c r="H172" s="1818" t="s">
        <v>24</v>
      </c>
      <c r="I172" s="1818" t="s">
        <v>1226</v>
      </c>
    </row>
    <row r="173" spans="1:9" ht="11.25" customHeight="1">
      <c r="A173" s="1818" t="s">
        <v>2601</v>
      </c>
      <c r="B173" s="1818" t="s">
        <v>14</v>
      </c>
      <c r="C173" s="1818" t="s">
        <v>3133</v>
      </c>
      <c r="D173" s="1818" t="s">
        <v>3134</v>
      </c>
      <c r="E173" s="1818" t="s">
        <v>3135</v>
      </c>
      <c r="F173" s="1818" t="s">
        <v>2971</v>
      </c>
      <c r="G173" s="1818" t="s">
        <v>3136</v>
      </c>
      <c r="H173" s="1818" t="s">
        <v>24</v>
      </c>
      <c r="I173" s="1818" t="s">
        <v>1226</v>
      </c>
    </row>
    <row r="174" spans="1:9" ht="11.25" customHeight="1">
      <c r="A174" s="1818" t="s">
        <v>2601</v>
      </c>
      <c r="B174" s="1818" t="s">
        <v>14</v>
      </c>
      <c r="C174" s="1818" t="s">
        <v>2906</v>
      </c>
      <c r="D174" s="1818" t="s">
        <v>2907</v>
      </c>
      <c r="E174" s="1818" t="s">
        <v>2908</v>
      </c>
      <c r="F174" s="1818" t="s">
        <v>2909</v>
      </c>
      <c r="G174" s="1818" t="s">
        <v>2910</v>
      </c>
      <c r="H174" s="1818" t="s">
        <v>24</v>
      </c>
      <c r="I174" s="1818" t="s">
        <v>1226</v>
      </c>
    </row>
    <row r="175" spans="1:9" ht="11.25" customHeight="1">
      <c r="A175" s="1818" t="s">
        <v>2601</v>
      </c>
      <c r="B175" s="1818" t="s">
        <v>14</v>
      </c>
      <c r="C175" s="1818" t="s">
        <v>2918</v>
      </c>
      <c r="D175" s="1818" t="s">
        <v>2919</v>
      </c>
      <c r="E175" s="1818" t="s">
        <v>2920</v>
      </c>
      <c r="F175" s="1818" t="s">
        <v>2610</v>
      </c>
      <c r="G175" s="1818" t="s">
        <v>2921</v>
      </c>
      <c r="H175" s="1818" t="s">
        <v>24</v>
      </c>
      <c r="I175" s="1818" t="s">
        <v>1278</v>
      </c>
    </row>
    <row r="176" spans="1:9" ht="11.25" customHeight="1">
      <c r="A176" s="1818" t="s">
        <v>2601</v>
      </c>
      <c r="B176" s="1818" t="s">
        <v>14</v>
      </c>
      <c r="C176" s="1818" t="s">
        <v>2612</v>
      </c>
      <c r="D176" s="1818" t="s">
        <v>2613</v>
      </c>
      <c r="E176" s="1818" t="s">
        <v>2614</v>
      </c>
      <c r="F176" s="1818" t="s">
        <v>2610</v>
      </c>
      <c r="G176" s="1818" t="s">
        <v>2615</v>
      </c>
      <c r="H176" s="1818" t="s">
        <v>24</v>
      </c>
      <c r="I176" s="1818" t="s">
        <v>1278</v>
      </c>
    </row>
    <row r="177" spans="1:9" ht="11.25" customHeight="1">
      <c r="A177" s="1818" t="s">
        <v>2601</v>
      </c>
      <c r="B177" s="1818" t="s">
        <v>14</v>
      </c>
      <c r="C177" s="1818" t="s">
        <v>2664</v>
      </c>
      <c r="D177" s="1818" t="s">
        <v>2665</v>
      </c>
      <c r="E177" s="1818" t="s">
        <v>2666</v>
      </c>
      <c r="F177" s="1818" t="s">
        <v>2667</v>
      </c>
      <c r="G177" s="1818" t="s">
        <v>2668</v>
      </c>
      <c r="H177" s="1818" t="s">
        <v>24</v>
      </c>
      <c r="I177" s="1818" t="s">
        <v>1278</v>
      </c>
    </row>
    <row r="178" spans="1:9" ht="11.25" customHeight="1">
      <c r="A178" s="1818" t="s">
        <v>2601</v>
      </c>
      <c r="B178" s="1818" t="s">
        <v>14</v>
      </c>
      <c r="C178" s="1818" t="s">
        <v>2944</v>
      </c>
      <c r="D178" s="1818" t="s">
        <v>2945</v>
      </c>
      <c r="E178" s="1818" t="s">
        <v>2946</v>
      </c>
      <c r="F178" s="1818" t="s">
        <v>2942</v>
      </c>
      <c r="G178" s="1818" t="s">
        <v>2947</v>
      </c>
      <c r="H178" s="1818" t="s">
        <v>24</v>
      </c>
      <c r="I178" s="1818" t="s">
        <v>1278</v>
      </c>
    </row>
    <row r="179" spans="1:9" ht="11.25" customHeight="1">
      <c r="A179" s="1818" t="s">
        <v>2601</v>
      </c>
      <c r="B179" s="1818" t="s">
        <v>14</v>
      </c>
      <c r="C179" s="1818" t="s">
        <v>2952</v>
      </c>
      <c r="D179" s="1818" t="s">
        <v>2953</v>
      </c>
      <c r="E179" s="1818" t="s">
        <v>2954</v>
      </c>
      <c r="F179" s="1818" t="s">
        <v>2853</v>
      </c>
      <c r="G179" s="1818" t="s">
        <v>2955</v>
      </c>
      <c r="H179" s="1818" t="s">
        <v>24</v>
      </c>
      <c r="I179" s="1818" t="s">
        <v>1278</v>
      </c>
    </row>
    <row r="180" spans="1:9" ht="11.25" customHeight="1">
      <c r="A180" s="1818" t="s">
        <v>2601</v>
      </c>
      <c r="B180" s="1818" t="s">
        <v>14</v>
      </c>
      <c r="C180" s="1818" t="s">
        <v>2681</v>
      </c>
      <c r="D180" s="1818" t="s">
        <v>43</v>
      </c>
      <c r="E180" s="1818" t="s">
        <v>46</v>
      </c>
      <c r="F180" s="1818" t="s">
        <v>48</v>
      </c>
      <c r="G180" s="1818" t="s">
        <v>2682</v>
      </c>
      <c r="H180" s="1818" t="s">
        <v>24</v>
      </c>
      <c r="I180" s="1818" t="s">
        <v>1278</v>
      </c>
    </row>
    <row r="181" spans="1:9" ht="11.25" customHeight="1">
      <c r="A181" s="1818" t="s">
        <v>2601</v>
      </c>
      <c r="B181" s="1818" t="s">
        <v>14</v>
      </c>
      <c r="C181" s="1818" t="s">
        <v>3137</v>
      </c>
      <c r="D181" s="1818" t="s">
        <v>3138</v>
      </c>
      <c r="E181" s="1818" t="s">
        <v>3139</v>
      </c>
      <c r="F181" s="1818" t="s">
        <v>48</v>
      </c>
      <c r="G181" s="1818" t="s">
        <v>3140</v>
      </c>
      <c r="H181" s="1818" t="s">
        <v>24</v>
      </c>
      <c r="I181" s="1818" t="s">
        <v>1278</v>
      </c>
    </row>
    <row r="182" spans="1:9" ht="11.25" customHeight="1">
      <c r="A182" s="1818" t="s">
        <v>2601</v>
      </c>
      <c r="B182" s="1818" t="s">
        <v>14</v>
      </c>
      <c r="C182" s="1818" t="s">
        <v>2960</v>
      </c>
      <c r="D182" s="1818" t="s">
        <v>2961</v>
      </c>
      <c r="E182" s="1818" t="s">
        <v>2962</v>
      </c>
      <c r="F182" s="1818" t="s">
        <v>2797</v>
      </c>
      <c r="G182" s="1818" t="s">
        <v>2963</v>
      </c>
      <c r="H182" s="1818" t="s">
        <v>24</v>
      </c>
      <c r="I182" s="1818" t="s">
        <v>1278</v>
      </c>
    </row>
    <row r="183" spans="1:9" ht="11.25" customHeight="1">
      <c r="A183" s="1818" t="s">
        <v>2601</v>
      </c>
      <c r="B183" s="1818" t="s">
        <v>14</v>
      </c>
      <c r="C183" s="1818" t="s">
        <v>2991</v>
      </c>
      <c r="D183" s="1818" t="s">
        <v>2992</v>
      </c>
      <c r="E183" s="1818" t="s">
        <v>2993</v>
      </c>
      <c r="F183" s="1818" t="s">
        <v>48</v>
      </c>
      <c r="G183" s="1818" t="s">
        <v>2994</v>
      </c>
      <c r="H183" s="1818" t="s">
        <v>24</v>
      </c>
      <c r="I183" s="1818" t="s">
        <v>1278</v>
      </c>
    </row>
    <row r="184" spans="1:9" ht="11.25" customHeight="1">
      <c r="A184" s="1818" t="s">
        <v>2601</v>
      </c>
      <c r="B184" s="1818" t="s">
        <v>14</v>
      </c>
      <c r="C184" s="1818" t="s">
        <v>3141</v>
      </c>
      <c r="D184" s="1818" t="s">
        <v>3142</v>
      </c>
      <c r="E184" s="1818" t="s">
        <v>3143</v>
      </c>
      <c r="F184" s="1818" t="s">
        <v>2728</v>
      </c>
      <c r="G184" s="1818" t="s">
        <v>3144</v>
      </c>
      <c r="H184" s="1818" t="s">
        <v>24</v>
      </c>
      <c r="I184" s="1818" t="s">
        <v>1278</v>
      </c>
    </row>
    <row r="185" spans="1:9" ht="11.25" customHeight="1">
      <c r="A185" s="1818" t="s">
        <v>2601</v>
      </c>
      <c r="B185" s="1818" t="s">
        <v>14</v>
      </c>
      <c r="C185" s="1818" t="s">
        <v>2745</v>
      </c>
      <c r="D185" s="1818" t="s">
        <v>2746</v>
      </c>
      <c r="E185" s="1818" t="s">
        <v>2747</v>
      </c>
      <c r="F185" s="1818" t="s">
        <v>2632</v>
      </c>
      <c r="G185" s="1818" t="s">
        <v>2748</v>
      </c>
      <c r="H185" s="1818" t="s">
        <v>24</v>
      </c>
      <c r="I185" s="1818" t="s">
        <v>1278</v>
      </c>
    </row>
    <row r="186" spans="1:9" ht="11.25" customHeight="1">
      <c r="A186" s="1818" t="s">
        <v>2601</v>
      </c>
      <c r="B186" s="1818" t="s">
        <v>14</v>
      </c>
      <c r="C186" s="1818" t="s">
        <v>3145</v>
      </c>
      <c r="D186" s="1818" t="s">
        <v>3146</v>
      </c>
      <c r="E186" s="1818" t="s">
        <v>3147</v>
      </c>
      <c r="F186" s="1818" t="s">
        <v>3148</v>
      </c>
      <c r="G186" s="1818" t="s">
        <v>24</v>
      </c>
      <c r="H186" s="1818" t="s">
        <v>24</v>
      </c>
      <c r="I186" s="1818" t="s">
        <v>1278</v>
      </c>
    </row>
    <row r="187" spans="1:9" ht="11.25" customHeight="1">
      <c r="A187" s="1818" t="s">
        <v>2601</v>
      </c>
      <c r="B187" s="1818" t="s">
        <v>14</v>
      </c>
      <c r="C187" s="1818" t="s">
        <v>3081</v>
      </c>
      <c r="D187" s="1818" t="s">
        <v>3082</v>
      </c>
      <c r="E187" s="1818" t="s">
        <v>3083</v>
      </c>
      <c r="F187" s="1818" t="s">
        <v>2667</v>
      </c>
      <c r="G187" s="1818" t="s">
        <v>3073</v>
      </c>
      <c r="H187" s="1818" t="s">
        <v>24</v>
      </c>
      <c r="I187" s="1818" t="s">
        <v>1278</v>
      </c>
    </row>
    <row r="188" spans="1:9" ht="11.25" customHeight="1">
      <c r="A188" s="1818" t="s">
        <v>2601</v>
      </c>
      <c r="B188" s="1818" t="s">
        <v>14</v>
      </c>
      <c r="C188" s="1818" t="s">
        <v>2775</v>
      </c>
      <c r="D188" s="1818" t="s">
        <v>2776</v>
      </c>
      <c r="E188" s="1818" t="s">
        <v>2777</v>
      </c>
      <c r="F188" s="1818" t="s">
        <v>2667</v>
      </c>
      <c r="G188" s="1818" t="s">
        <v>2778</v>
      </c>
      <c r="H188" s="1818" t="s">
        <v>24</v>
      </c>
      <c r="I188" s="1818" t="s">
        <v>1278</v>
      </c>
    </row>
    <row r="189" spans="1:9" ht="11.25" customHeight="1">
      <c r="A189" s="1818" t="s">
        <v>2601</v>
      </c>
      <c r="B189" s="1818" t="s">
        <v>14</v>
      </c>
      <c r="C189" s="1818" t="s">
        <v>3084</v>
      </c>
      <c r="D189" s="1818" t="s">
        <v>3085</v>
      </c>
      <c r="E189" s="1818" t="s">
        <v>3086</v>
      </c>
      <c r="F189" s="1818" t="s">
        <v>3087</v>
      </c>
      <c r="G189" s="1818" t="s">
        <v>3088</v>
      </c>
      <c r="H189" s="1818" t="s">
        <v>24</v>
      </c>
      <c r="I189" s="1818" t="s">
        <v>1278</v>
      </c>
    </row>
    <row r="190" spans="1:9" ht="11.25" customHeight="1">
      <c r="A190" s="1818" t="s">
        <v>2601</v>
      </c>
      <c r="B190" s="1818" t="s">
        <v>14</v>
      </c>
      <c r="C190" s="1818" t="s">
        <v>2779</v>
      </c>
      <c r="D190" s="1818" t="s">
        <v>2780</v>
      </c>
      <c r="E190" s="1818" t="s">
        <v>2781</v>
      </c>
      <c r="F190" s="1818" t="s">
        <v>2782</v>
      </c>
      <c r="G190" s="1818" t="s">
        <v>2783</v>
      </c>
      <c r="H190" s="1818" t="s">
        <v>24</v>
      </c>
      <c r="I190" s="1818" t="s">
        <v>1278</v>
      </c>
    </row>
    <row r="191" spans="1:9" ht="11.25" customHeight="1">
      <c r="A191" s="1818" t="s">
        <v>2601</v>
      </c>
      <c r="B191" s="1818" t="s">
        <v>14</v>
      </c>
      <c r="C191" s="1818" t="s">
        <v>3097</v>
      </c>
      <c r="D191" s="1818" t="s">
        <v>3098</v>
      </c>
      <c r="E191" s="1818" t="s">
        <v>3099</v>
      </c>
      <c r="F191" s="1818" t="s">
        <v>2797</v>
      </c>
      <c r="G191" s="1818" t="s">
        <v>3100</v>
      </c>
      <c r="H191" s="1818" t="s">
        <v>24</v>
      </c>
      <c r="I191" s="1818" t="s">
        <v>1278</v>
      </c>
    </row>
    <row r="192" spans="1:9" ht="11.25" customHeight="1">
      <c r="A192" s="1818" t="s">
        <v>2601</v>
      </c>
      <c r="B192" s="1818" t="s">
        <v>14</v>
      </c>
      <c r="C192" s="1818" t="s">
        <v>3101</v>
      </c>
      <c r="D192" s="1818" t="s">
        <v>3102</v>
      </c>
      <c r="E192" s="1818" t="s">
        <v>3103</v>
      </c>
      <c r="F192" s="1818" t="s">
        <v>48</v>
      </c>
      <c r="G192" s="1818" t="s">
        <v>2809</v>
      </c>
      <c r="H192" s="1818" t="s">
        <v>24</v>
      </c>
      <c r="I192" s="1818" t="s">
        <v>1278</v>
      </c>
    </row>
    <row r="193" spans="1:9" ht="11.25" customHeight="1">
      <c r="A193" s="1818" t="s">
        <v>2601</v>
      </c>
      <c r="B193" s="1818" t="s">
        <v>14</v>
      </c>
      <c r="C193" s="1818" t="s">
        <v>3149</v>
      </c>
      <c r="D193" s="1818" t="s">
        <v>3150</v>
      </c>
      <c r="E193" s="1818" t="s">
        <v>3151</v>
      </c>
      <c r="F193" s="1818" t="s">
        <v>2605</v>
      </c>
      <c r="G193" s="1818" t="s">
        <v>3152</v>
      </c>
      <c r="H193" s="1818" t="s">
        <v>24</v>
      </c>
      <c r="I193" s="1818" t="s">
        <v>1278</v>
      </c>
    </row>
    <row r="194" spans="1:9" ht="11.25" customHeight="1">
      <c r="A194" s="1818" t="s">
        <v>2601</v>
      </c>
      <c r="B194" s="1818" t="s">
        <v>14</v>
      </c>
      <c r="C194" s="1818" t="s">
        <v>3153</v>
      </c>
      <c r="D194" s="1818" t="s">
        <v>3154</v>
      </c>
      <c r="E194" s="1818" t="s">
        <v>3155</v>
      </c>
      <c r="F194" s="1818" t="s">
        <v>2853</v>
      </c>
      <c r="G194" s="1818" t="s">
        <v>3156</v>
      </c>
      <c r="H194" s="1818" t="s">
        <v>24</v>
      </c>
      <c r="I194" s="1818" t="s">
        <v>1278</v>
      </c>
    </row>
    <row r="195" spans="1:9" ht="11.25" customHeight="1">
      <c r="A195" s="1818" t="s">
        <v>2601</v>
      </c>
      <c r="B195" s="1818" t="s">
        <v>14</v>
      </c>
      <c r="C195" s="1818" t="s">
        <v>3157</v>
      </c>
      <c r="D195" s="1818" t="s">
        <v>3158</v>
      </c>
      <c r="E195" s="1818" t="s">
        <v>3159</v>
      </c>
      <c r="F195" s="1818" t="s">
        <v>3160</v>
      </c>
      <c r="G195" s="1818" t="s">
        <v>3161</v>
      </c>
      <c r="H195" s="1818" t="s">
        <v>24</v>
      </c>
      <c r="I195" s="1818" t="s">
        <v>1278</v>
      </c>
    </row>
    <row r="196" spans="1:9" ht="11.25" customHeight="1">
      <c r="A196" s="1818" t="s">
        <v>2601</v>
      </c>
      <c r="B196" s="1818" t="s">
        <v>14</v>
      </c>
      <c r="C196" s="1818" t="s">
        <v>3162</v>
      </c>
      <c r="D196" s="1818" t="s">
        <v>3163</v>
      </c>
      <c r="E196" s="1818" t="s">
        <v>3164</v>
      </c>
      <c r="F196" s="1818" t="s">
        <v>2667</v>
      </c>
      <c r="G196" s="1818" t="s">
        <v>3165</v>
      </c>
      <c r="H196" s="1818" t="s">
        <v>24</v>
      </c>
      <c r="I196" s="1818" t="s">
        <v>1278</v>
      </c>
    </row>
    <row r="197" spans="1:9" ht="11.25" customHeight="1">
      <c r="A197" s="1818" t="s">
        <v>2601</v>
      </c>
      <c r="B197" s="1818" t="s">
        <v>14</v>
      </c>
      <c r="C197" s="1818" t="s">
        <v>2855</v>
      </c>
      <c r="D197" s="1818" t="s">
        <v>2856</v>
      </c>
      <c r="E197" s="1818" t="s">
        <v>2857</v>
      </c>
      <c r="F197" s="1818" t="s">
        <v>2858</v>
      </c>
      <c r="G197" s="1818" t="s">
        <v>2859</v>
      </c>
      <c r="H197" s="1818" t="s">
        <v>24</v>
      </c>
      <c r="I197" s="1818" t="s">
        <v>1278</v>
      </c>
    </row>
    <row r="198" spans="1:9" ht="11.25" customHeight="1">
      <c r="A198" s="1818" t="s">
        <v>2601</v>
      </c>
      <c r="B198" s="1818" t="s">
        <v>14</v>
      </c>
      <c r="C198" s="1818" t="s">
        <v>3108</v>
      </c>
      <c r="D198" s="1818" t="s">
        <v>3109</v>
      </c>
      <c r="E198" s="1818" t="s">
        <v>3110</v>
      </c>
      <c r="F198" s="1818" t="s">
        <v>2653</v>
      </c>
      <c r="G198" s="1818" t="s">
        <v>3111</v>
      </c>
      <c r="H198" s="1818" t="s">
        <v>24</v>
      </c>
      <c r="I198" s="1818" t="s">
        <v>1278</v>
      </c>
    </row>
    <row r="199" spans="1:9" ht="11.25" customHeight="1">
      <c r="A199" s="1818" t="s">
        <v>2601</v>
      </c>
      <c r="B199" s="1818" t="s">
        <v>14</v>
      </c>
      <c r="C199" s="1818" t="s">
        <v>2864</v>
      </c>
      <c r="D199" s="1818" t="s">
        <v>2865</v>
      </c>
      <c r="E199" s="1818" t="s">
        <v>2866</v>
      </c>
      <c r="F199" s="1818" t="s">
        <v>2867</v>
      </c>
      <c r="G199" s="1818" t="s">
        <v>2868</v>
      </c>
      <c r="H199" s="1818" t="s">
        <v>24</v>
      </c>
      <c r="I199" s="1818" t="s">
        <v>1278</v>
      </c>
    </row>
    <row r="200" spans="1:9" ht="11.25" customHeight="1">
      <c r="A200" s="1818" t="s">
        <v>2601</v>
      </c>
      <c r="B200" s="1818" t="s">
        <v>14</v>
      </c>
      <c r="C200" s="1818" t="s">
        <v>24</v>
      </c>
      <c r="D200" s="1818" t="s">
        <v>2882</v>
      </c>
      <c r="E200" s="1818" t="s">
        <v>2883</v>
      </c>
      <c r="F200" s="1818" t="s">
        <v>2884</v>
      </c>
      <c r="G200" s="1818" t="s">
        <v>24</v>
      </c>
      <c r="H200" s="1818" t="s">
        <v>24</v>
      </c>
      <c r="I200" s="1818" t="s">
        <v>1278</v>
      </c>
    </row>
    <row r="201" spans="1:9" ht="11.25" customHeight="1">
      <c r="A201" s="1818" t="s">
        <v>2601</v>
      </c>
      <c r="B201" s="1818" t="s">
        <v>14</v>
      </c>
      <c r="C201" s="1818" t="s">
        <v>2890</v>
      </c>
      <c r="D201" s="1818" t="s">
        <v>2891</v>
      </c>
      <c r="E201" s="1818" t="s">
        <v>2892</v>
      </c>
      <c r="F201" s="1818" t="s">
        <v>2893</v>
      </c>
      <c r="G201" s="1818" t="s">
        <v>24</v>
      </c>
      <c r="H201" s="1818" t="s">
        <v>24</v>
      </c>
      <c r="I201" s="1818" t="s">
        <v>1278</v>
      </c>
    </row>
    <row r="202" spans="1:9" ht="11.25" customHeight="1">
      <c r="A202" s="1818" t="s">
        <v>2601</v>
      </c>
      <c r="B202" s="1818" t="s">
        <v>14</v>
      </c>
      <c r="C202" s="1818" t="s">
        <v>2894</v>
      </c>
      <c r="D202" s="1818" t="s">
        <v>2895</v>
      </c>
      <c r="E202" s="1818" t="s">
        <v>2896</v>
      </c>
      <c r="F202" s="1818" t="s">
        <v>2897</v>
      </c>
      <c r="G202" s="1818" t="s">
        <v>2898</v>
      </c>
      <c r="H202" s="1818" t="s">
        <v>24</v>
      </c>
      <c r="I202" s="1818" t="s">
        <v>1278</v>
      </c>
    </row>
    <row r="203" spans="1:9" ht="11.25" customHeight="1">
      <c r="A203" s="1818" t="s">
        <v>2601</v>
      </c>
      <c r="B203" s="1818" t="s">
        <v>14</v>
      </c>
      <c r="C203" s="1818" t="s">
        <v>2902</v>
      </c>
      <c r="D203" s="1818" t="s">
        <v>2903</v>
      </c>
      <c r="E203" s="1818" t="s">
        <v>2904</v>
      </c>
      <c r="F203" s="1818" t="s">
        <v>2905</v>
      </c>
      <c r="G203" s="1818" t="s">
        <v>2719</v>
      </c>
      <c r="H203" s="1818" t="s">
        <v>24</v>
      </c>
      <c r="I203" s="1818" t="s">
        <v>1278</v>
      </c>
    </row>
    <row r="204" spans="1:9" ht="11.25" customHeight="1">
      <c r="A204" s="1818" t="s">
        <v>2601</v>
      </c>
      <c r="B204" s="1818" t="s">
        <v>14</v>
      </c>
      <c r="C204" s="1818" t="s">
        <v>2906</v>
      </c>
      <c r="D204" s="1818" t="s">
        <v>2907</v>
      </c>
      <c r="E204" s="1818" t="s">
        <v>2908</v>
      </c>
      <c r="F204" s="1818" t="s">
        <v>2909</v>
      </c>
      <c r="G204" s="1818" t="s">
        <v>2910</v>
      </c>
      <c r="H204" s="1818" t="s">
        <v>24</v>
      </c>
      <c r="I204" s="1818" t="s">
        <v>1278</v>
      </c>
    </row>
    <row r="205" spans="1:9" ht="11.25" customHeight="1">
      <c r="A205" s="1818" t="s">
        <v>2601</v>
      </c>
      <c r="B205" s="1818" t="s">
        <v>14</v>
      </c>
      <c r="C205" s="1818" t="s">
        <v>2616</v>
      </c>
      <c r="D205" s="1818" t="s">
        <v>2617</v>
      </c>
      <c r="E205" s="1818" t="s">
        <v>2618</v>
      </c>
      <c r="F205" s="1818" t="s">
        <v>2619</v>
      </c>
      <c r="G205" s="1818" t="s">
        <v>2620</v>
      </c>
      <c r="H205" s="1818" t="s">
        <v>24</v>
      </c>
      <c r="I205" s="1818" t="s">
        <v>2065</v>
      </c>
    </row>
    <row r="206" spans="1:9" ht="11.25" customHeight="1">
      <c r="A206" s="1818" t="s">
        <v>2601</v>
      </c>
      <c r="B206" s="1818" t="s">
        <v>14</v>
      </c>
      <c r="C206" s="1818" t="s">
        <v>3166</v>
      </c>
      <c r="D206" s="1818" t="s">
        <v>3167</v>
      </c>
      <c r="E206" s="1818" t="s">
        <v>3168</v>
      </c>
      <c r="F206" s="1818" t="s">
        <v>1033</v>
      </c>
      <c r="G206" s="1818" t="s">
        <v>3169</v>
      </c>
      <c r="H206" s="1818" t="s">
        <v>24</v>
      </c>
      <c r="I206" s="1818" t="s">
        <v>2065</v>
      </c>
    </row>
    <row r="207" spans="1:9" ht="11.25" customHeight="1">
      <c r="A207" s="1818" t="s">
        <v>2601</v>
      </c>
      <c r="B207" s="1818" t="s">
        <v>14</v>
      </c>
      <c r="C207" s="1818" t="s">
        <v>3170</v>
      </c>
      <c r="D207" s="1818" t="s">
        <v>3171</v>
      </c>
      <c r="E207" s="1818" t="s">
        <v>3172</v>
      </c>
      <c r="F207" s="1818" t="s">
        <v>1033</v>
      </c>
      <c r="G207" s="1818" t="s">
        <v>3173</v>
      </c>
      <c r="H207" s="1818" t="s">
        <v>24</v>
      </c>
      <c r="I207" s="1818" t="s">
        <v>2065</v>
      </c>
    </row>
    <row r="208" spans="1:9" ht="11.25" customHeight="1">
      <c r="A208" s="1818" t="s">
        <v>2601</v>
      </c>
      <c r="B208" s="1818" t="s">
        <v>14</v>
      </c>
      <c r="C208" s="1818" t="s">
        <v>3174</v>
      </c>
      <c r="D208" s="1818" t="s">
        <v>3175</v>
      </c>
      <c r="E208" s="1818" t="s">
        <v>3176</v>
      </c>
      <c r="F208" s="1818" t="s">
        <v>1033</v>
      </c>
      <c r="G208" s="1818" t="s">
        <v>3173</v>
      </c>
      <c r="H208" s="1818" t="s">
        <v>24</v>
      </c>
      <c r="I208" s="1818" t="s">
        <v>2065</v>
      </c>
    </row>
    <row r="209" spans="1:9" ht="11.25" customHeight="1">
      <c r="A209" s="1818" t="s">
        <v>2601</v>
      </c>
      <c r="B209" s="1818" t="s">
        <v>14</v>
      </c>
      <c r="C209" s="1818" t="s">
        <v>3177</v>
      </c>
      <c r="D209" s="1818" t="s">
        <v>3178</v>
      </c>
      <c r="E209" s="1818" t="s">
        <v>3179</v>
      </c>
      <c r="F209" s="1818" t="s">
        <v>1033</v>
      </c>
      <c r="G209" s="1818" t="s">
        <v>3180</v>
      </c>
      <c r="H209" s="1818" t="s">
        <v>24</v>
      </c>
      <c r="I209" s="1818" t="s">
        <v>2065</v>
      </c>
    </row>
    <row r="210" spans="1:9" ht="11.25" customHeight="1">
      <c r="A210" s="1818" t="s">
        <v>2601</v>
      </c>
      <c r="B210" s="1818" t="s">
        <v>14</v>
      </c>
      <c r="C210" s="1818" t="s">
        <v>3181</v>
      </c>
      <c r="D210" s="1818" t="s">
        <v>3182</v>
      </c>
      <c r="E210" s="1818" t="s">
        <v>3183</v>
      </c>
      <c r="F210" s="1818" t="s">
        <v>1033</v>
      </c>
      <c r="G210" s="1818" t="s">
        <v>3184</v>
      </c>
      <c r="H210" s="1818" t="s">
        <v>24</v>
      </c>
      <c r="I210" s="1818" t="s">
        <v>2065</v>
      </c>
    </row>
    <row r="211" spans="1:9" ht="11.25" customHeight="1">
      <c r="A211" s="1818" t="s">
        <v>2601</v>
      </c>
      <c r="B211" s="1818" t="s">
        <v>14</v>
      </c>
      <c r="C211" s="1818" t="s">
        <v>3185</v>
      </c>
      <c r="D211" s="1818" t="s">
        <v>3186</v>
      </c>
      <c r="E211" s="1818" t="s">
        <v>3187</v>
      </c>
      <c r="F211" s="1818" t="s">
        <v>1033</v>
      </c>
      <c r="G211" s="1818" t="s">
        <v>24</v>
      </c>
      <c r="H211" s="1818" t="s">
        <v>24</v>
      </c>
      <c r="I211" s="1818" t="s">
        <v>2065</v>
      </c>
    </row>
    <row r="212" spans="1:9" ht="11.25" customHeight="1">
      <c r="A212" s="1818" t="s">
        <v>2601</v>
      </c>
      <c r="B212" s="1818" t="s">
        <v>14</v>
      </c>
      <c r="C212" s="1818" t="s">
        <v>3188</v>
      </c>
      <c r="D212" s="1818" t="s">
        <v>3189</v>
      </c>
      <c r="E212" s="1818" t="s">
        <v>3190</v>
      </c>
      <c r="F212" s="1818" t="s">
        <v>1033</v>
      </c>
      <c r="G212" s="1818" t="s">
        <v>3191</v>
      </c>
      <c r="H212" s="1818" t="s">
        <v>24</v>
      </c>
      <c r="I212" s="1818" t="s">
        <v>2065</v>
      </c>
    </row>
    <row r="213" spans="1:9" ht="11.25" customHeight="1">
      <c r="A213" s="1818" t="s">
        <v>2601</v>
      </c>
      <c r="B213" s="1818" t="s">
        <v>14</v>
      </c>
      <c r="C213" s="1818" t="s">
        <v>3192</v>
      </c>
      <c r="D213" s="1818" t="s">
        <v>3193</v>
      </c>
      <c r="E213" s="1818" t="s">
        <v>3194</v>
      </c>
      <c r="F213" s="1818" t="s">
        <v>1033</v>
      </c>
      <c r="G213" s="1818" t="s">
        <v>3195</v>
      </c>
      <c r="H213" s="1818" t="s">
        <v>24</v>
      </c>
      <c r="I213" s="1818" t="s">
        <v>2065</v>
      </c>
    </row>
    <row r="214" spans="1:9" ht="11.25" customHeight="1">
      <c r="A214" s="1818" t="s">
        <v>2601</v>
      </c>
      <c r="B214" s="1818" t="s">
        <v>14</v>
      </c>
      <c r="C214" s="1818" t="s">
        <v>3196</v>
      </c>
      <c r="D214" s="1818" t="s">
        <v>3197</v>
      </c>
      <c r="E214" s="1818" t="s">
        <v>3198</v>
      </c>
      <c r="F214" s="1818" t="s">
        <v>1033</v>
      </c>
      <c r="G214" s="1818" t="s">
        <v>3199</v>
      </c>
      <c r="H214" s="1818" t="s">
        <v>24</v>
      </c>
      <c r="I214" s="1818" t="s">
        <v>2065</v>
      </c>
    </row>
    <row r="215" spans="1:9" ht="11.25" customHeight="1">
      <c r="A215" s="1818" t="s">
        <v>2601</v>
      </c>
      <c r="B215" s="1818" t="s">
        <v>14</v>
      </c>
      <c r="C215" s="1818" t="s">
        <v>3200</v>
      </c>
      <c r="D215" s="1818" t="s">
        <v>3201</v>
      </c>
      <c r="E215" s="1818" t="s">
        <v>3202</v>
      </c>
      <c r="F215" s="1818" t="s">
        <v>1033</v>
      </c>
      <c r="G215" s="1818" t="s">
        <v>3173</v>
      </c>
      <c r="H215" s="1818" t="s">
        <v>24</v>
      </c>
      <c r="I215" s="1818" t="s">
        <v>2065</v>
      </c>
    </row>
    <row r="216" spans="1:9" ht="11.25" customHeight="1">
      <c r="A216" s="1818" t="s">
        <v>2601</v>
      </c>
      <c r="B216" s="1818" t="s">
        <v>14</v>
      </c>
      <c r="C216" s="1818" t="s">
        <v>3203</v>
      </c>
      <c r="D216" s="1818" t="s">
        <v>3204</v>
      </c>
      <c r="E216" s="1818" t="s">
        <v>3205</v>
      </c>
      <c r="F216" s="1818" t="s">
        <v>1033</v>
      </c>
      <c r="G216" s="1818" t="s">
        <v>3206</v>
      </c>
      <c r="H216" s="1818" t="s">
        <v>24</v>
      </c>
      <c r="I216" s="1818" t="s">
        <v>2065</v>
      </c>
    </row>
    <row r="217" spans="1:9" ht="11.25" customHeight="1">
      <c r="A217" s="1818" t="s">
        <v>2601</v>
      </c>
      <c r="B217" s="1818" t="s">
        <v>14</v>
      </c>
      <c r="C217" s="1818" t="s">
        <v>3207</v>
      </c>
      <c r="D217" s="1818" t="s">
        <v>3208</v>
      </c>
      <c r="E217" s="1818" t="s">
        <v>3209</v>
      </c>
      <c r="F217" s="1818" t="s">
        <v>1033</v>
      </c>
      <c r="G217" s="1818" t="s">
        <v>3210</v>
      </c>
      <c r="H217" s="1818" t="s">
        <v>24</v>
      </c>
      <c r="I217" s="1818" t="s">
        <v>2065</v>
      </c>
    </row>
    <row r="218" spans="1:9" ht="11.25" customHeight="1">
      <c r="A218" s="1818" t="s">
        <v>2601</v>
      </c>
      <c r="B218" s="1818" t="s">
        <v>14</v>
      </c>
      <c r="C218" s="1818" t="s">
        <v>3211</v>
      </c>
      <c r="D218" s="1818" t="s">
        <v>3212</v>
      </c>
      <c r="E218" s="1818" t="s">
        <v>3213</v>
      </c>
      <c r="F218" s="1818" t="s">
        <v>3214</v>
      </c>
      <c r="G218" s="1818" t="s">
        <v>3215</v>
      </c>
      <c r="H218" s="1818" t="s">
        <v>24</v>
      </c>
      <c r="I218" s="1818" t="s">
        <v>2065</v>
      </c>
    </row>
    <row r="219" spans="1:9" ht="11.25" customHeight="1">
      <c r="A219" s="1818" t="s">
        <v>2601</v>
      </c>
      <c r="B219" s="1818" t="s">
        <v>14</v>
      </c>
      <c r="C219" s="1818" t="s">
        <v>2735</v>
      </c>
      <c r="D219" s="1818" t="s">
        <v>2736</v>
      </c>
      <c r="E219" s="1818" t="s">
        <v>2737</v>
      </c>
      <c r="F219" s="1818" t="s">
        <v>2738</v>
      </c>
      <c r="G219" s="1818" t="s">
        <v>2739</v>
      </c>
      <c r="H219" s="1818" t="s">
        <v>24</v>
      </c>
      <c r="I219" s="1818" t="s">
        <v>2065</v>
      </c>
    </row>
    <row r="220" spans="1:9" ht="11.25" customHeight="1">
      <c r="A220" s="1818" t="s">
        <v>2601</v>
      </c>
      <c r="B220" s="1818" t="s">
        <v>14</v>
      </c>
      <c r="C220" s="1818" t="s">
        <v>3216</v>
      </c>
      <c r="D220" s="1818" t="s">
        <v>3217</v>
      </c>
      <c r="E220" s="1818" t="s">
        <v>3218</v>
      </c>
      <c r="F220" s="1818" t="s">
        <v>2632</v>
      </c>
      <c r="G220" s="1818" t="s">
        <v>3219</v>
      </c>
      <c r="H220" s="1818" t="s">
        <v>24</v>
      </c>
      <c r="I220" s="1818" t="s">
        <v>2065</v>
      </c>
    </row>
    <row r="221" spans="1:9" ht="11.25" customHeight="1">
      <c r="A221" s="1818" t="s">
        <v>2601</v>
      </c>
      <c r="B221" s="1818" t="s">
        <v>14</v>
      </c>
      <c r="C221" s="1818" t="s">
        <v>3220</v>
      </c>
      <c r="D221" s="1818" t="s">
        <v>3221</v>
      </c>
      <c r="E221" s="1818" t="s">
        <v>3222</v>
      </c>
      <c r="F221" s="1818" t="s">
        <v>2632</v>
      </c>
      <c r="G221" s="1818" t="s">
        <v>3223</v>
      </c>
      <c r="H221" s="1818" t="s">
        <v>24</v>
      </c>
      <c r="I221" s="1818" t="s">
        <v>2065</v>
      </c>
    </row>
    <row r="222" spans="1:9" ht="11.25" customHeight="1">
      <c r="A222" s="1818" t="s">
        <v>2601</v>
      </c>
      <c r="B222" s="1818" t="s">
        <v>14</v>
      </c>
      <c r="C222" s="1818" t="s">
        <v>3224</v>
      </c>
      <c r="D222" s="1818" t="s">
        <v>3225</v>
      </c>
      <c r="E222" s="1818" t="s">
        <v>3226</v>
      </c>
      <c r="F222" s="1818" t="s">
        <v>2653</v>
      </c>
      <c r="G222" s="1818" t="s">
        <v>3227</v>
      </c>
      <c r="H222" s="1818" t="s">
        <v>24</v>
      </c>
      <c r="I222" s="1818" t="s">
        <v>2065</v>
      </c>
    </row>
    <row r="223" spans="1:9" ht="11.25" customHeight="1">
      <c r="A223" s="1818" t="s">
        <v>2601</v>
      </c>
      <c r="B223" s="1818" t="s">
        <v>14</v>
      </c>
      <c r="C223" s="1818" t="s">
        <v>3228</v>
      </c>
      <c r="D223" s="1818" t="s">
        <v>3229</v>
      </c>
      <c r="E223" s="1818" t="s">
        <v>3230</v>
      </c>
      <c r="F223" s="1818" t="s">
        <v>2828</v>
      </c>
      <c r="G223" s="1818" t="s">
        <v>3231</v>
      </c>
      <c r="H223" s="1818" t="s">
        <v>24</v>
      </c>
      <c r="I223" s="1818" t="s">
        <v>2065</v>
      </c>
    </row>
    <row r="224" spans="1:9" ht="11.25" customHeight="1">
      <c r="A224" s="1818" t="s">
        <v>2601</v>
      </c>
      <c r="B224" s="1818" t="s">
        <v>14</v>
      </c>
      <c r="C224" s="1818" t="s">
        <v>3232</v>
      </c>
      <c r="D224" s="1818" t="s">
        <v>3233</v>
      </c>
      <c r="E224" s="1818" t="s">
        <v>3234</v>
      </c>
      <c r="F224" s="1818" t="s">
        <v>2632</v>
      </c>
      <c r="G224" s="1818" t="s">
        <v>3235</v>
      </c>
      <c r="H224" s="1818" t="s">
        <v>24</v>
      </c>
      <c r="I224" s="1818" t="s">
        <v>2065</v>
      </c>
    </row>
    <row r="225" spans="1:9" ht="11.25" customHeight="1">
      <c r="A225" s="1818" t="s">
        <v>2601</v>
      </c>
      <c r="B225" s="1818" t="s">
        <v>14</v>
      </c>
      <c r="C225" s="1818" t="s">
        <v>3236</v>
      </c>
      <c r="D225" s="1818" t="s">
        <v>3237</v>
      </c>
      <c r="E225" s="1818" t="s">
        <v>3238</v>
      </c>
      <c r="F225" s="1818" t="s">
        <v>2632</v>
      </c>
      <c r="G225" s="1818" t="s">
        <v>3239</v>
      </c>
      <c r="H225" s="1818" t="s">
        <v>24</v>
      </c>
      <c r="I225" s="1818" t="s">
        <v>2065</v>
      </c>
    </row>
    <row r="226" spans="1:9" ht="11.25" customHeight="1">
      <c r="A226" s="1818" t="s">
        <v>2601</v>
      </c>
      <c r="B226" s="1818" t="s">
        <v>14</v>
      </c>
      <c r="C226" s="1818" t="s">
        <v>3240</v>
      </c>
      <c r="D226" s="1818" t="s">
        <v>3241</v>
      </c>
      <c r="E226" s="1818" t="s">
        <v>3242</v>
      </c>
      <c r="F226" s="1818" t="s">
        <v>2667</v>
      </c>
      <c r="G226" s="1818" t="s">
        <v>3243</v>
      </c>
      <c r="H226" s="1818" t="s">
        <v>24</v>
      </c>
      <c r="I226" s="1818" t="s">
        <v>2065</v>
      </c>
    </row>
    <row r="227" spans="1:9" ht="11.25" customHeight="1">
      <c r="A227" s="1818" t="s">
        <v>2601</v>
      </c>
      <c r="B227" s="1818" t="s">
        <v>14</v>
      </c>
      <c r="C227" s="1818" t="s">
        <v>3244</v>
      </c>
      <c r="D227" s="1818" t="s">
        <v>3245</v>
      </c>
      <c r="E227" s="1818" t="s">
        <v>3246</v>
      </c>
      <c r="F227" s="1818" t="s">
        <v>2632</v>
      </c>
      <c r="G227" s="1818" t="s">
        <v>3247</v>
      </c>
      <c r="H227" s="1818" t="s">
        <v>24</v>
      </c>
      <c r="I227" s="1818" t="s">
        <v>2065</v>
      </c>
    </row>
    <row r="228" spans="1:9" ht="11.25" customHeight="1">
      <c r="A228" s="1818" t="s">
        <v>2601</v>
      </c>
      <c r="B228" s="1818" t="s">
        <v>14</v>
      </c>
      <c r="C228" s="1818" t="s">
        <v>3248</v>
      </c>
      <c r="D228" s="1818" t="s">
        <v>3249</v>
      </c>
      <c r="E228" s="1818" t="s">
        <v>3250</v>
      </c>
      <c r="F228" s="1818" t="s">
        <v>2662</v>
      </c>
      <c r="G228" s="1818" t="s">
        <v>3251</v>
      </c>
      <c r="H228" s="1818" t="s">
        <v>24</v>
      </c>
      <c r="I228" s="1818" t="s">
        <v>2065</v>
      </c>
    </row>
    <row r="229" spans="1:9" ht="11.25" customHeight="1">
      <c r="A229" s="1818" t="s">
        <v>2601</v>
      </c>
      <c r="B229" s="1818" t="s">
        <v>14</v>
      </c>
      <c r="C229" s="1818" t="s">
        <v>3252</v>
      </c>
      <c r="D229" s="1818" t="s">
        <v>3253</v>
      </c>
      <c r="E229" s="1818" t="s">
        <v>3254</v>
      </c>
      <c r="F229" s="1818" t="s">
        <v>2884</v>
      </c>
      <c r="G229" s="1818" t="s">
        <v>3255</v>
      </c>
      <c r="H229" s="1818" t="s">
        <v>24</v>
      </c>
      <c r="I229" s="1818" t="s">
        <v>2065</v>
      </c>
    </row>
    <row r="230" spans="1:9" ht="11.25" customHeight="1">
      <c r="A230" s="1818" t="s">
        <v>2601</v>
      </c>
      <c r="B230" s="1818" t="s">
        <v>14</v>
      </c>
      <c r="C230" s="1818" t="s">
        <v>3256</v>
      </c>
      <c r="D230" s="1818" t="s">
        <v>3257</v>
      </c>
      <c r="E230" s="1818" t="s">
        <v>3258</v>
      </c>
      <c r="F230" s="1818" t="s">
        <v>48</v>
      </c>
      <c r="G230" s="1818" t="s">
        <v>3259</v>
      </c>
      <c r="H230" s="1818" t="s">
        <v>24</v>
      </c>
      <c r="I230" s="1818" t="s">
        <v>2065</v>
      </c>
    </row>
    <row r="231" spans="1:9" ht="11.25" customHeight="1">
      <c r="A231" s="1818" t="s">
        <v>2601</v>
      </c>
      <c r="B231" s="1818" t="s">
        <v>14</v>
      </c>
      <c r="C231" s="1818" t="s">
        <v>3260</v>
      </c>
      <c r="D231" s="1818" t="s">
        <v>3261</v>
      </c>
      <c r="E231" s="1818" t="s">
        <v>3262</v>
      </c>
      <c r="F231" s="1818" t="s">
        <v>48</v>
      </c>
      <c r="G231" s="1818" t="s">
        <v>3263</v>
      </c>
      <c r="H231" s="1818" t="s">
        <v>24</v>
      </c>
      <c r="I231" s="1818" t="s">
        <v>2065</v>
      </c>
    </row>
    <row r="232" spans="1:9" ht="11.25" customHeight="1">
      <c r="A232" s="1818" t="s">
        <v>2601</v>
      </c>
      <c r="B232" s="1818" t="s">
        <v>14</v>
      </c>
      <c r="C232" s="1818" t="s">
        <v>3264</v>
      </c>
      <c r="D232" s="1818" t="s">
        <v>3265</v>
      </c>
      <c r="E232" s="1818" t="s">
        <v>3266</v>
      </c>
      <c r="F232" s="1818" t="s">
        <v>2653</v>
      </c>
      <c r="G232" s="1818" t="s">
        <v>3267</v>
      </c>
      <c r="H232" s="1818" t="s">
        <v>24</v>
      </c>
      <c r="I232" s="1818" t="s">
        <v>2065</v>
      </c>
    </row>
    <row r="233" spans="1:9" ht="11.25" customHeight="1">
      <c r="A233" s="1818" t="s">
        <v>2601</v>
      </c>
      <c r="B233" s="1818" t="s">
        <v>14</v>
      </c>
      <c r="C233" s="1818" t="s">
        <v>3268</v>
      </c>
      <c r="D233" s="1818" t="s">
        <v>3269</v>
      </c>
      <c r="E233" s="1818" t="s">
        <v>3270</v>
      </c>
      <c r="F233" s="1818" t="s">
        <v>2653</v>
      </c>
      <c r="G233" s="1818" t="s">
        <v>3271</v>
      </c>
      <c r="H233" s="1818" t="s">
        <v>24</v>
      </c>
      <c r="I233" s="1818" t="s">
        <v>2065</v>
      </c>
    </row>
    <row r="234" spans="1:9" ht="11.25" customHeight="1">
      <c r="A234" s="1818" t="s">
        <v>2601</v>
      </c>
      <c r="B234" s="1818" t="s">
        <v>14</v>
      </c>
      <c r="C234" s="1818" t="s">
        <v>3272</v>
      </c>
      <c r="D234" s="1818" t="s">
        <v>3273</v>
      </c>
      <c r="E234" s="1818" t="s">
        <v>3274</v>
      </c>
      <c r="F234" s="1818" t="s">
        <v>48</v>
      </c>
      <c r="G234" s="1818" t="s">
        <v>3275</v>
      </c>
      <c r="H234" s="1818" t="s">
        <v>24</v>
      </c>
      <c r="I234" s="1818" t="s">
        <v>2065</v>
      </c>
    </row>
    <row r="235" spans="1:9" ht="11.25" customHeight="1">
      <c r="A235" s="1818" t="s">
        <v>2601</v>
      </c>
      <c r="B235" s="1818" t="s">
        <v>14</v>
      </c>
      <c r="C235" s="1818" t="s">
        <v>3276</v>
      </c>
      <c r="D235" s="1818" t="s">
        <v>3277</v>
      </c>
      <c r="E235" s="1818" t="s">
        <v>3278</v>
      </c>
      <c r="F235" s="1818" t="s">
        <v>2648</v>
      </c>
      <c r="G235" s="1818" t="s">
        <v>3279</v>
      </c>
      <c r="H235" s="1818" t="s">
        <v>24</v>
      </c>
      <c r="I235" s="1818" t="s">
        <v>2065</v>
      </c>
    </row>
    <row r="236" spans="1:9" ht="11.25" customHeight="1">
      <c r="A236" s="1818" t="s">
        <v>2601</v>
      </c>
      <c r="B236" s="1818" t="s">
        <v>14</v>
      </c>
      <c r="C236" s="1818" t="s">
        <v>3280</v>
      </c>
      <c r="D236" s="1818" t="s">
        <v>3281</v>
      </c>
      <c r="E236" s="1818" t="s">
        <v>3282</v>
      </c>
      <c r="F236" s="1818" t="s">
        <v>2632</v>
      </c>
      <c r="G236" s="1818" t="s">
        <v>3283</v>
      </c>
      <c r="H236" s="1818" t="s">
        <v>24</v>
      </c>
      <c r="I236" s="1818" t="s">
        <v>2065</v>
      </c>
    </row>
    <row r="237" spans="1:9" ht="11.25" customHeight="1">
      <c r="A237" s="1818" t="s">
        <v>2601</v>
      </c>
      <c r="B237" s="1818" t="s">
        <v>14</v>
      </c>
      <c r="C237" s="1818" t="s">
        <v>2834</v>
      </c>
      <c r="D237" s="1818" t="s">
        <v>2835</v>
      </c>
      <c r="E237" s="1818" t="s">
        <v>2836</v>
      </c>
      <c r="F237" s="1818" t="s">
        <v>2828</v>
      </c>
      <c r="G237" s="1818" t="s">
        <v>2837</v>
      </c>
      <c r="H237" s="1818" t="s">
        <v>24</v>
      </c>
      <c r="I237" s="1818" t="s">
        <v>2065</v>
      </c>
    </row>
    <row r="238" spans="1:9" ht="11.25" customHeight="1">
      <c r="A238" s="1818" t="s">
        <v>2601</v>
      </c>
      <c r="B238" s="1818" t="s">
        <v>14</v>
      </c>
      <c r="C238" s="1818" t="s">
        <v>3284</v>
      </c>
      <c r="D238" s="1818" t="s">
        <v>3285</v>
      </c>
      <c r="E238" s="1818" t="s">
        <v>3286</v>
      </c>
      <c r="F238" s="1818" t="s">
        <v>2667</v>
      </c>
      <c r="G238" s="1818" t="s">
        <v>3287</v>
      </c>
      <c r="H238" s="1818" t="s">
        <v>24</v>
      </c>
      <c r="I238" s="1818" t="s">
        <v>2065</v>
      </c>
    </row>
    <row r="239" spans="1:9" ht="11.25" customHeight="1">
      <c r="A239" s="1818" t="s">
        <v>2601</v>
      </c>
      <c r="B239" s="1818" t="s">
        <v>14</v>
      </c>
      <c r="C239" s="1818" t="s">
        <v>3288</v>
      </c>
      <c r="D239" s="1818" t="s">
        <v>3289</v>
      </c>
      <c r="E239" s="1818" t="s">
        <v>3290</v>
      </c>
      <c r="F239" s="1818" t="s">
        <v>2828</v>
      </c>
      <c r="G239" s="1818" t="s">
        <v>3291</v>
      </c>
      <c r="H239" s="1818" t="s">
        <v>24</v>
      </c>
      <c r="I239" s="1818" t="s">
        <v>2065</v>
      </c>
    </row>
    <row r="240" spans="1:9" ht="11.25" customHeight="1">
      <c r="A240" s="1818" t="s">
        <v>2601</v>
      </c>
      <c r="B240" s="1818" t="s">
        <v>14</v>
      </c>
      <c r="C240" s="1818" t="s">
        <v>3292</v>
      </c>
      <c r="D240" s="1818" t="s">
        <v>3293</v>
      </c>
      <c r="E240" s="1818" t="s">
        <v>3294</v>
      </c>
      <c r="F240" s="1818" t="s">
        <v>2828</v>
      </c>
      <c r="G240" s="1818" t="s">
        <v>3295</v>
      </c>
      <c r="H240" s="1818" t="s">
        <v>24</v>
      </c>
      <c r="I240" s="1818" t="s">
        <v>2065</v>
      </c>
    </row>
    <row r="241" spans="1:9" ht="11.25" customHeight="1">
      <c r="A241" s="1818" t="s">
        <v>2601</v>
      </c>
      <c r="B241" s="1818" t="s">
        <v>14</v>
      </c>
      <c r="C241" s="1818" t="s">
        <v>3296</v>
      </c>
      <c r="D241" s="1818" t="s">
        <v>3297</v>
      </c>
      <c r="E241" s="1818" t="s">
        <v>3298</v>
      </c>
      <c r="F241" s="1818" t="s">
        <v>2662</v>
      </c>
      <c r="G241" s="1818" t="s">
        <v>3299</v>
      </c>
      <c r="H241" s="1818" t="s">
        <v>24</v>
      </c>
      <c r="I241" s="1818" t="s">
        <v>2065</v>
      </c>
    </row>
    <row r="242" spans="1:9" ht="11.25" customHeight="1">
      <c r="A242" s="1818" t="s">
        <v>2601</v>
      </c>
      <c r="B242" s="1818" t="s">
        <v>14</v>
      </c>
      <c r="C242" s="1818" t="s">
        <v>3300</v>
      </c>
      <c r="D242" s="1818" t="s">
        <v>3301</v>
      </c>
      <c r="E242" s="1818" t="s">
        <v>3302</v>
      </c>
      <c r="F242" s="1818" t="s">
        <v>2884</v>
      </c>
      <c r="G242" s="1818" t="s">
        <v>3303</v>
      </c>
      <c r="H242" s="1818" t="s">
        <v>24</v>
      </c>
      <c r="I242" s="1818" t="s">
        <v>2065</v>
      </c>
    </row>
    <row r="243" spans="1:9" ht="11.25" customHeight="1">
      <c r="A243" s="1818" t="s">
        <v>2601</v>
      </c>
      <c r="B243" s="1818" t="s">
        <v>14</v>
      </c>
      <c r="C243" s="1818" t="s">
        <v>3304</v>
      </c>
      <c r="D243" s="1818" t="s">
        <v>3305</v>
      </c>
      <c r="E243" s="1818" t="s">
        <v>3306</v>
      </c>
      <c r="F243" s="1818" t="s">
        <v>3307</v>
      </c>
      <c r="G243" s="1818" t="s">
        <v>3308</v>
      </c>
      <c r="H243" s="1818" t="s">
        <v>24</v>
      </c>
      <c r="I243" s="1818" t="s">
        <v>2065</v>
      </c>
    </row>
    <row r="244" spans="1:9" ht="11.25" customHeight="1">
      <c r="A244" s="1818" t="s">
        <v>2601</v>
      </c>
      <c r="B244" s="1818" t="s">
        <v>14</v>
      </c>
      <c r="C244" s="1818" t="s">
        <v>3309</v>
      </c>
      <c r="D244" s="1818" t="s">
        <v>3310</v>
      </c>
      <c r="E244" s="1818" t="s">
        <v>3311</v>
      </c>
      <c r="F244" s="1818" t="s">
        <v>2937</v>
      </c>
      <c r="G244" s="1818" t="s">
        <v>3312</v>
      </c>
      <c r="H244" s="1818" t="s">
        <v>24</v>
      </c>
      <c r="I244" s="1818" t="s">
        <v>2065</v>
      </c>
    </row>
    <row r="245" spans="1:9" ht="11.25" customHeight="1">
      <c r="A245" s="1818" t="s">
        <v>2601</v>
      </c>
      <c r="B245" s="1818" t="s">
        <v>14</v>
      </c>
      <c r="C245" s="1818" t="s">
        <v>3313</v>
      </c>
      <c r="D245" s="1818" t="s">
        <v>3314</v>
      </c>
      <c r="E245" s="1818" t="s">
        <v>3315</v>
      </c>
      <c r="F245" s="1818" t="s">
        <v>2828</v>
      </c>
      <c r="G245" s="1818" t="s">
        <v>3316</v>
      </c>
      <c r="H245" s="1818" t="s">
        <v>24</v>
      </c>
      <c r="I245" s="1818" t="s">
        <v>2065</v>
      </c>
    </row>
    <row r="246" spans="1:9" ht="11.25" customHeight="1">
      <c r="A246" s="1818" t="s">
        <v>2601</v>
      </c>
      <c r="B246" s="1818" t="s">
        <v>14</v>
      </c>
      <c r="C246" s="1818" t="s">
        <v>3317</v>
      </c>
      <c r="D246" s="1818" t="s">
        <v>3318</v>
      </c>
      <c r="E246" s="1818" t="s">
        <v>3319</v>
      </c>
      <c r="F246" s="1818" t="s">
        <v>2828</v>
      </c>
      <c r="G246" s="1818" t="s">
        <v>3320</v>
      </c>
      <c r="H246" s="1818" t="s">
        <v>24</v>
      </c>
      <c r="I246" s="1818" t="s">
        <v>2065</v>
      </c>
    </row>
    <row r="247" spans="1:9" ht="11.25" customHeight="1">
      <c r="A247" s="1818" t="s">
        <v>2601</v>
      </c>
      <c r="B247" s="1818" t="s">
        <v>14</v>
      </c>
      <c r="C247" s="1818" t="s">
        <v>3321</v>
      </c>
      <c r="D247" s="1818" t="s">
        <v>3322</v>
      </c>
      <c r="E247" s="1818" t="s">
        <v>3323</v>
      </c>
      <c r="F247" s="1818" t="s">
        <v>2662</v>
      </c>
      <c r="G247" s="1818" t="s">
        <v>3283</v>
      </c>
      <c r="H247" s="1818" t="s">
        <v>24</v>
      </c>
      <c r="I247" s="1818" t="s">
        <v>2065</v>
      </c>
    </row>
    <row r="248" spans="1:9" ht="11.25" customHeight="1">
      <c r="A248" s="1818" t="s">
        <v>2601</v>
      </c>
      <c r="B248" s="1818" t="s">
        <v>14</v>
      </c>
      <c r="C248" s="1818" t="s">
        <v>3324</v>
      </c>
      <c r="D248" s="1818" t="s">
        <v>3325</v>
      </c>
      <c r="E248" s="1818" t="s">
        <v>3326</v>
      </c>
      <c r="F248" s="1818" t="s">
        <v>2662</v>
      </c>
      <c r="G248" s="1818" t="s">
        <v>3327</v>
      </c>
      <c r="H248" s="1818" t="s">
        <v>24</v>
      </c>
      <c r="I248" s="1818" t="s">
        <v>2065</v>
      </c>
    </row>
    <row r="249" spans="1:9" ht="11.25" customHeight="1">
      <c r="A249" s="1818" t="s">
        <v>2601</v>
      </c>
      <c r="B249" s="1818" t="s">
        <v>14</v>
      </c>
      <c r="C249" s="1818" t="s">
        <v>3328</v>
      </c>
      <c r="D249" s="1818" t="s">
        <v>3329</v>
      </c>
      <c r="E249" s="1818" t="s">
        <v>3330</v>
      </c>
      <c r="F249" s="1818" t="s">
        <v>2619</v>
      </c>
      <c r="G249" s="1818" t="s">
        <v>3283</v>
      </c>
      <c r="H249" s="1818" t="s">
        <v>24</v>
      </c>
      <c r="I249" s="1818" t="s">
        <v>2065</v>
      </c>
    </row>
    <row r="250" spans="1:9" ht="11.25" customHeight="1">
      <c r="A250" s="1818" t="s">
        <v>2601</v>
      </c>
      <c r="B250" s="1818" t="s">
        <v>14</v>
      </c>
      <c r="C250" s="1818" t="s">
        <v>3331</v>
      </c>
      <c r="D250" s="1818" t="s">
        <v>3332</v>
      </c>
      <c r="E250" s="1818" t="s">
        <v>3333</v>
      </c>
      <c r="F250" s="1818" t="s">
        <v>2632</v>
      </c>
      <c r="G250" s="1818" t="s">
        <v>3334</v>
      </c>
      <c r="H250" s="1818" t="s">
        <v>24</v>
      </c>
      <c r="I250" s="1818" t="s">
        <v>2065</v>
      </c>
    </row>
    <row r="251" spans="1:9" ht="11.25" customHeight="1">
      <c r="A251" s="1818" t="s">
        <v>2601</v>
      </c>
      <c r="B251" s="1818" t="s">
        <v>14</v>
      </c>
      <c r="C251" s="1818" t="s">
        <v>3335</v>
      </c>
      <c r="D251" s="1818" t="s">
        <v>3336</v>
      </c>
      <c r="E251" s="1818" t="s">
        <v>3337</v>
      </c>
      <c r="F251" s="1818" t="s">
        <v>2743</v>
      </c>
      <c r="G251" s="1818" t="s">
        <v>3338</v>
      </c>
      <c r="H251" s="1818" t="s">
        <v>24</v>
      </c>
      <c r="I251" s="1818" t="s">
        <v>2065</v>
      </c>
    </row>
    <row r="252" spans="1:9" ht="11.25" customHeight="1">
      <c r="A252" s="1818" t="s">
        <v>2601</v>
      </c>
      <c r="B252" s="1818" t="s">
        <v>14</v>
      </c>
      <c r="C252" s="1818" t="s">
        <v>3339</v>
      </c>
      <c r="D252" s="1818" t="s">
        <v>3340</v>
      </c>
      <c r="E252" s="1818" t="s">
        <v>3341</v>
      </c>
      <c r="F252" s="1818" t="s">
        <v>3342</v>
      </c>
      <c r="G252" s="1818" t="s">
        <v>3343</v>
      </c>
      <c r="H252" s="1818" t="s">
        <v>24</v>
      </c>
      <c r="I252" s="1818" t="s">
        <v>2065</v>
      </c>
    </row>
    <row r="253" spans="1:9" ht="11.25" customHeight="1">
      <c r="A253" s="1818" t="s">
        <v>2601</v>
      </c>
      <c r="B253" s="1818" t="s">
        <v>14</v>
      </c>
      <c r="C253" s="1818" t="s">
        <v>24</v>
      </c>
      <c r="D253" s="1818" t="s">
        <v>2882</v>
      </c>
      <c r="E253" s="1818" t="s">
        <v>2883</v>
      </c>
      <c r="F253" s="1818" t="s">
        <v>2884</v>
      </c>
      <c r="G253" s="1818" t="s">
        <v>24</v>
      </c>
      <c r="H253" s="1818" t="s">
        <v>24</v>
      </c>
      <c r="I253" s="1818" t="s">
        <v>2065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6"/>
  <sheetViews>
    <sheetView showGridLines="0" workbookViewId="0"/>
  </sheetViews>
  <sheetFormatPr defaultRowHeight="11.25" customHeight="1"/>
  <cols>
    <col min="1" max="1" width="9.140625" style="1818"/>
  </cols>
  <sheetData>
    <row r="1" spans="1:7" ht="11.25" customHeight="1">
      <c r="A1" t="s">
        <v>3344</v>
      </c>
      <c r="B1" t="s">
        <v>3345</v>
      </c>
      <c r="C1" t="s">
        <v>3346</v>
      </c>
      <c r="D1" t="s">
        <v>3347</v>
      </c>
      <c r="E1" t="s">
        <v>3348</v>
      </c>
      <c r="F1" t="s">
        <v>3349</v>
      </c>
      <c r="G1" t="s">
        <v>3350</v>
      </c>
    </row>
    <row r="2" spans="1:7" ht="11.25" customHeight="1">
      <c r="A2" t="s">
        <v>14</v>
      </c>
      <c r="B2" t="s">
        <v>96</v>
      </c>
      <c r="C2" t="s">
        <v>97</v>
      </c>
      <c r="D2" t="s">
        <v>96</v>
      </c>
      <c r="E2" t="s">
        <v>97</v>
      </c>
      <c r="F2" t="s">
        <v>3351</v>
      </c>
      <c r="G2" t="s">
        <v>95</v>
      </c>
    </row>
    <row r="3" spans="1:7" ht="11.25" customHeight="1">
      <c r="A3" t="s">
        <v>14</v>
      </c>
      <c r="B3" t="s">
        <v>3352</v>
      </c>
      <c r="C3" t="s">
        <v>3353</v>
      </c>
      <c r="D3" t="s">
        <v>3352</v>
      </c>
      <c r="E3" t="s">
        <v>3353</v>
      </c>
      <c r="F3" t="s">
        <v>3354</v>
      </c>
      <c r="G3" t="s">
        <v>99</v>
      </c>
    </row>
    <row r="4" spans="1:7" ht="11.25" customHeight="1">
      <c r="A4" t="s">
        <v>14</v>
      </c>
      <c r="B4" t="s">
        <v>3352</v>
      </c>
      <c r="C4" t="s">
        <v>3353</v>
      </c>
      <c r="D4" t="s">
        <v>3355</v>
      </c>
      <c r="E4" t="s">
        <v>3356</v>
      </c>
      <c r="F4" t="s">
        <v>3357</v>
      </c>
      <c r="G4" t="s">
        <v>86</v>
      </c>
    </row>
    <row r="5" spans="1:7" ht="11.25" customHeight="1">
      <c r="A5" t="s">
        <v>14</v>
      </c>
      <c r="B5" t="s">
        <v>3352</v>
      </c>
      <c r="C5" t="s">
        <v>3353</v>
      </c>
      <c r="D5" t="s">
        <v>3358</v>
      </c>
      <c r="E5" t="s">
        <v>3359</v>
      </c>
      <c r="F5" t="s">
        <v>3357</v>
      </c>
      <c r="G5" t="s">
        <v>87</v>
      </c>
    </row>
    <row r="6" spans="1:7" ht="11.25" customHeight="1">
      <c r="A6" t="s">
        <v>14</v>
      </c>
      <c r="B6" t="s">
        <v>3352</v>
      </c>
      <c r="C6" t="s">
        <v>3353</v>
      </c>
      <c r="D6" t="s">
        <v>3360</v>
      </c>
      <c r="E6" t="s">
        <v>3361</v>
      </c>
      <c r="F6" t="s">
        <v>3357</v>
      </c>
      <c r="G6" t="s">
        <v>113</v>
      </c>
    </row>
    <row r="7" spans="1:7" ht="11.25" customHeight="1">
      <c r="A7" t="s">
        <v>14</v>
      </c>
      <c r="B7" t="s">
        <v>3352</v>
      </c>
      <c r="C7" t="s">
        <v>3353</v>
      </c>
      <c r="D7" t="s">
        <v>3362</v>
      </c>
      <c r="E7" t="s">
        <v>3363</v>
      </c>
      <c r="F7" t="s">
        <v>3357</v>
      </c>
      <c r="G7" t="s">
        <v>88</v>
      </c>
    </row>
    <row r="8" spans="1:7" ht="11.25" customHeight="1">
      <c r="A8" t="s">
        <v>14</v>
      </c>
      <c r="B8" t="s">
        <v>3352</v>
      </c>
      <c r="C8" t="s">
        <v>3353</v>
      </c>
      <c r="D8" t="s">
        <v>3364</v>
      </c>
      <c r="E8" t="s">
        <v>3365</v>
      </c>
      <c r="F8" t="s">
        <v>3357</v>
      </c>
      <c r="G8" t="s">
        <v>89</v>
      </c>
    </row>
    <row r="9" spans="1:7" ht="11.25" customHeight="1">
      <c r="A9" t="s">
        <v>14</v>
      </c>
      <c r="B9" t="s">
        <v>3352</v>
      </c>
      <c r="C9" t="s">
        <v>3353</v>
      </c>
      <c r="D9" t="s">
        <v>3366</v>
      </c>
      <c r="E9" t="s">
        <v>3367</v>
      </c>
      <c r="F9" t="s">
        <v>3357</v>
      </c>
      <c r="G9" t="s">
        <v>126</v>
      </c>
    </row>
    <row r="10" spans="1:7" ht="11.25" customHeight="1">
      <c r="A10" t="s">
        <v>14</v>
      </c>
      <c r="B10" t="s">
        <v>3352</v>
      </c>
      <c r="C10" t="s">
        <v>3353</v>
      </c>
      <c r="D10" t="s">
        <v>3368</v>
      </c>
      <c r="E10" t="s">
        <v>3369</v>
      </c>
      <c r="F10" t="s">
        <v>3357</v>
      </c>
      <c r="G10" t="s">
        <v>131</v>
      </c>
    </row>
    <row r="11" spans="1:7" ht="11.25" customHeight="1">
      <c r="A11" t="s">
        <v>14</v>
      </c>
      <c r="B11" t="s">
        <v>3352</v>
      </c>
      <c r="C11" t="s">
        <v>3353</v>
      </c>
      <c r="D11" t="s">
        <v>3370</v>
      </c>
      <c r="E11" t="s">
        <v>3371</v>
      </c>
      <c r="F11" t="s">
        <v>3357</v>
      </c>
      <c r="G11" t="s">
        <v>136</v>
      </c>
    </row>
    <row r="12" spans="1:7" ht="11.25" customHeight="1">
      <c r="A12" t="s">
        <v>14</v>
      </c>
      <c r="B12" t="s">
        <v>103</v>
      </c>
      <c r="C12" t="s">
        <v>104</v>
      </c>
      <c r="D12" t="s">
        <v>103</v>
      </c>
      <c r="E12" t="s">
        <v>104</v>
      </c>
      <c r="F12" t="s">
        <v>3351</v>
      </c>
      <c r="G12" t="s">
        <v>102</v>
      </c>
    </row>
    <row r="13" spans="1:7" ht="11.25" customHeight="1">
      <c r="A13" t="s">
        <v>14</v>
      </c>
      <c r="B13" t="s">
        <v>3372</v>
      </c>
      <c r="C13" t="s">
        <v>3373</v>
      </c>
      <c r="D13" t="s">
        <v>3372</v>
      </c>
      <c r="E13" t="s">
        <v>3373</v>
      </c>
      <c r="F13" t="s">
        <v>3354</v>
      </c>
      <c r="G13" t="s">
        <v>145</v>
      </c>
    </row>
    <row r="14" spans="1:7" ht="11.25" customHeight="1">
      <c r="A14" t="s">
        <v>14</v>
      </c>
      <c r="B14" t="s">
        <v>3372</v>
      </c>
      <c r="C14" t="s">
        <v>3373</v>
      </c>
      <c r="D14" t="s">
        <v>3374</v>
      </c>
      <c r="E14" t="s">
        <v>3375</v>
      </c>
      <c r="F14" t="s">
        <v>3357</v>
      </c>
      <c r="G14" t="s">
        <v>150</v>
      </c>
    </row>
    <row r="15" spans="1:7" ht="11.25" customHeight="1">
      <c r="A15" t="s">
        <v>14</v>
      </c>
      <c r="B15" t="s">
        <v>3372</v>
      </c>
      <c r="C15" t="s">
        <v>3373</v>
      </c>
      <c r="D15" t="s">
        <v>3376</v>
      </c>
      <c r="E15" t="s">
        <v>3377</v>
      </c>
      <c r="F15" t="s">
        <v>3357</v>
      </c>
      <c r="G15" t="s">
        <v>155</v>
      </c>
    </row>
    <row r="16" spans="1:7" ht="11.25" customHeight="1">
      <c r="A16" t="s">
        <v>14</v>
      </c>
      <c r="B16" t="s">
        <v>3372</v>
      </c>
      <c r="C16" t="s">
        <v>3373</v>
      </c>
      <c r="D16" t="s">
        <v>3378</v>
      </c>
      <c r="E16" t="s">
        <v>3379</v>
      </c>
      <c r="F16" t="s">
        <v>3357</v>
      </c>
      <c r="G16" t="s">
        <v>160</v>
      </c>
    </row>
    <row r="17" spans="1:7" ht="11.25" customHeight="1">
      <c r="A17" t="s">
        <v>14</v>
      </c>
      <c r="B17" t="s">
        <v>3372</v>
      </c>
      <c r="C17" t="s">
        <v>3373</v>
      </c>
      <c r="D17" t="s">
        <v>3380</v>
      </c>
      <c r="E17" t="s">
        <v>3381</v>
      </c>
      <c r="F17" t="s">
        <v>3357</v>
      </c>
      <c r="G17" t="s">
        <v>165</v>
      </c>
    </row>
    <row r="18" spans="1:7" ht="11.25" customHeight="1">
      <c r="A18" t="s">
        <v>14</v>
      </c>
      <c r="B18" t="s">
        <v>3372</v>
      </c>
      <c r="C18" t="s">
        <v>3373</v>
      </c>
      <c r="D18" t="s">
        <v>3382</v>
      </c>
      <c r="E18" t="s">
        <v>3383</v>
      </c>
      <c r="F18" t="s">
        <v>3357</v>
      </c>
      <c r="G18" t="s">
        <v>170</v>
      </c>
    </row>
    <row r="19" spans="1:7" ht="11.25" customHeight="1">
      <c r="A19" t="s">
        <v>14</v>
      </c>
      <c r="B19" t="s">
        <v>3372</v>
      </c>
      <c r="C19" t="s">
        <v>3373</v>
      </c>
      <c r="D19" t="s">
        <v>3384</v>
      </c>
      <c r="E19" t="s">
        <v>3385</v>
      </c>
      <c r="F19" t="s">
        <v>3357</v>
      </c>
      <c r="G19" t="s">
        <v>175</v>
      </c>
    </row>
    <row r="20" spans="1:7" ht="11.25" customHeight="1">
      <c r="A20" t="s">
        <v>14</v>
      </c>
      <c r="B20" t="s">
        <v>3372</v>
      </c>
      <c r="C20" t="s">
        <v>3373</v>
      </c>
      <c r="D20" t="s">
        <v>3386</v>
      </c>
      <c r="E20" t="s">
        <v>3387</v>
      </c>
      <c r="F20" t="s">
        <v>3357</v>
      </c>
      <c r="G20" t="s">
        <v>180</v>
      </c>
    </row>
    <row r="21" spans="1:7" ht="11.25" customHeight="1">
      <c r="A21" t="s">
        <v>14</v>
      </c>
      <c r="B21" t="s">
        <v>3372</v>
      </c>
      <c r="C21" t="s">
        <v>3373</v>
      </c>
      <c r="D21" t="s">
        <v>3388</v>
      </c>
      <c r="E21" t="s">
        <v>3389</v>
      </c>
      <c r="F21" t="s">
        <v>3357</v>
      </c>
      <c r="G21" t="s">
        <v>185</v>
      </c>
    </row>
    <row r="22" spans="1:7" ht="11.25" customHeight="1">
      <c r="A22" t="s">
        <v>14</v>
      </c>
      <c r="B22" t="s">
        <v>3372</v>
      </c>
      <c r="C22" t="s">
        <v>3373</v>
      </c>
      <c r="D22" t="s">
        <v>3390</v>
      </c>
      <c r="E22" t="s">
        <v>3391</v>
      </c>
      <c r="F22" t="s">
        <v>3357</v>
      </c>
      <c r="G22" t="s">
        <v>190</v>
      </c>
    </row>
    <row r="23" spans="1:7" ht="11.25" customHeight="1">
      <c r="A23" t="s">
        <v>14</v>
      </c>
      <c r="B23" t="s">
        <v>3372</v>
      </c>
      <c r="C23" t="s">
        <v>3373</v>
      </c>
      <c r="D23" t="s">
        <v>3392</v>
      </c>
      <c r="E23" t="s">
        <v>3393</v>
      </c>
      <c r="F23" t="s">
        <v>3357</v>
      </c>
      <c r="G23" t="s">
        <v>416</v>
      </c>
    </row>
    <row r="24" spans="1:7" ht="11.25" customHeight="1">
      <c r="A24" t="s">
        <v>14</v>
      </c>
      <c r="B24" t="s">
        <v>3372</v>
      </c>
      <c r="C24" t="s">
        <v>3373</v>
      </c>
      <c r="D24" t="s">
        <v>3394</v>
      </c>
      <c r="E24" t="s">
        <v>3395</v>
      </c>
      <c r="F24" t="s">
        <v>3357</v>
      </c>
      <c r="G24" t="s">
        <v>422</v>
      </c>
    </row>
    <row r="25" spans="1:7" ht="11.25" customHeight="1">
      <c r="A25" t="s">
        <v>14</v>
      </c>
      <c r="B25" t="s">
        <v>107</v>
      </c>
      <c r="C25" t="s">
        <v>108</v>
      </c>
      <c r="D25" t="s">
        <v>107</v>
      </c>
      <c r="E25" t="s">
        <v>108</v>
      </c>
      <c r="F25" t="s">
        <v>3351</v>
      </c>
      <c r="G25" t="s">
        <v>106</v>
      </c>
    </row>
    <row r="26" spans="1:7" ht="11.25" customHeight="1">
      <c r="A26" t="s">
        <v>14</v>
      </c>
      <c r="B26" t="s">
        <v>3396</v>
      </c>
      <c r="C26" t="s">
        <v>3397</v>
      </c>
      <c r="D26" t="s">
        <v>3398</v>
      </c>
      <c r="E26" t="s">
        <v>3399</v>
      </c>
      <c r="F26" t="s">
        <v>3357</v>
      </c>
      <c r="G26" t="s">
        <v>433</v>
      </c>
    </row>
    <row r="27" spans="1:7" ht="11.25" customHeight="1">
      <c r="A27" t="s">
        <v>14</v>
      </c>
      <c r="B27" t="s">
        <v>3396</v>
      </c>
      <c r="C27" t="s">
        <v>3397</v>
      </c>
      <c r="D27" t="s">
        <v>3396</v>
      </c>
      <c r="E27" t="s">
        <v>3397</v>
      </c>
      <c r="F27" t="s">
        <v>3354</v>
      </c>
      <c r="G27" t="s">
        <v>439</v>
      </c>
    </row>
    <row r="28" spans="1:7" ht="11.25" customHeight="1">
      <c r="A28" t="s">
        <v>14</v>
      </c>
      <c r="B28" t="s">
        <v>3396</v>
      </c>
      <c r="C28" t="s">
        <v>3397</v>
      </c>
      <c r="D28" t="s">
        <v>3400</v>
      </c>
      <c r="E28" t="s">
        <v>3401</v>
      </c>
      <c r="F28" t="s">
        <v>3357</v>
      </c>
      <c r="G28" t="s">
        <v>445</v>
      </c>
    </row>
    <row r="29" spans="1:7" ht="11.25" customHeight="1">
      <c r="A29" t="s">
        <v>14</v>
      </c>
      <c r="B29" t="s">
        <v>3396</v>
      </c>
      <c r="C29" t="s">
        <v>3397</v>
      </c>
      <c r="D29" t="s">
        <v>3402</v>
      </c>
      <c r="E29" t="s">
        <v>3403</v>
      </c>
      <c r="F29" t="s">
        <v>3357</v>
      </c>
      <c r="G29" t="s">
        <v>451</v>
      </c>
    </row>
    <row r="30" spans="1:7" ht="11.25" customHeight="1">
      <c r="A30" t="s">
        <v>14</v>
      </c>
      <c r="B30" t="s">
        <v>3396</v>
      </c>
      <c r="C30" t="s">
        <v>3397</v>
      </c>
      <c r="D30" t="s">
        <v>3404</v>
      </c>
      <c r="E30" t="s">
        <v>3405</v>
      </c>
      <c r="F30" t="s">
        <v>3357</v>
      </c>
      <c r="G30" t="s">
        <v>457</v>
      </c>
    </row>
    <row r="31" spans="1:7" ht="11.25" customHeight="1">
      <c r="A31" t="s">
        <v>14</v>
      </c>
      <c r="B31" t="s">
        <v>3396</v>
      </c>
      <c r="C31" t="s">
        <v>3397</v>
      </c>
      <c r="D31" t="s">
        <v>3406</v>
      </c>
      <c r="E31" t="s">
        <v>3407</v>
      </c>
      <c r="F31" t="s">
        <v>3357</v>
      </c>
      <c r="G31" t="s">
        <v>463</v>
      </c>
    </row>
    <row r="32" spans="1:7" ht="11.25" customHeight="1">
      <c r="A32" t="s">
        <v>14</v>
      </c>
      <c r="B32" t="s">
        <v>3396</v>
      </c>
      <c r="C32" t="s">
        <v>3397</v>
      </c>
      <c r="D32" t="s">
        <v>3408</v>
      </c>
      <c r="E32" t="s">
        <v>3409</v>
      </c>
      <c r="F32" t="s">
        <v>3357</v>
      </c>
      <c r="G32" t="s">
        <v>469</v>
      </c>
    </row>
    <row r="33" spans="1:7" ht="11.25" customHeight="1">
      <c r="A33" t="s">
        <v>14</v>
      </c>
      <c r="B33" t="s">
        <v>3396</v>
      </c>
      <c r="C33" t="s">
        <v>3397</v>
      </c>
      <c r="D33" t="s">
        <v>3410</v>
      </c>
      <c r="E33" t="s">
        <v>3411</v>
      </c>
      <c r="F33" t="s">
        <v>3357</v>
      </c>
      <c r="G33" t="s">
        <v>475</v>
      </c>
    </row>
    <row r="34" spans="1:7" ht="11.25" customHeight="1">
      <c r="A34" t="s">
        <v>14</v>
      </c>
      <c r="B34" t="s">
        <v>3396</v>
      </c>
      <c r="C34" t="s">
        <v>3397</v>
      </c>
      <c r="D34" t="s">
        <v>3412</v>
      </c>
      <c r="E34" t="s">
        <v>3413</v>
      </c>
      <c r="F34" t="s">
        <v>3357</v>
      </c>
      <c r="G34" t="s">
        <v>481</v>
      </c>
    </row>
    <row r="35" spans="1:7" ht="11.25" customHeight="1">
      <c r="A35" t="s">
        <v>14</v>
      </c>
      <c r="B35" t="s">
        <v>3396</v>
      </c>
      <c r="C35" t="s">
        <v>3397</v>
      </c>
      <c r="D35" t="s">
        <v>3414</v>
      </c>
      <c r="E35" t="s">
        <v>3415</v>
      </c>
      <c r="F35" t="s">
        <v>3357</v>
      </c>
      <c r="G35" t="s">
        <v>487</v>
      </c>
    </row>
    <row r="36" spans="1:7" ht="11.25" customHeight="1">
      <c r="A36" t="s">
        <v>14</v>
      </c>
      <c r="B36" t="s">
        <v>3396</v>
      </c>
      <c r="C36" t="s">
        <v>3397</v>
      </c>
      <c r="D36" t="s">
        <v>3416</v>
      </c>
      <c r="E36" t="s">
        <v>3417</v>
      </c>
      <c r="F36" t="s">
        <v>3357</v>
      </c>
      <c r="G36" t="s">
        <v>493</v>
      </c>
    </row>
    <row r="37" spans="1:7" ht="11.25" customHeight="1">
      <c r="A37" t="s">
        <v>14</v>
      </c>
      <c r="B37" t="s">
        <v>3396</v>
      </c>
      <c r="C37" t="s">
        <v>3397</v>
      </c>
      <c r="D37" t="s">
        <v>3418</v>
      </c>
      <c r="E37" t="s">
        <v>3419</v>
      </c>
      <c r="F37" t="s">
        <v>3357</v>
      </c>
      <c r="G37" t="s">
        <v>499</v>
      </c>
    </row>
    <row r="38" spans="1:7" ht="11.25" customHeight="1">
      <c r="A38" t="s">
        <v>14</v>
      </c>
      <c r="B38" t="s">
        <v>111</v>
      </c>
      <c r="C38" t="s">
        <v>112</v>
      </c>
      <c r="D38" t="s">
        <v>111</v>
      </c>
      <c r="E38" t="s">
        <v>112</v>
      </c>
      <c r="F38" t="s">
        <v>3351</v>
      </c>
      <c r="G38" t="s">
        <v>110</v>
      </c>
    </row>
    <row r="39" spans="1:7" ht="11.25" customHeight="1">
      <c r="A39" t="s">
        <v>14</v>
      </c>
      <c r="B39" t="s">
        <v>3420</v>
      </c>
      <c r="C39" t="s">
        <v>3421</v>
      </c>
      <c r="D39" t="s">
        <v>3420</v>
      </c>
      <c r="E39" t="s">
        <v>3421</v>
      </c>
      <c r="F39" t="s">
        <v>3354</v>
      </c>
      <c r="G39" t="s">
        <v>510</v>
      </c>
    </row>
    <row r="40" spans="1:7" ht="11.25" customHeight="1">
      <c r="A40" t="s">
        <v>14</v>
      </c>
      <c r="B40" t="s">
        <v>3420</v>
      </c>
      <c r="C40" t="s">
        <v>3421</v>
      </c>
      <c r="D40" t="s">
        <v>3422</v>
      </c>
      <c r="E40" t="s">
        <v>3423</v>
      </c>
      <c r="F40" t="s">
        <v>3357</v>
      </c>
      <c r="G40" t="s">
        <v>516</v>
      </c>
    </row>
    <row r="41" spans="1:7" ht="11.25" customHeight="1">
      <c r="A41" t="s">
        <v>14</v>
      </c>
      <c r="B41" t="s">
        <v>3420</v>
      </c>
      <c r="C41" t="s">
        <v>3421</v>
      </c>
      <c r="D41" t="s">
        <v>3424</v>
      </c>
      <c r="E41" t="s">
        <v>3425</v>
      </c>
      <c r="F41" t="s">
        <v>3357</v>
      </c>
      <c r="G41" t="s">
        <v>522</v>
      </c>
    </row>
    <row r="42" spans="1:7" ht="11.25" customHeight="1">
      <c r="A42" t="s">
        <v>14</v>
      </c>
      <c r="B42" t="s">
        <v>3420</v>
      </c>
      <c r="C42" t="s">
        <v>3421</v>
      </c>
      <c r="D42" t="s">
        <v>3426</v>
      </c>
      <c r="E42" t="s">
        <v>3427</v>
      </c>
      <c r="F42" t="s">
        <v>3357</v>
      </c>
      <c r="G42" t="s">
        <v>528</v>
      </c>
    </row>
    <row r="43" spans="1:7" ht="11.25" customHeight="1">
      <c r="A43" t="s">
        <v>14</v>
      </c>
      <c r="B43" t="s">
        <v>3420</v>
      </c>
      <c r="C43" t="s">
        <v>3421</v>
      </c>
      <c r="D43" t="s">
        <v>3428</v>
      </c>
      <c r="E43" t="s">
        <v>3429</v>
      </c>
      <c r="F43" t="s">
        <v>3357</v>
      </c>
      <c r="G43" t="s">
        <v>534</v>
      </c>
    </row>
    <row r="44" spans="1:7" ht="11.25" customHeight="1">
      <c r="A44" t="s">
        <v>14</v>
      </c>
      <c r="B44" t="s">
        <v>3420</v>
      </c>
      <c r="C44" t="s">
        <v>3421</v>
      </c>
      <c r="D44" t="s">
        <v>3430</v>
      </c>
      <c r="E44" t="s">
        <v>3431</v>
      </c>
      <c r="F44" t="s">
        <v>3357</v>
      </c>
      <c r="G44" t="s">
        <v>539</v>
      </c>
    </row>
    <row r="45" spans="1:7" ht="11.25" customHeight="1">
      <c r="A45" t="s">
        <v>14</v>
      </c>
      <c r="B45" t="s">
        <v>3420</v>
      </c>
      <c r="C45" t="s">
        <v>3421</v>
      </c>
      <c r="D45" t="s">
        <v>3432</v>
      </c>
      <c r="E45" t="s">
        <v>3433</v>
      </c>
      <c r="F45" t="s">
        <v>3357</v>
      </c>
      <c r="G45" t="s">
        <v>545</v>
      </c>
    </row>
    <row r="46" spans="1:7" ht="11.25" customHeight="1">
      <c r="A46" t="s">
        <v>14</v>
      </c>
      <c r="B46" t="s">
        <v>3420</v>
      </c>
      <c r="C46" t="s">
        <v>3421</v>
      </c>
      <c r="D46" t="s">
        <v>3434</v>
      </c>
      <c r="E46" t="s">
        <v>3435</v>
      </c>
      <c r="F46" t="s">
        <v>3357</v>
      </c>
      <c r="G46" t="s">
        <v>551</v>
      </c>
    </row>
    <row r="47" spans="1:7" ht="11.25" customHeight="1">
      <c r="A47" t="s">
        <v>14</v>
      </c>
      <c r="B47" t="s">
        <v>3420</v>
      </c>
      <c r="C47" t="s">
        <v>3421</v>
      </c>
      <c r="D47" t="s">
        <v>3436</v>
      </c>
      <c r="E47" t="s">
        <v>3437</v>
      </c>
      <c r="F47" t="s">
        <v>3357</v>
      </c>
      <c r="G47" t="s">
        <v>557</v>
      </c>
    </row>
    <row r="48" spans="1:7" ht="11.25" customHeight="1">
      <c r="A48" t="s">
        <v>14</v>
      </c>
      <c r="B48" t="s">
        <v>3438</v>
      </c>
      <c r="C48" t="s">
        <v>3439</v>
      </c>
      <c r="D48" t="s">
        <v>3438</v>
      </c>
      <c r="E48" t="s">
        <v>3439</v>
      </c>
      <c r="F48" t="s">
        <v>3440</v>
      </c>
      <c r="G48" t="s">
        <v>563</v>
      </c>
    </row>
    <row r="49" spans="1:7" ht="11.25" customHeight="1">
      <c r="A49" t="s">
        <v>14</v>
      </c>
      <c r="B49" t="s">
        <v>3441</v>
      </c>
      <c r="C49" t="s">
        <v>3442</v>
      </c>
      <c r="D49" t="s">
        <v>3441</v>
      </c>
      <c r="E49" t="s">
        <v>3442</v>
      </c>
      <c r="F49" t="s">
        <v>3351</v>
      </c>
      <c r="G49" t="s">
        <v>569</v>
      </c>
    </row>
    <row r="50" spans="1:7" ht="11.25" customHeight="1">
      <c r="A50" t="s">
        <v>14</v>
      </c>
      <c r="B50" t="s">
        <v>3443</v>
      </c>
      <c r="C50" t="s">
        <v>3444</v>
      </c>
      <c r="D50" t="s">
        <v>3445</v>
      </c>
      <c r="E50" t="s">
        <v>3446</v>
      </c>
      <c r="F50" t="s">
        <v>3357</v>
      </c>
      <c r="G50" t="s">
        <v>575</v>
      </c>
    </row>
    <row r="51" spans="1:7" ht="11.25" customHeight="1">
      <c r="A51" t="s">
        <v>14</v>
      </c>
      <c r="B51" t="s">
        <v>3443</v>
      </c>
      <c r="C51" t="s">
        <v>3444</v>
      </c>
      <c r="D51" t="s">
        <v>3447</v>
      </c>
      <c r="E51" t="s">
        <v>3448</v>
      </c>
      <c r="F51" t="s">
        <v>3357</v>
      </c>
      <c r="G51" t="s">
        <v>581</v>
      </c>
    </row>
    <row r="52" spans="1:7" ht="11.25" customHeight="1">
      <c r="A52" t="s">
        <v>14</v>
      </c>
      <c r="B52" t="s">
        <v>3443</v>
      </c>
      <c r="C52" t="s">
        <v>3444</v>
      </c>
      <c r="D52" t="s">
        <v>3449</v>
      </c>
      <c r="E52" t="s">
        <v>3450</v>
      </c>
      <c r="F52" t="s">
        <v>3357</v>
      </c>
      <c r="G52" t="s">
        <v>587</v>
      </c>
    </row>
    <row r="53" spans="1:7" ht="11.25" customHeight="1">
      <c r="A53" t="s">
        <v>14</v>
      </c>
      <c r="B53" t="s">
        <v>3443</v>
      </c>
      <c r="C53" t="s">
        <v>3444</v>
      </c>
      <c r="D53" t="s">
        <v>3443</v>
      </c>
      <c r="E53" t="s">
        <v>3444</v>
      </c>
      <c r="F53" t="s">
        <v>3354</v>
      </c>
      <c r="G53" t="s">
        <v>593</v>
      </c>
    </row>
    <row r="54" spans="1:7" ht="11.25" customHeight="1">
      <c r="A54" t="s">
        <v>14</v>
      </c>
      <c r="B54" t="s">
        <v>3443</v>
      </c>
      <c r="C54" t="s">
        <v>3444</v>
      </c>
      <c r="D54" t="s">
        <v>3451</v>
      </c>
      <c r="E54" t="s">
        <v>3452</v>
      </c>
      <c r="F54" t="s">
        <v>3453</v>
      </c>
      <c r="G54" t="s">
        <v>599</v>
      </c>
    </row>
    <row r="55" spans="1:7" ht="11.25" customHeight="1">
      <c r="A55" t="s">
        <v>14</v>
      </c>
      <c r="B55" t="s">
        <v>3443</v>
      </c>
      <c r="C55" t="s">
        <v>3444</v>
      </c>
      <c r="D55" t="s">
        <v>3454</v>
      </c>
      <c r="E55" t="s">
        <v>3455</v>
      </c>
      <c r="F55" t="s">
        <v>3357</v>
      </c>
      <c r="G55" t="s">
        <v>605</v>
      </c>
    </row>
    <row r="56" spans="1:7" ht="11.25" customHeight="1">
      <c r="A56" t="s">
        <v>14</v>
      </c>
      <c r="B56" t="s">
        <v>3443</v>
      </c>
      <c r="C56" t="s">
        <v>3444</v>
      </c>
      <c r="D56" t="s">
        <v>3456</v>
      </c>
      <c r="E56" t="s">
        <v>3457</v>
      </c>
      <c r="F56" t="s">
        <v>3357</v>
      </c>
      <c r="G56" t="s">
        <v>611</v>
      </c>
    </row>
    <row r="57" spans="1:7" ht="11.25" customHeight="1">
      <c r="A57" t="s">
        <v>14</v>
      </c>
      <c r="B57" t="s">
        <v>3443</v>
      </c>
      <c r="C57" t="s">
        <v>3444</v>
      </c>
      <c r="D57" t="s">
        <v>3458</v>
      </c>
      <c r="E57" t="s">
        <v>3459</v>
      </c>
      <c r="F57" t="s">
        <v>3357</v>
      </c>
      <c r="G57" t="s">
        <v>617</v>
      </c>
    </row>
    <row r="58" spans="1:7" ht="11.25" customHeight="1">
      <c r="A58" t="s">
        <v>14</v>
      </c>
      <c r="B58" t="s">
        <v>3443</v>
      </c>
      <c r="C58" t="s">
        <v>3444</v>
      </c>
      <c r="D58" t="s">
        <v>3460</v>
      </c>
      <c r="E58" t="s">
        <v>3461</v>
      </c>
      <c r="F58" t="s">
        <v>3357</v>
      </c>
      <c r="G58" t="s">
        <v>623</v>
      </c>
    </row>
    <row r="59" spans="1:7" ht="11.25" customHeight="1">
      <c r="A59" t="s">
        <v>14</v>
      </c>
      <c r="B59" t="s">
        <v>3443</v>
      </c>
      <c r="C59" t="s">
        <v>3444</v>
      </c>
      <c r="D59" t="s">
        <v>3462</v>
      </c>
      <c r="E59" t="s">
        <v>3463</v>
      </c>
      <c r="F59" t="s">
        <v>3357</v>
      </c>
      <c r="G59" t="s">
        <v>629</v>
      </c>
    </row>
    <row r="60" spans="1:7" ht="11.25" customHeight="1">
      <c r="A60" t="s">
        <v>14</v>
      </c>
      <c r="B60" t="s">
        <v>3443</v>
      </c>
      <c r="C60" t="s">
        <v>3444</v>
      </c>
      <c r="D60" t="s">
        <v>3464</v>
      </c>
      <c r="E60" t="s">
        <v>3465</v>
      </c>
      <c r="F60" t="s">
        <v>3357</v>
      </c>
      <c r="G60" t="s">
        <v>635</v>
      </c>
    </row>
    <row r="61" spans="1:7" ht="11.25" customHeight="1">
      <c r="A61" t="s">
        <v>14</v>
      </c>
      <c r="B61" t="s">
        <v>3443</v>
      </c>
      <c r="C61" t="s">
        <v>3444</v>
      </c>
      <c r="D61" t="s">
        <v>3466</v>
      </c>
      <c r="E61" t="s">
        <v>3467</v>
      </c>
      <c r="F61" t="s">
        <v>3357</v>
      </c>
      <c r="G61" t="s">
        <v>641</v>
      </c>
    </row>
    <row r="62" spans="1:7" ht="11.25" customHeight="1">
      <c r="A62" t="s">
        <v>14</v>
      </c>
      <c r="B62" t="s">
        <v>3443</v>
      </c>
      <c r="C62" t="s">
        <v>3444</v>
      </c>
      <c r="D62" t="s">
        <v>3468</v>
      </c>
      <c r="E62" t="s">
        <v>3469</v>
      </c>
      <c r="F62" t="s">
        <v>3357</v>
      </c>
      <c r="G62" t="s">
        <v>647</v>
      </c>
    </row>
    <row r="63" spans="1:7" ht="11.25" customHeight="1">
      <c r="A63" t="s">
        <v>14</v>
      </c>
      <c r="B63" t="s">
        <v>3443</v>
      </c>
      <c r="C63" t="s">
        <v>3444</v>
      </c>
      <c r="D63" t="s">
        <v>3470</v>
      </c>
      <c r="E63" t="s">
        <v>3471</v>
      </c>
      <c r="F63" t="s">
        <v>3357</v>
      </c>
      <c r="G63" t="s">
        <v>653</v>
      </c>
    </row>
    <row r="64" spans="1:7" ht="11.25" customHeight="1">
      <c r="A64" t="s">
        <v>14</v>
      </c>
      <c r="B64" t="s">
        <v>3443</v>
      </c>
      <c r="C64" t="s">
        <v>3444</v>
      </c>
      <c r="D64" t="s">
        <v>3472</v>
      </c>
      <c r="E64" t="s">
        <v>3473</v>
      </c>
      <c r="F64" t="s">
        <v>3357</v>
      </c>
      <c r="G64" t="s">
        <v>659</v>
      </c>
    </row>
    <row r="65" spans="1:7" ht="11.25" customHeight="1">
      <c r="A65" t="s">
        <v>14</v>
      </c>
      <c r="B65" t="s">
        <v>116</v>
      </c>
      <c r="C65" t="s">
        <v>117</v>
      </c>
      <c r="D65" t="s">
        <v>116</v>
      </c>
      <c r="E65" t="s">
        <v>117</v>
      </c>
      <c r="F65" t="s">
        <v>3351</v>
      </c>
      <c r="G65" t="s">
        <v>115</v>
      </c>
    </row>
    <row r="66" spans="1:7" ht="11.25" customHeight="1">
      <c r="A66" t="s">
        <v>14</v>
      </c>
      <c r="B66" t="s">
        <v>3474</v>
      </c>
      <c r="C66" t="s">
        <v>3475</v>
      </c>
      <c r="D66" t="s">
        <v>3476</v>
      </c>
      <c r="E66" t="s">
        <v>3477</v>
      </c>
      <c r="F66" t="s">
        <v>3357</v>
      </c>
      <c r="G66" t="s">
        <v>670</v>
      </c>
    </row>
    <row r="67" spans="1:7" ht="11.25" customHeight="1">
      <c r="A67" t="s">
        <v>14</v>
      </c>
      <c r="B67" t="s">
        <v>3474</v>
      </c>
      <c r="C67" t="s">
        <v>3475</v>
      </c>
      <c r="D67" t="s">
        <v>3474</v>
      </c>
      <c r="E67" t="s">
        <v>3475</v>
      </c>
      <c r="F67" t="s">
        <v>3354</v>
      </c>
      <c r="G67" t="s">
        <v>676</v>
      </c>
    </row>
    <row r="68" spans="1:7" ht="11.25" customHeight="1">
      <c r="A68" t="s">
        <v>14</v>
      </c>
      <c r="B68" t="s">
        <v>3474</v>
      </c>
      <c r="C68" t="s">
        <v>3475</v>
      </c>
      <c r="D68" t="s">
        <v>3478</v>
      </c>
      <c r="E68" t="s">
        <v>3479</v>
      </c>
      <c r="F68" t="s">
        <v>3453</v>
      </c>
      <c r="G68" t="s">
        <v>682</v>
      </c>
    </row>
    <row r="69" spans="1:7" ht="11.25" customHeight="1">
      <c r="A69" t="s">
        <v>14</v>
      </c>
      <c r="B69" t="s">
        <v>3474</v>
      </c>
      <c r="C69" t="s">
        <v>3475</v>
      </c>
      <c r="D69" t="s">
        <v>3480</v>
      </c>
      <c r="E69" t="s">
        <v>3481</v>
      </c>
      <c r="F69" t="s">
        <v>3357</v>
      </c>
      <c r="G69" t="s">
        <v>688</v>
      </c>
    </row>
    <row r="70" spans="1:7" ht="11.25" customHeight="1">
      <c r="A70" t="s">
        <v>14</v>
      </c>
      <c r="B70" t="s">
        <v>3474</v>
      </c>
      <c r="C70" t="s">
        <v>3475</v>
      </c>
      <c r="D70" t="s">
        <v>3482</v>
      </c>
      <c r="E70" t="s">
        <v>3483</v>
      </c>
      <c r="F70" t="s">
        <v>3357</v>
      </c>
      <c r="G70" t="s">
        <v>694</v>
      </c>
    </row>
    <row r="71" spans="1:7" ht="11.25" customHeight="1">
      <c r="A71" t="s">
        <v>14</v>
      </c>
      <c r="B71" t="s">
        <v>3474</v>
      </c>
      <c r="C71" t="s">
        <v>3475</v>
      </c>
      <c r="D71" t="s">
        <v>3484</v>
      </c>
      <c r="E71" t="s">
        <v>3485</v>
      </c>
      <c r="F71" t="s">
        <v>3357</v>
      </c>
      <c r="G71" t="s">
        <v>700</v>
      </c>
    </row>
    <row r="72" spans="1:7" ht="11.25" customHeight="1">
      <c r="A72" t="s">
        <v>14</v>
      </c>
      <c r="B72" t="s">
        <v>3474</v>
      </c>
      <c r="C72" t="s">
        <v>3475</v>
      </c>
      <c r="D72" t="s">
        <v>3486</v>
      </c>
      <c r="E72" t="s">
        <v>3487</v>
      </c>
      <c r="F72" t="s">
        <v>3357</v>
      </c>
      <c r="G72" t="s">
        <v>3488</v>
      </c>
    </row>
    <row r="73" spans="1:7" ht="11.25" customHeight="1">
      <c r="A73" t="s">
        <v>14</v>
      </c>
      <c r="B73" t="s">
        <v>3474</v>
      </c>
      <c r="C73" t="s">
        <v>3475</v>
      </c>
      <c r="D73" t="s">
        <v>3489</v>
      </c>
      <c r="E73" t="s">
        <v>3490</v>
      </c>
      <c r="F73" t="s">
        <v>3357</v>
      </c>
      <c r="G73" t="s">
        <v>3491</v>
      </c>
    </row>
    <row r="74" spans="1:7" ht="11.25" customHeight="1">
      <c r="A74" t="s">
        <v>14</v>
      </c>
      <c r="B74" t="s">
        <v>3474</v>
      </c>
      <c r="C74" t="s">
        <v>3475</v>
      </c>
      <c r="D74" t="s">
        <v>3492</v>
      </c>
      <c r="E74" t="s">
        <v>3493</v>
      </c>
      <c r="F74" t="s">
        <v>3357</v>
      </c>
      <c r="G74" t="s">
        <v>3494</v>
      </c>
    </row>
    <row r="75" spans="1:7" ht="11.25" customHeight="1">
      <c r="A75" t="s">
        <v>14</v>
      </c>
      <c r="B75" t="s">
        <v>3474</v>
      </c>
      <c r="C75" t="s">
        <v>3475</v>
      </c>
      <c r="D75" t="s">
        <v>3495</v>
      </c>
      <c r="E75" t="s">
        <v>3496</v>
      </c>
      <c r="F75" t="s">
        <v>3357</v>
      </c>
      <c r="G75" t="s">
        <v>3497</v>
      </c>
    </row>
    <row r="76" spans="1:7" ht="11.25" customHeight="1">
      <c r="A76" t="s">
        <v>14</v>
      </c>
      <c r="B76" t="s">
        <v>3474</v>
      </c>
      <c r="C76" t="s">
        <v>3475</v>
      </c>
      <c r="D76" t="s">
        <v>3498</v>
      </c>
      <c r="E76" t="s">
        <v>3499</v>
      </c>
      <c r="F76" t="s">
        <v>3357</v>
      </c>
      <c r="G76" t="s">
        <v>3500</v>
      </c>
    </row>
    <row r="77" spans="1:7" ht="11.25" customHeight="1">
      <c r="A77" t="s">
        <v>14</v>
      </c>
      <c r="B77" t="s">
        <v>3474</v>
      </c>
      <c r="C77" t="s">
        <v>3475</v>
      </c>
      <c r="D77" t="s">
        <v>3501</v>
      </c>
      <c r="E77" t="s">
        <v>3502</v>
      </c>
      <c r="F77" t="s">
        <v>3357</v>
      </c>
      <c r="G77" t="s">
        <v>3503</v>
      </c>
    </row>
    <row r="78" spans="1:7" ht="11.25" customHeight="1">
      <c r="A78" t="s">
        <v>14</v>
      </c>
      <c r="B78" t="s">
        <v>3474</v>
      </c>
      <c r="C78" t="s">
        <v>3475</v>
      </c>
      <c r="D78" t="s">
        <v>3504</v>
      </c>
      <c r="E78" t="s">
        <v>3505</v>
      </c>
      <c r="F78" t="s">
        <v>3357</v>
      </c>
      <c r="G78" t="s">
        <v>3506</v>
      </c>
    </row>
    <row r="79" spans="1:7" ht="11.25" customHeight="1">
      <c r="A79" t="s">
        <v>14</v>
      </c>
      <c r="B79" t="s">
        <v>3474</v>
      </c>
      <c r="C79" t="s">
        <v>3475</v>
      </c>
      <c r="D79" t="s">
        <v>3507</v>
      </c>
      <c r="E79" t="s">
        <v>3508</v>
      </c>
      <c r="F79" t="s">
        <v>3357</v>
      </c>
      <c r="G79" t="s">
        <v>3509</v>
      </c>
    </row>
    <row r="80" spans="1:7" ht="11.25" customHeight="1">
      <c r="A80" t="s">
        <v>14</v>
      </c>
      <c r="B80" t="s">
        <v>3474</v>
      </c>
      <c r="C80" t="s">
        <v>3475</v>
      </c>
      <c r="D80" t="s">
        <v>3510</v>
      </c>
      <c r="E80" t="s">
        <v>3511</v>
      </c>
      <c r="F80" t="s">
        <v>3357</v>
      </c>
      <c r="G80" t="s">
        <v>3512</v>
      </c>
    </row>
    <row r="81" spans="1:7" ht="11.25" customHeight="1">
      <c r="A81" t="s">
        <v>14</v>
      </c>
      <c r="B81" t="s">
        <v>153</v>
      </c>
      <c r="C81" t="s">
        <v>154</v>
      </c>
      <c r="D81" t="s">
        <v>153</v>
      </c>
      <c r="E81" t="s">
        <v>154</v>
      </c>
      <c r="F81" t="s">
        <v>3440</v>
      </c>
      <c r="G81" t="s">
        <v>152</v>
      </c>
    </row>
    <row r="82" spans="1:7" ht="11.25" customHeight="1">
      <c r="A82" t="s">
        <v>14</v>
      </c>
      <c r="B82" t="s">
        <v>3513</v>
      </c>
      <c r="C82" t="s">
        <v>3514</v>
      </c>
      <c r="D82" t="s">
        <v>3513</v>
      </c>
      <c r="E82" t="s">
        <v>3514</v>
      </c>
      <c r="F82" t="s">
        <v>3351</v>
      </c>
      <c r="G82" t="s">
        <v>3515</v>
      </c>
    </row>
    <row r="83" spans="1:7" ht="11.25" customHeight="1">
      <c r="A83" t="s">
        <v>14</v>
      </c>
      <c r="B83" t="s">
        <v>3516</v>
      </c>
      <c r="C83" t="s">
        <v>3517</v>
      </c>
      <c r="D83" t="s">
        <v>3447</v>
      </c>
      <c r="E83" t="s">
        <v>3518</v>
      </c>
      <c r="F83" t="s">
        <v>3357</v>
      </c>
      <c r="G83" t="s">
        <v>3519</v>
      </c>
    </row>
    <row r="84" spans="1:7" ht="11.25" customHeight="1">
      <c r="A84" t="s">
        <v>14</v>
      </c>
      <c r="B84" t="s">
        <v>3516</v>
      </c>
      <c r="C84" t="s">
        <v>3517</v>
      </c>
      <c r="D84" t="s">
        <v>3520</v>
      </c>
      <c r="E84" t="s">
        <v>3521</v>
      </c>
      <c r="F84" t="s">
        <v>3357</v>
      </c>
      <c r="G84" t="s">
        <v>3522</v>
      </c>
    </row>
    <row r="85" spans="1:7" ht="11.25" customHeight="1">
      <c r="A85" t="s">
        <v>14</v>
      </c>
      <c r="B85" t="s">
        <v>3516</v>
      </c>
      <c r="C85" t="s">
        <v>3517</v>
      </c>
      <c r="D85" t="s">
        <v>3516</v>
      </c>
      <c r="E85" t="s">
        <v>3517</v>
      </c>
      <c r="F85" t="s">
        <v>3354</v>
      </c>
      <c r="G85" t="s">
        <v>3523</v>
      </c>
    </row>
    <row r="86" spans="1:7" ht="11.25" customHeight="1">
      <c r="A86" t="s">
        <v>14</v>
      </c>
      <c r="B86" t="s">
        <v>3516</v>
      </c>
      <c r="C86" t="s">
        <v>3517</v>
      </c>
      <c r="D86" t="s">
        <v>3524</v>
      </c>
      <c r="E86" t="s">
        <v>3525</v>
      </c>
      <c r="F86" t="s">
        <v>3357</v>
      </c>
      <c r="G86" t="s">
        <v>3526</v>
      </c>
    </row>
    <row r="87" spans="1:7" ht="11.25" customHeight="1">
      <c r="A87" t="s">
        <v>14</v>
      </c>
      <c r="B87" t="s">
        <v>3516</v>
      </c>
      <c r="C87" t="s">
        <v>3517</v>
      </c>
      <c r="D87" t="s">
        <v>3527</v>
      </c>
      <c r="E87" t="s">
        <v>3528</v>
      </c>
      <c r="F87" t="s">
        <v>3357</v>
      </c>
      <c r="G87" t="s">
        <v>3529</v>
      </c>
    </row>
    <row r="88" spans="1:7" ht="11.25" customHeight="1">
      <c r="A88" t="s">
        <v>14</v>
      </c>
      <c r="B88" t="s">
        <v>3516</v>
      </c>
      <c r="C88" t="s">
        <v>3517</v>
      </c>
      <c r="D88" t="s">
        <v>3530</v>
      </c>
      <c r="E88" t="s">
        <v>3531</v>
      </c>
      <c r="F88" t="s">
        <v>3357</v>
      </c>
      <c r="G88" t="s">
        <v>3532</v>
      </c>
    </row>
    <row r="89" spans="1:7" ht="11.25" customHeight="1">
      <c r="A89" t="s">
        <v>14</v>
      </c>
      <c r="B89" t="s">
        <v>3516</v>
      </c>
      <c r="C89" t="s">
        <v>3517</v>
      </c>
      <c r="D89" t="s">
        <v>3533</v>
      </c>
      <c r="E89" t="s">
        <v>3534</v>
      </c>
      <c r="F89" t="s">
        <v>3357</v>
      </c>
      <c r="G89" t="s">
        <v>3535</v>
      </c>
    </row>
    <row r="90" spans="1:7" ht="11.25" customHeight="1">
      <c r="A90" t="s">
        <v>14</v>
      </c>
      <c r="B90" t="s">
        <v>3516</v>
      </c>
      <c r="C90" t="s">
        <v>3517</v>
      </c>
      <c r="D90" t="s">
        <v>3536</v>
      </c>
      <c r="E90" t="s">
        <v>3537</v>
      </c>
      <c r="F90" t="s">
        <v>3357</v>
      </c>
      <c r="G90" t="s">
        <v>3538</v>
      </c>
    </row>
    <row r="91" spans="1:7" ht="11.25" customHeight="1">
      <c r="A91" t="s">
        <v>14</v>
      </c>
      <c r="B91" t="s">
        <v>3516</v>
      </c>
      <c r="C91" t="s">
        <v>3517</v>
      </c>
      <c r="D91" t="s">
        <v>3539</v>
      </c>
      <c r="E91" t="s">
        <v>3540</v>
      </c>
      <c r="F91" t="s">
        <v>3357</v>
      </c>
      <c r="G91" t="s">
        <v>3541</v>
      </c>
    </row>
    <row r="92" spans="1:7" ht="11.25" customHeight="1">
      <c r="A92" t="s">
        <v>14</v>
      </c>
      <c r="B92" t="s">
        <v>3516</v>
      </c>
      <c r="C92" t="s">
        <v>3517</v>
      </c>
      <c r="D92" t="s">
        <v>3542</v>
      </c>
      <c r="E92" t="s">
        <v>3543</v>
      </c>
      <c r="F92" t="s">
        <v>3357</v>
      </c>
      <c r="G92" t="s">
        <v>3544</v>
      </c>
    </row>
    <row r="93" spans="1:7" ht="11.25" customHeight="1">
      <c r="A93" t="s">
        <v>14</v>
      </c>
      <c r="B93" t="s">
        <v>3516</v>
      </c>
      <c r="C93" t="s">
        <v>3517</v>
      </c>
      <c r="D93" t="s">
        <v>3545</v>
      </c>
      <c r="E93" t="s">
        <v>3546</v>
      </c>
      <c r="F93" t="s">
        <v>3357</v>
      </c>
      <c r="G93" t="s">
        <v>3547</v>
      </c>
    </row>
    <row r="94" spans="1:7" ht="11.25" customHeight="1">
      <c r="A94" t="s">
        <v>14</v>
      </c>
      <c r="B94" t="s">
        <v>3516</v>
      </c>
      <c r="C94" t="s">
        <v>3517</v>
      </c>
      <c r="D94" t="s">
        <v>3548</v>
      </c>
      <c r="E94" t="s">
        <v>3549</v>
      </c>
      <c r="F94" t="s">
        <v>3357</v>
      </c>
      <c r="G94" t="s">
        <v>3550</v>
      </c>
    </row>
    <row r="95" spans="1:7" ht="11.25" customHeight="1">
      <c r="A95" t="s">
        <v>14</v>
      </c>
      <c r="B95" t="s">
        <v>3516</v>
      </c>
      <c r="C95" t="s">
        <v>3517</v>
      </c>
      <c r="D95" t="s">
        <v>3551</v>
      </c>
      <c r="E95" t="s">
        <v>3552</v>
      </c>
      <c r="F95" t="s">
        <v>3357</v>
      </c>
      <c r="G95" t="s">
        <v>3553</v>
      </c>
    </row>
    <row r="96" spans="1:7" ht="11.25" customHeight="1">
      <c r="A96" t="s">
        <v>14</v>
      </c>
      <c r="B96" t="s">
        <v>3516</v>
      </c>
      <c r="C96" t="s">
        <v>3517</v>
      </c>
      <c r="D96" t="s">
        <v>3554</v>
      </c>
      <c r="E96" t="s">
        <v>3555</v>
      </c>
      <c r="F96" t="s">
        <v>3357</v>
      </c>
      <c r="G96" t="s">
        <v>3556</v>
      </c>
    </row>
    <row r="97" spans="1:7" ht="11.25" customHeight="1">
      <c r="A97" t="s">
        <v>14</v>
      </c>
      <c r="B97" t="s">
        <v>3516</v>
      </c>
      <c r="C97" t="s">
        <v>3517</v>
      </c>
      <c r="D97" t="s">
        <v>3557</v>
      </c>
      <c r="E97" t="s">
        <v>3558</v>
      </c>
      <c r="F97" t="s">
        <v>3357</v>
      </c>
      <c r="G97" t="s">
        <v>3559</v>
      </c>
    </row>
    <row r="98" spans="1:7" ht="11.25" customHeight="1">
      <c r="A98" t="s">
        <v>14</v>
      </c>
      <c r="B98" t="s">
        <v>3560</v>
      </c>
      <c r="C98" t="s">
        <v>3561</v>
      </c>
      <c r="D98" t="s">
        <v>3560</v>
      </c>
      <c r="E98" t="s">
        <v>3561</v>
      </c>
      <c r="F98" t="s">
        <v>3440</v>
      </c>
      <c r="G98" t="s">
        <v>3562</v>
      </c>
    </row>
    <row r="99" spans="1:7" ht="11.25" customHeight="1">
      <c r="A99" t="s">
        <v>14</v>
      </c>
      <c r="B99" t="s">
        <v>3563</v>
      </c>
      <c r="C99" t="s">
        <v>3564</v>
      </c>
      <c r="D99" t="s">
        <v>3563</v>
      </c>
      <c r="E99" t="s">
        <v>3564</v>
      </c>
      <c r="F99" t="s">
        <v>3440</v>
      </c>
      <c r="G99" t="s">
        <v>3565</v>
      </c>
    </row>
    <row r="100" spans="1:7" ht="11.25" customHeight="1">
      <c r="A100" t="s">
        <v>14</v>
      </c>
      <c r="B100" t="s">
        <v>3566</v>
      </c>
      <c r="C100" t="s">
        <v>3567</v>
      </c>
      <c r="D100" t="s">
        <v>3566</v>
      </c>
      <c r="E100" t="s">
        <v>3567</v>
      </c>
      <c r="F100" t="s">
        <v>3440</v>
      </c>
      <c r="G100" t="s">
        <v>3568</v>
      </c>
    </row>
    <row r="101" spans="1:7" ht="11.25" customHeight="1">
      <c r="A101" t="s">
        <v>14</v>
      </c>
      <c r="B101" t="s">
        <v>3569</v>
      </c>
      <c r="C101" t="s">
        <v>3570</v>
      </c>
      <c r="D101" t="s">
        <v>3569</v>
      </c>
      <c r="E101" t="s">
        <v>3570</v>
      </c>
      <c r="F101" t="s">
        <v>3440</v>
      </c>
      <c r="G101" t="s">
        <v>3571</v>
      </c>
    </row>
    <row r="102" spans="1:7" ht="11.25" customHeight="1">
      <c r="A102" t="s">
        <v>14</v>
      </c>
      <c r="B102" t="s">
        <v>3572</v>
      </c>
      <c r="C102" t="s">
        <v>3573</v>
      </c>
      <c r="D102" t="s">
        <v>3572</v>
      </c>
      <c r="E102" t="s">
        <v>3573</v>
      </c>
      <c r="F102" t="s">
        <v>3440</v>
      </c>
      <c r="G102" t="s">
        <v>3574</v>
      </c>
    </row>
    <row r="103" spans="1:7" ht="11.25" customHeight="1">
      <c r="A103" t="s">
        <v>14</v>
      </c>
      <c r="B103" t="s">
        <v>173</v>
      </c>
      <c r="C103" t="s">
        <v>174</v>
      </c>
      <c r="D103" t="s">
        <v>173</v>
      </c>
      <c r="E103" t="s">
        <v>174</v>
      </c>
      <c r="F103" t="s">
        <v>3440</v>
      </c>
      <c r="G103" t="s">
        <v>172</v>
      </c>
    </row>
    <row r="104" spans="1:7" ht="11.25" customHeight="1">
      <c r="A104" t="s">
        <v>14</v>
      </c>
      <c r="B104" t="s">
        <v>3575</v>
      </c>
      <c r="C104" t="s">
        <v>3576</v>
      </c>
      <c r="D104" t="s">
        <v>3575</v>
      </c>
      <c r="E104" t="s">
        <v>3576</v>
      </c>
      <c r="F104" t="s">
        <v>3440</v>
      </c>
      <c r="G104" t="s">
        <v>3577</v>
      </c>
    </row>
    <row r="105" spans="1:7" ht="11.25" customHeight="1">
      <c r="A105" t="s">
        <v>14</v>
      </c>
      <c r="B105" t="s">
        <v>3578</v>
      </c>
      <c r="C105" t="s">
        <v>3579</v>
      </c>
      <c r="D105" t="s">
        <v>3578</v>
      </c>
      <c r="E105" t="s">
        <v>3579</v>
      </c>
      <c r="F105" t="s">
        <v>3351</v>
      </c>
      <c r="G105" t="s">
        <v>3580</v>
      </c>
    </row>
    <row r="106" spans="1:7" ht="11.25" customHeight="1">
      <c r="A106" t="s">
        <v>14</v>
      </c>
      <c r="B106" t="s">
        <v>3581</v>
      </c>
      <c r="C106" t="s">
        <v>3582</v>
      </c>
      <c r="D106" t="s">
        <v>3581</v>
      </c>
      <c r="E106" t="s">
        <v>3582</v>
      </c>
      <c r="F106" t="s">
        <v>3354</v>
      </c>
      <c r="G106" t="s">
        <v>3583</v>
      </c>
    </row>
    <row r="107" spans="1:7" ht="11.25" customHeight="1">
      <c r="A107" t="s">
        <v>14</v>
      </c>
      <c r="B107" t="s">
        <v>3581</v>
      </c>
      <c r="C107" t="s">
        <v>3582</v>
      </c>
      <c r="D107" t="s">
        <v>3584</v>
      </c>
      <c r="E107" t="s">
        <v>3585</v>
      </c>
      <c r="F107" t="s">
        <v>3357</v>
      </c>
      <c r="G107" t="s">
        <v>3586</v>
      </c>
    </row>
    <row r="108" spans="1:7" ht="11.25" customHeight="1">
      <c r="A108" t="s">
        <v>14</v>
      </c>
      <c r="B108" t="s">
        <v>3581</v>
      </c>
      <c r="C108" t="s">
        <v>3582</v>
      </c>
      <c r="D108" t="s">
        <v>3587</v>
      </c>
      <c r="E108" t="s">
        <v>3588</v>
      </c>
      <c r="F108" t="s">
        <v>3357</v>
      </c>
      <c r="G108" t="s">
        <v>3589</v>
      </c>
    </row>
    <row r="109" spans="1:7" ht="11.25" customHeight="1">
      <c r="A109" t="s">
        <v>14</v>
      </c>
      <c r="B109" t="s">
        <v>3581</v>
      </c>
      <c r="C109" t="s">
        <v>3582</v>
      </c>
      <c r="D109" t="s">
        <v>3590</v>
      </c>
      <c r="E109" t="s">
        <v>3591</v>
      </c>
      <c r="F109" t="s">
        <v>3357</v>
      </c>
      <c r="G109" t="s">
        <v>3592</v>
      </c>
    </row>
    <row r="110" spans="1:7" ht="11.25" customHeight="1">
      <c r="A110" t="s">
        <v>14</v>
      </c>
      <c r="B110" t="s">
        <v>3581</v>
      </c>
      <c r="C110" t="s">
        <v>3582</v>
      </c>
      <c r="D110" t="s">
        <v>3593</v>
      </c>
      <c r="E110" t="s">
        <v>3594</v>
      </c>
      <c r="F110" t="s">
        <v>3357</v>
      </c>
      <c r="G110" t="s">
        <v>3595</v>
      </c>
    </row>
    <row r="111" spans="1:7" ht="11.25" customHeight="1">
      <c r="A111" t="s">
        <v>14</v>
      </c>
      <c r="B111" t="s">
        <v>3581</v>
      </c>
      <c r="C111" t="s">
        <v>3582</v>
      </c>
      <c r="D111" t="s">
        <v>3596</v>
      </c>
      <c r="E111" t="s">
        <v>3597</v>
      </c>
      <c r="F111" t="s">
        <v>3357</v>
      </c>
      <c r="G111" t="s">
        <v>3598</v>
      </c>
    </row>
    <row r="112" spans="1:7" ht="11.25" customHeight="1">
      <c r="A112" t="s">
        <v>14</v>
      </c>
      <c r="B112" t="s">
        <v>3581</v>
      </c>
      <c r="C112" t="s">
        <v>3582</v>
      </c>
      <c r="D112" t="s">
        <v>3599</v>
      </c>
      <c r="E112" t="s">
        <v>3600</v>
      </c>
      <c r="F112" t="s">
        <v>3357</v>
      </c>
      <c r="G112" t="s">
        <v>3601</v>
      </c>
    </row>
    <row r="113" spans="1:7" ht="11.25" customHeight="1">
      <c r="A113" t="s">
        <v>14</v>
      </c>
      <c r="B113" t="s">
        <v>3581</v>
      </c>
      <c r="C113" t="s">
        <v>3582</v>
      </c>
      <c r="D113" t="s">
        <v>3602</v>
      </c>
      <c r="E113" t="s">
        <v>3603</v>
      </c>
      <c r="F113" t="s">
        <v>3357</v>
      </c>
      <c r="G113" t="s">
        <v>3604</v>
      </c>
    </row>
    <row r="114" spans="1:7" ht="11.25" customHeight="1">
      <c r="A114" t="s">
        <v>14</v>
      </c>
      <c r="B114" t="s">
        <v>3581</v>
      </c>
      <c r="C114" t="s">
        <v>3582</v>
      </c>
      <c r="D114" t="s">
        <v>3605</v>
      </c>
      <c r="E114" t="s">
        <v>3606</v>
      </c>
      <c r="F114" t="s">
        <v>3357</v>
      </c>
      <c r="G114" t="s">
        <v>3607</v>
      </c>
    </row>
    <row r="115" spans="1:7" ht="11.25" customHeight="1">
      <c r="A115" t="s">
        <v>14</v>
      </c>
      <c r="B115" t="s">
        <v>158</v>
      </c>
      <c r="C115" t="s">
        <v>159</v>
      </c>
      <c r="D115" t="s">
        <v>158</v>
      </c>
      <c r="E115" t="s">
        <v>159</v>
      </c>
      <c r="F115" t="s">
        <v>3440</v>
      </c>
      <c r="G115" t="s">
        <v>157</v>
      </c>
    </row>
    <row r="116" spans="1:7" ht="11.25" customHeight="1">
      <c r="A116" t="s">
        <v>14</v>
      </c>
      <c r="B116" t="s">
        <v>3608</v>
      </c>
      <c r="C116" t="s">
        <v>3609</v>
      </c>
      <c r="D116" t="s">
        <v>3608</v>
      </c>
      <c r="E116" t="s">
        <v>3609</v>
      </c>
      <c r="F116" t="s">
        <v>3351</v>
      </c>
      <c r="G116" t="s">
        <v>3610</v>
      </c>
    </row>
    <row r="117" spans="1:7" ht="11.25" customHeight="1">
      <c r="A117" t="s">
        <v>14</v>
      </c>
      <c r="B117" t="s">
        <v>3611</v>
      </c>
      <c r="C117" t="s">
        <v>3612</v>
      </c>
      <c r="D117" t="s">
        <v>3613</v>
      </c>
      <c r="E117" t="s">
        <v>3614</v>
      </c>
      <c r="F117" t="s">
        <v>3453</v>
      </c>
      <c r="G117" t="s">
        <v>3615</v>
      </c>
    </row>
    <row r="118" spans="1:7" ht="11.25" customHeight="1">
      <c r="A118" t="s">
        <v>14</v>
      </c>
      <c r="B118" t="s">
        <v>3611</v>
      </c>
      <c r="C118" t="s">
        <v>3612</v>
      </c>
      <c r="D118" t="s">
        <v>3611</v>
      </c>
      <c r="E118" t="s">
        <v>3612</v>
      </c>
      <c r="F118" t="s">
        <v>3354</v>
      </c>
      <c r="G118" t="s">
        <v>3616</v>
      </c>
    </row>
    <row r="119" spans="1:7" ht="11.25" customHeight="1">
      <c r="A119" t="s">
        <v>14</v>
      </c>
      <c r="B119" t="s">
        <v>3611</v>
      </c>
      <c r="C119" t="s">
        <v>3612</v>
      </c>
      <c r="D119" t="s">
        <v>3617</v>
      </c>
      <c r="E119" t="s">
        <v>3618</v>
      </c>
      <c r="F119" t="s">
        <v>3357</v>
      </c>
      <c r="G119" t="s">
        <v>3619</v>
      </c>
    </row>
    <row r="120" spans="1:7" ht="11.25" customHeight="1">
      <c r="A120" t="s">
        <v>14</v>
      </c>
      <c r="B120" t="s">
        <v>3611</v>
      </c>
      <c r="C120" t="s">
        <v>3612</v>
      </c>
      <c r="D120" t="s">
        <v>3620</v>
      </c>
      <c r="E120" t="s">
        <v>3621</v>
      </c>
      <c r="F120" t="s">
        <v>3357</v>
      </c>
      <c r="G120" t="s">
        <v>3622</v>
      </c>
    </row>
    <row r="121" spans="1:7" ht="11.25" customHeight="1">
      <c r="A121" t="s">
        <v>14</v>
      </c>
      <c r="B121" t="s">
        <v>3611</v>
      </c>
      <c r="C121" t="s">
        <v>3612</v>
      </c>
      <c r="D121" t="s">
        <v>3623</v>
      </c>
      <c r="E121" t="s">
        <v>3624</v>
      </c>
      <c r="F121" t="s">
        <v>3357</v>
      </c>
      <c r="G121" t="s">
        <v>3625</v>
      </c>
    </row>
    <row r="122" spans="1:7" ht="11.25" customHeight="1">
      <c r="A122" t="s">
        <v>14</v>
      </c>
      <c r="B122" t="s">
        <v>3611</v>
      </c>
      <c r="C122" t="s">
        <v>3612</v>
      </c>
      <c r="D122" t="s">
        <v>3626</v>
      </c>
      <c r="E122" t="s">
        <v>3627</v>
      </c>
      <c r="F122" t="s">
        <v>3357</v>
      </c>
      <c r="G122" t="s">
        <v>3628</v>
      </c>
    </row>
    <row r="123" spans="1:7" ht="11.25" customHeight="1">
      <c r="A123" t="s">
        <v>14</v>
      </c>
      <c r="B123" t="s">
        <v>3611</v>
      </c>
      <c r="C123" t="s">
        <v>3612</v>
      </c>
      <c r="D123" t="s">
        <v>3629</v>
      </c>
      <c r="E123" t="s">
        <v>3630</v>
      </c>
      <c r="F123" t="s">
        <v>3357</v>
      </c>
      <c r="G123" t="s">
        <v>3631</v>
      </c>
    </row>
    <row r="124" spans="1:7" ht="11.25" customHeight="1">
      <c r="A124" t="s">
        <v>14</v>
      </c>
      <c r="B124" t="s">
        <v>3611</v>
      </c>
      <c r="C124" t="s">
        <v>3612</v>
      </c>
      <c r="D124" t="s">
        <v>3632</v>
      </c>
      <c r="E124" t="s">
        <v>3633</v>
      </c>
      <c r="F124" t="s">
        <v>3634</v>
      </c>
      <c r="G124" t="s">
        <v>3635</v>
      </c>
    </row>
    <row r="125" spans="1:7" ht="11.25" customHeight="1">
      <c r="A125" t="s">
        <v>14</v>
      </c>
      <c r="B125" t="s">
        <v>3611</v>
      </c>
      <c r="C125" t="s">
        <v>3612</v>
      </c>
      <c r="D125" t="s">
        <v>3636</v>
      </c>
      <c r="E125" t="s">
        <v>3637</v>
      </c>
      <c r="F125" t="s">
        <v>3634</v>
      </c>
      <c r="G125" t="s">
        <v>3638</v>
      </c>
    </row>
    <row r="126" spans="1:7" ht="11.25" customHeight="1">
      <c r="A126" t="s">
        <v>14</v>
      </c>
      <c r="B126" t="s">
        <v>3611</v>
      </c>
      <c r="C126" t="s">
        <v>3612</v>
      </c>
      <c r="D126" t="s">
        <v>3639</v>
      </c>
      <c r="E126" t="s">
        <v>3640</v>
      </c>
      <c r="F126" t="s">
        <v>3357</v>
      </c>
      <c r="G126" t="s">
        <v>3641</v>
      </c>
    </row>
    <row r="127" spans="1:7" ht="11.25" customHeight="1">
      <c r="A127" t="s">
        <v>14</v>
      </c>
      <c r="B127" t="s">
        <v>3611</v>
      </c>
      <c r="C127" t="s">
        <v>3612</v>
      </c>
      <c r="D127" t="s">
        <v>3642</v>
      </c>
      <c r="E127" t="s">
        <v>3643</v>
      </c>
      <c r="F127" t="s">
        <v>3357</v>
      </c>
      <c r="G127" t="s">
        <v>3644</v>
      </c>
    </row>
    <row r="128" spans="1:7" ht="11.25" customHeight="1">
      <c r="A128" t="s">
        <v>14</v>
      </c>
      <c r="B128" t="s">
        <v>3611</v>
      </c>
      <c r="C128" t="s">
        <v>3612</v>
      </c>
      <c r="D128" t="s">
        <v>3645</v>
      </c>
      <c r="E128" t="s">
        <v>3646</v>
      </c>
      <c r="F128" t="s">
        <v>3357</v>
      </c>
      <c r="G128" t="s">
        <v>3647</v>
      </c>
    </row>
    <row r="129" spans="1:7" ht="11.25" customHeight="1">
      <c r="A129" t="s">
        <v>14</v>
      </c>
      <c r="B129" t="s">
        <v>3611</v>
      </c>
      <c r="C129" t="s">
        <v>3612</v>
      </c>
      <c r="D129" t="s">
        <v>3648</v>
      </c>
      <c r="E129" t="s">
        <v>3649</v>
      </c>
      <c r="F129" t="s">
        <v>3357</v>
      </c>
      <c r="G129" t="s">
        <v>3650</v>
      </c>
    </row>
    <row r="130" spans="1:7" ht="11.25" customHeight="1">
      <c r="A130" t="s">
        <v>14</v>
      </c>
      <c r="B130" t="s">
        <v>3611</v>
      </c>
      <c r="C130" t="s">
        <v>3612</v>
      </c>
      <c r="D130" t="s">
        <v>3651</v>
      </c>
      <c r="E130" t="s">
        <v>3652</v>
      </c>
      <c r="F130" t="s">
        <v>3357</v>
      </c>
      <c r="G130" t="s">
        <v>3653</v>
      </c>
    </row>
    <row r="131" spans="1:7" ht="11.25" customHeight="1">
      <c r="A131" t="s">
        <v>14</v>
      </c>
      <c r="B131" t="s">
        <v>3611</v>
      </c>
      <c r="C131" t="s">
        <v>3612</v>
      </c>
      <c r="D131" t="s">
        <v>3654</v>
      </c>
      <c r="E131" t="s">
        <v>3655</v>
      </c>
      <c r="F131" t="s">
        <v>3357</v>
      </c>
      <c r="G131" t="s">
        <v>3656</v>
      </c>
    </row>
    <row r="132" spans="1:7" ht="11.25" customHeight="1">
      <c r="A132" t="s">
        <v>14</v>
      </c>
      <c r="B132" t="s">
        <v>3611</v>
      </c>
      <c r="C132" t="s">
        <v>3612</v>
      </c>
      <c r="D132" t="s">
        <v>3657</v>
      </c>
      <c r="E132" t="s">
        <v>3658</v>
      </c>
      <c r="F132" t="s">
        <v>3357</v>
      </c>
      <c r="G132" t="s">
        <v>3659</v>
      </c>
    </row>
    <row r="133" spans="1:7" ht="11.25" customHeight="1">
      <c r="A133" t="s">
        <v>14</v>
      </c>
      <c r="B133" t="s">
        <v>163</v>
      </c>
      <c r="C133" t="s">
        <v>164</v>
      </c>
      <c r="D133" t="s">
        <v>163</v>
      </c>
      <c r="E133" t="s">
        <v>164</v>
      </c>
      <c r="F133" t="s">
        <v>3440</v>
      </c>
      <c r="G133" t="s">
        <v>162</v>
      </c>
    </row>
    <row r="134" spans="1:7" ht="11.25" customHeight="1">
      <c r="A134" t="s">
        <v>14</v>
      </c>
      <c r="B134" t="s">
        <v>3660</v>
      </c>
      <c r="C134" t="s">
        <v>3661</v>
      </c>
      <c r="D134" t="s">
        <v>3660</v>
      </c>
      <c r="E134" t="s">
        <v>3661</v>
      </c>
      <c r="F134" t="s">
        <v>3351</v>
      </c>
      <c r="G134" t="s">
        <v>3662</v>
      </c>
    </row>
    <row r="135" spans="1:7" ht="11.25" customHeight="1">
      <c r="A135" t="s">
        <v>14</v>
      </c>
      <c r="B135" t="s">
        <v>3663</v>
      </c>
      <c r="C135" t="s">
        <v>3664</v>
      </c>
      <c r="D135" t="s">
        <v>3665</v>
      </c>
      <c r="E135" t="s">
        <v>3666</v>
      </c>
      <c r="F135" t="s">
        <v>3357</v>
      </c>
      <c r="G135" t="s">
        <v>3667</v>
      </c>
    </row>
    <row r="136" spans="1:7" ht="11.25" customHeight="1">
      <c r="A136" t="s">
        <v>14</v>
      </c>
      <c r="B136" t="s">
        <v>3663</v>
      </c>
      <c r="C136" t="s">
        <v>3664</v>
      </c>
      <c r="D136" t="s">
        <v>3668</v>
      </c>
      <c r="E136" t="s">
        <v>3669</v>
      </c>
      <c r="F136" t="s">
        <v>3357</v>
      </c>
      <c r="G136" t="s">
        <v>3670</v>
      </c>
    </row>
    <row r="137" spans="1:7" ht="11.25" customHeight="1">
      <c r="A137" t="s">
        <v>14</v>
      </c>
      <c r="B137" t="s">
        <v>3663</v>
      </c>
      <c r="C137" t="s">
        <v>3664</v>
      </c>
      <c r="D137" t="s">
        <v>3671</v>
      </c>
      <c r="E137" t="s">
        <v>3672</v>
      </c>
      <c r="F137" t="s">
        <v>3453</v>
      </c>
      <c r="G137" t="s">
        <v>3673</v>
      </c>
    </row>
    <row r="138" spans="1:7" ht="11.25" customHeight="1">
      <c r="A138" t="s">
        <v>14</v>
      </c>
      <c r="B138" t="s">
        <v>3663</v>
      </c>
      <c r="C138" t="s">
        <v>3664</v>
      </c>
      <c r="D138" t="s">
        <v>3674</v>
      </c>
      <c r="E138" t="s">
        <v>3675</v>
      </c>
      <c r="F138" t="s">
        <v>3357</v>
      </c>
      <c r="G138" t="s">
        <v>3676</v>
      </c>
    </row>
    <row r="139" spans="1:7" ht="11.25" customHeight="1">
      <c r="A139" t="s">
        <v>14</v>
      </c>
      <c r="B139" t="s">
        <v>3663</v>
      </c>
      <c r="C139" t="s">
        <v>3664</v>
      </c>
      <c r="D139" t="s">
        <v>3677</v>
      </c>
      <c r="E139" t="s">
        <v>3678</v>
      </c>
      <c r="F139" t="s">
        <v>3357</v>
      </c>
      <c r="G139" t="s">
        <v>3679</v>
      </c>
    </row>
    <row r="140" spans="1:7" ht="11.25" customHeight="1">
      <c r="A140" t="s">
        <v>14</v>
      </c>
      <c r="B140" t="s">
        <v>3663</v>
      </c>
      <c r="C140" t="s">
        <v>3664</v>
      </c>
      <c r="D140" t="s">
        <v>3663</v>
      </c>
      <c r="E140" t="s">
        <v>3664</v>
      </c>
      <c r="F140" t="s">
        <v>3354</v>
      </c>
      <c r="G140" t="s">
        <v>3680</v>
      </c>
    </row>
    <row r="141" spans="1:7" ht="11.25" customHeight="1">
      <c r="A141" t="s">
        <v>14</v>
      </c>
      <c r="B141" t="s">
        <v>3663</v>
      </c>
      <c r="C141" t="s">
        <v>3664</v>
      </c>
      <c r="D141" t="s">
        <v>3681</v>
      </c>
      <c r="E141" t="s">
        <v>3682</v>
      </c>
      <c r="F141" t="s">
        <v>3357</v>
      </c>
      <c r="G141" t="s">
        <v>3683</v>
      </c>
    </row>
    <row r="142" spans="1:7" ht="11.25" customHeight="1">
      <c r="A142" t="s">
        <v>14</v>
      </c>
      <c r="B142" t="s">
        <v>3663</v>
      </c>
      <c r="C142" t="s">
        <v>3664</v>
      </c>
      <c r="D142" t="s">
        <v>3684</v>
      </c>
      <c r="E142" t="s">
        <v>3685</v>
      </c>
      <c r="F142" t="s">
        <v>3357</v>
      </c>
      <c r="G142" t="s">
        <v>3686</v>
      </c>
    </row>
    <row r="143" spans="1:7" ht="11.25" customHeight="1">
      <c r="A143" t="s">
        <v>14</v>
      </c>
      <c r="B143" t="s">
        <v>3663</v>
      </c>
      <c r="C143" t="s">
        <v>3664</v>
      </c>
      <c r="D143" t="s">
        <v>3687</v>
      </c>
      <c r="E143" t="s">
        <v>3688</v>
      </c>
      <c r="F143" t="s">
        <v>3357</v>
      </c>
      <c r="G143" t="s">
        <v>3689</v>
      </c>
    </row>
    <row r="144" spans="1:7" ht="11.25" customHeight="1">
      <c r="A144" t="s">
        <v>14</v>
      </c>
      <c r="B144" t="s">
        <v>3663</v>
      </c>
      <c r="C144" t="s">
        <v>3664</v>
      </c>
      <c r="D144" t="s">
        <v>3690</v>
      </c>
      <c r="E144" t="s">
        <v>3691</v>
      </c>
      <c r="F144" t="s">
        <v>3357</v>
      </c>
      <c r="G144" t="s">
        <v>3692</v>
      </c>
    </row>
    <row r="145" spans="1:7" ht="11.25" customHeight="1">
      <c r="A145" t="s">
        <v>14</v>
      </c>
      <c r="B145" t="s">
        <v>3663</v>
      </c>
      <c r="C145" t="s">
        <v>3664</v>
      </c>
      <c r="D145" t="s">
        <v>3693</v>
      </c>
      <c r="E145" t="s">
        <v>3694</v>
      </c>
      <c r="F145" t="s">
        <v>3357</v>
      </c>
      <c r="G145" t="s">
        <v>3695</v>
      </c>
    </row>
    <row r="146" spans="1:7" ht="11.25" customHeight="1">
      <c r="A146" t="s">
        <v>14</v>
      </c>
      <c r="B146" t="s">
        <v>3663</v>
      </c>
      <c r="C146" t="s">
        <v>3664</v>
      </c>
      <c r="D146" t="s">
        <v>3696</v>
      </c>
      <c r="E146" t="s">
        <v>3697</v>
      </c>
      <c r="F146" t="s">
        <v>3357</v>
      </c>
      <c r="G146" t="s">
        <v>3698</v>
      </c>
    </row>
    <row r="147" spans="1:7" ht="11.25" customHeight="1">
      <c r="A147" t="s">
        <v>14</v>
      </c>
      <c r="B147" t="s">
        <v>3663</v>
      </c>
      <c r="C147" t="s">
        <v>3664</v>
      </c>
      <c r="D147" t="s">
        <v>3699</v>
      </c>
      <c r="E147" t="s">
        <v>3700</v>
      </c>
      <c r="F147" t="s">
        <v>3357</v>
      </c>
      <c r="G147" t="s">
        <v>3701</v>
      </c>
    </row>
    <row r="148" spans="1:7" ht="11.25" customHeight="1">
      <c r="A148" t="s">
        <v>14</v>
      </c>
      <c r="B148" t="s">
        <v>3663</v>
      </c>
      <c r="C148" t="s">
        <v>3664</v>
      </c>
      <c r="D148" t="s">
        <v>3702</v>
      </c>
      <c r="E148" t="s">
        <v>3703</v>
      </c>
      <c r="F148" t="s">
        <v>3357</v>
      </c>
      <c r="G148" t="s">
        <v>3704</v>
      </c>
    </row>
    <row r="149" spans="1:7" ht="11.25" customHeight="1">
      <c r="A149" t="s">
        <v>14</v>
      </c>
      <c r="B149" t="s">
        <v>3663</v>
      </c>
      <c r="C149" t="s">
        <v>3664</v>
      </c>
      <c r="D149" t="s">
        <v>3705</v>
      </c>
      <c r="E149" t="s">
        <v>3706</v>
      </c>
      <c r="F149" t="s">
        <v>3357</v>
      </c>
      <c r="G149" t="s">
        <v>3707</v>
      </c>
    </row>
    <row r="150" spans="1:7" ht="11.25" customHeight="1">
      <c r="A150" t="s">
        <v>14</v>
      </c>
      <c r="B150" t="s">
        <v>3663</v>
      </c>
      <c r="C150" t="s">
        <v>3664</v>
      </c>
      <c r="D150" t="s">
        <v>3708</v>
      </c>
      <c r="E150" t="s">
        <v>3709</v>
      </c>
      <c r="F150" t="s">
        <v>3357</v>
      </c>
      <c r="G150" t="s">
        <v>3710</v>
      </c>
    </row>
    <row r="151" spans="1:7" ht="11.25" customHeight="1">
      <c r="A151" t="s">
        <v>14</v>
      </c>
      <c r="B151" t="s">
        <v>3663</v>
      </c>
      <c r="C151" t="s">
        <v>3664</v>
      </c>
      <c r="D151" t="s">
        <v>3711</v>
      </c>
      <c r="E151" t="s">
        <v>3712</v>
      </c>
      <c r="F151" t="s">
        <v>3357</v>
      </c>
      <c r="G151" t="s">
        <v>3713</v>
      </c>
    </row>
    <row r="152" spans="1:7" ht="11.25" customHeight="1">
      <c r="A152" t="s">
        <v>14</v>
      </c>
      <c r="B152" t="s">
        <v>168</v>
      </c>
      <c r="C152" t="s">
        <v>169</v>
      </c>
      <c r="D152" t="s">
        <v>168</v>
      </c>
      <c r="E152" t="s">
        <v>169</v>
      </c>
      <c r="F152" t="s">
        <v>3440</v>
      </c>
      <c r="G152" t="s">
        <v>167</v>
      </c>
    </row>
    <row r="153" spans="1:7" ht="11.25" customHeight="1">
      <c r="A153" t="s">
        <v>14</v>
      </c>
      <c r="B153" t="s">
        <v>3714</v>
      </c>
      <c r="C153" t="s">
        <v>3715</v>
      </c>
      <c r="D153" t="s">
        <v>3714</v>
      </c>
      <c r="E153" t="s">
        <v>3715</v>
      </c>
      <c r="F153" t="s">
        <v>3351</v>
      </c>
      <c r="G153" t="s">
        <v>3716</v>
      </c>
    </row>
    <row r="154" spans="1:7" ht="11.25" customHeight="1">
      <c r="A154" t="s">
        <v>14</v>
      </c>
      <c r="B154" t="s">
        <v>3717</v>
      </c>
      <c r="C154" t="s">
        <v>3718</v>
      </c>
      <c r="D154" t="s">
        <v>3719</v>
      </c>
      <c r="E154" t="s">
        <v>3720</v>
      </c>
      <c r="F154" t="s">
        <v>3357</v>
      </c>
      <c r="G154" t="s">
        <v>3721</v>
      </c>
    </row>
    <row r="155" spans="1:7" ht="11.25" customHeight="1">
      <c r="A155" t="s">
        <v>14</v>
      </c>
      <c r="B155" t="s">
        <v>3717</v>
      </c>
      <c r="C155" t="s">
        <v>3718</v>
      </c>
      <c r="D155" t="s">
        <v>3722</v>
      </c>
      <c r="E155" t="s">
        <v>3723</v>
      </c>
      <c r="F155" t="s">
        <v>3453</v>
      </c>
      <c r="G155" t="s">
        <v>3724</v>
      </c>
    </row>
    <row r="156" spans="1:7" ht="11.25" customHeight="1">
      <c r="A156" t="s">
        <v>14</v>
      </c>
      <c r="B156" t="s">
        <v>3717</v>
      </c>
      <c r="C156" t="s">
        <v>3718</v>
      </c>
      <c r="D156" t="s">
        <v>3725</v>
      </c>
      <c r="E156" t="s">
        <v>3726</v>
      </c>
      <c r="F156" t="s">
        <v>3357</v>
      </c>
      <c r="G156" t="s">
        <v>3727</v>
      </c>
    </row>
    <row r="157" spans="1:7" ht="11.25" customHeight="1">
      <c r="A157" t="s">
        <v>14</v>
      </c>
      <c r="B157" t="s">
        <v>3717</v>
      </c>
      <c r="C157" t="s">
        <v>3718</v>
      </c>
      <c r="D157" t="s">
        <v>3717</v>
      </c>
      <c r="E157" t="s">
        <v>3718</v>
      </c>
      <c r="F157" t="s">
        <v>3354</v>
      </c>
      <c r="G157" t="s">
        <v>3728</v>
      </c>
    </row>
    <row r="158" spans="1:7" ht="11.25" customHeight="1">
      <c r="A158" t="s">
        <v>14</v>
      </c>
      <c r="B158" t="s">
        <v>3717</v>
      </c>
      <c r="C158" t="s">
        <v>3718</v>
      </c>
      <c r="D158" t="s">
        <v>3729</v>
      </c>
      <c r="E158" t="s">
        <v>3730</v>
      </c>
      <c r="F158" t="s">
        <v>3357</v>
      </c>
      <c r="G158" t="s">
        <v>3731</v>
      </c>
    </row>
    <row r="159" spans="1:7" ht="11.25" customHeight="1">
      <c r="A159" t="s">
        <v>14</v>
      </c>
      <c r="B159" t="s">
        <v>3717</v>
      </c>
      <c r="C159" t="s">
        <v>3718</v>
      </c>
      <c r="D159" t="s">
        <v>3732</v>
      </c>
      <c r="E159" t="s">
        <v>3733</v>
      </c>
      <c r="F159" t="s">
        <v>3357</v>
      </c>
      <c r="G159" t="s">
        <v>3734</v>
      </c>
    </row>
    <row r="160" spans="1:7" ht="11.25" customHeight="1">
      <c r="A160" t="s">
        <v>14</v>
      </c>
      <c r="B160" t="s">
        <v>3717</v>
      </c>
      <c r="C160" t="s">
        <v>3718</v>
      </c>
      <c r="D160" t="s">
        <v>3486</v>
      </c>
      <c r="E160" t="s">
        <v>3735</v>
      </c>
      <c r="F160" t="s">
        <v>3357</v>
      </c>
      <c r="G160" t="s">
        <v>3736</v>
      </c>
    </row>
    <row r="161" spans="1:7" ht="11.25" customHeight="1">
      <c r="A161" t="s">
        <v>14</v>
      </c>
      <c r="B161" t="s">
        <v>3717</v>
      </c>
      <c r="C161" t="s">
        <v>3718</v>
      </c>
      <c r="D161" t="s">
        <v>3737</v>
      </c>
      <c r="E161" t="s">
        <v>3738</v>
      </c>
      <c r="F161" t="s">
        <v>3357</v>
      </c>
      <c r="G161" t="s">
        <v>3739</v>
      </c>
    </row>
    <row r="162" spans="1:7" ht="11.25" customHeight="1">
      <c r="A162" t="s">
        <v>14</v>
      </c>
      <c r="B162" t="s">
        <v>3717</v>
      </c>
      <c r="C162" t="s">
        <v>3718</v>
      </c>
      <c r="D162" t="s">
        <v>3740</v>
      </c>
      <c r="E162" t="s">
        <v>3741</v>
      </c>
      <c r="F162" t="s">
        <v>3357</v>
      </c>
      <c r="G162" t="s">
        <v>3742</v>
      </c>
    </row>
    <row r="163" spans="1:7" ht="11.25" customHeight="1">
      <c r="A163" t="s">
        <v>14</v>
      </c>
      <c r="B163" t="s">
        <v>3717</v>
      </c>
      <c r="C163" t="s">
        <v>3718</v>
      </c>
      <c r="D163" t="s">
        <v>3743</v>
      </c>
      <c r="E163" t="s">
        <v>3744</v>
      </c>
      <c r="F163" t="s">
        <v>3357</v>
      </c>
      <c r="G163" t="s">
        <v>3745</v>
      </c>
    </row>
    <row r="164" spans="1:7" ht="11.25" customHeight="1">
      <c r="A164" t="s">
        <v>14</v>
      </c>
      <c r="B164" t="s">
        <v>3717</v>
      </c>
      <c r="C164" t="s">
        <v>3718</v>
      </c>
      <c r="D164" t="s">
        <v>3746</v>
      </c>
      <c r="E164" t="s">
        <v>3747</v>
      </c>
      <c r="F164" t="s">
        <v>3357</v>
      </c>
      <c r="G164" t="s">
        <v>3748</v>
      </c>
    </row>
    <row r="165" spans="1:7" ht="11.25" customHeight="1">
      <c r="A165" t="s">
        <v>14</v>
      </c>
      <c r="B165" t="s">
        <v>3749</v>
      </c>
      <c r="C165" t="s">
        <v>3750</v>
      </c>
      <c r="D165" t="s">
        <v>3749</v>
      </c>
      <c r="E165" t="s">
        <v>3750</v>
      </c>
      <c r="F165" t="s">
        <v>3351</v>
      </c>
      <c r="G165" t="s">
        <v>3751</v>
      </c>
    </row>
    <row r="166" spans="1:7" ht="11.25" customHeight="1">
      <c r="A166" t="s">
        <v>14</v>
      </c>
      <c r="B166" t="s">
        <v>3752</v>
      </c>
      <c r="C166" t="s">
        <v>3753</v>
      </c>
      <c r="D166" t="s">
        <v>3754</v>
      </c>
      <c r="E166" t="s">
        <v>3755</v>
      </c>
      <c r="F166" t="s">
        <v>3357</v>
      </c>
      <c r="G166" t="s">
        <v>3756</v>
      </c>
    </row>
    <row r="167" spans="1:7" ht="11.25" customHeight="1">
      <c r="A167" t="s">
        <v>14</v>
      </c>
      <c r="B167" t="s">
        <v>3752</v>
      </c>
      <c r="C167" t="s">
        <v>3753</v>
      </c>
      <c r="D167" t="s">
        <v>3757</v>
      </c>
      <c r="E167" t="s">
        <v>3758</v>
      </c>
      <c r="F167" t="s">
        <v>3357</v>
      </c>
      <c r="G167" t="s">
        <v>3759</v>
      </c>
    </row>
    <row r="168" spans="1:7" ht="11.25" customHeight="1">
      <c r="A168" t="s">
        <v>14</v>
      </c>
      <c r="B168" t="s">
        <v>3752</v>
      </c>
      <c r="C168" t="s">
        <v>3753</v>
      </c>
      <c r="D168" t="s">
        <v>3760</v>
      </c>
      <c r="E168" t="s">
        <v>3761</v>
      </c>
      <c r="F168" t="s">
        <v>3357</v>
      </c>
      <c r="G168" t="s">
        <v>3762</v>
      </c>
    </row>
    <row r="169" spans="1:7" ht="11.25" customHeight="1">
      <c r="A169" t="s">
        <v>14</v>
      </c>
      <c r="B169" t="s">
        <v>3752</v>
      </c>
      <c r="C169" t="s">
        <v>3753</v>
      </c>
      <c r="D169" t="s">
        <v>3763</v>
      </c>
      <c r="E169" t="s">
        <v>3764</v>
      </c>
      <c r="F169" t="s">
        <v>3357</v>
      </c>
      <c r="G169" t="s">
        <v>3765</v>
      </c>
    </row>
    <row r="170" spans="1:7" ht="11.25" customHeight="1">
      <c r="A170" t="s">
        <v>14</v>
      </c>
      <c r="B170" t="s">
        <v>3752</v>
      </c>
      <c r="C170" t="s">
        <v>3753</v>
      </c>
      <c r="D170" t="s">
        <v>3766</v>
      </c>
      <c r="E170" t="s">
        <v>3767</v>
      </c>
      <c r="F170" t="s">
        <v>3357</v>
      </c>
      <c r="G170" t="s">
        <v>3768</v>
      </c>
    </row>
    <row r="171" spans="1:7" ht="11.25" customHeight="1">
      <c r="A171" t="s">
        <v>14</v>
      </c>
      <c r="B171" t="s">
        <v>3752</v>
      </c>
      <c r="C171" t="s">
        <v>3753</v>
      </c>
      <c r="D171" t="s">
        <v>3769</v>
      </c>
      <c r="E171" t="s">
        <v>3770</v>
      </c>
      <c r="F171" t="s">
        <v>3357</v>
      </c>
      <c r="G171" t="s">
        <v>3771</v>
      </c>
    </row>
    <row r="172" spans="1:7" ht="11.25" customHeight="1">
      <c r="A172" t="s">
        <v>14</v>
      </c>
      <c r="B172" t="s">
        <v>3752</v>
      </c>
      <c r="C172" t="s">
        <v>3753</v>
      </c>
      <c r="D172" t="s">
        <v>3772</v>
      </c>
      <c r="E172" t="s">
        <v>3773</v>
      </c>
      <c r="F172" t="s">
        <v>3357</v>
      </c>
      <c r="G172" t="s">
        <v>3774</v>
      </c>
    </row>
    <row r="173" spans="1:7" ht="11.25" customHeight="1">
      <c r="A173" t="s">
        <v>14</v>
      </c>
      <c r="B173" t="s">
        <v>3752</v>
      </c>
      <c r="C173" t="s">
        <v>3753</v>
      </c>
      <c r="D173" t="s">
        <v>3775</v>
      </c>
      <c r="E173" t="s">
        <v>3776</v>
      </c>
      <c r="F173" t="s">
        <v>3357</v>
      </c>
      <c r="G173" t="s">
        <v>3777</v>
      </c>
    </row>
    <row r="174" spans="1:7" ht="11.25" customHeight="1">
      <c r="A174" t="s">
        <v>14</v>
      </c>
      <c r="B174" t="s">
        <v>3752</v>
      </c>
      <c r="C174" t="s">
        <v>3753</v>
      </c>
      <c r="D174" t="s">
        <v>3752</v>
      </c>
      <c r="E174" t="s">
        <v>3753</v>
      </c>
      <c r="F174" t="s">
        <v>3354</v>
      </c>
      <c r="G174" t="s">
        <v>3778</v>
      </c>
    </row>
    <row r="175" spans="1:7" ht="11.25" customHeight="1">
      <c r="A175" t="s">
        <v>14</v>
      </c>
      <c r="B175" t="s">
        <v>3752</v>
      </c>
      <c r="C175" t="s">
        <v>3753</v>
      </c>
      <c r="D175" t="s">
        <v>3779</v>
      </c>
      <c r="E175" t="s">
        <v>3780</v>
      </c>
      <c r="F175" t="s">
        <v>3357</v>
      </c>
      <c r="G175" t="s">
        <v>3781</v>
      </c>
    </row>
    <row r="176" spans="1:7" ht="11.25" customHeight="1">
      <c r="A176" t="s">
        <v>14</v>
      </c>
      <c r="B176" t="s">
        <v>3752</v>
      </c>
      <c r="C176" t="s">
        <v>3753</v>
      </c>
      <c r="D176" t="s">
        <v>3782</v>
      </c>
      <c r="E176" t="s">
        <v>3783</v>
      </c>
      <c r="F176" t="s">
        <v>3357</v>
      </c>
      <c r="G176" t="s">
        <v>3784</v>
      </c>
    </row>
    <row r="177" spans="1:7" ht="11.25" customHeight="1">
      <c r="A177" t="s">
        <v>14</v>
      </c>
      <c r="B177" t="s">
        <v>3752</v>
      </c>
      <c r="C177" t="s">
        <v>3753</v>
      </c>
      <c r="D177" t="s">
        <v>3785</v>
      </c>
      <c r="E177" t="s">
        <v>3786</v>
      </c>
      <c r="F177" t="s">
        <v>3357</v>
      </c>
      <c r="G177" t="s">
        <v>3787</v>
      </c>
    </row>
    <row r="178" spans="1:7" ht="11.25" customHeight="1">
      <c r="A178" t="s">
        <v>14</v>
      </c>
      <c r="B178" t="s">
        <v>3752</v>
      </c>
      <c r="C178" t="s">
        <v>3753</v>
      </c>
      <c r="D178" t="s">
        <v>3788</v>
      </c>
      <c r="E178" t="s">
        <v>3789</v>
      </c>
      <c r="F178" t="s">
        <v>3357</v>
      </c>
      <c r="G178" t="s">
        <v>3790</v>
      </c>
    </row>
    <row r="179" spans="1:7" ht="11.25" customHeight="1">
      <c r="A179" t="s">
        <v>14</v>
      </c>
      <c r="B179" t="s">
        <v>3752</v>
      </c>
      <c r="C179" t="s">
        <v>3753</v>
      </c>
      <c r="D179" t="s">
        <v>3791</v>
      </c>
      <c r="E179" t="s">
        <v>3792</v>
      </c>
      <c r="F179" t="s">
        <v>3357</v>
      </c>
      <c r="G179" t="s">
        <v>3793</v>
      </c>
    </row>
    <row r="180" spans="1:7" ht="11.25" customHeight="1">
      <c r="A180" t="s">
        <v>14</v>
      </c>
      <c r="B180" t="s">
        <v>3752</v>
      </c>
      <c r="C180" t="s">
        <v>3753</v>
      </c>
      <c r="D180" t="s">
        <v>3794</v>
      </c>
      <c r="E180" t="s">
        <v>3795</v>
      </c>
      <c r="F180" t="s">
        <v>3357</v>
      </c>
      <c r="G180" t="s">
        <v>3796</v>
      </c>
    </row>
    <row r="181" spans="1:7" ht="11.25" customHeight="1">
      <c r="A181" t="s">
        <v>14</v>
      </c>
      <c r="B181" t="s">
        <v>3752</v>
      </c>
      <c r="C181" t="s">
        <v>3753</v>
      </c>
      <c r="D181" t="s">
        <v>3797</v>
      </c>
      <c r="E181" t="s">
        <v>3798</v>
      </c>
      <c r="F181" t="s">
        <v>3357</v>
      </c>
      <c r="G181" t="s">
        <v>3799</v>
      </c>
    </row>
    <row r="182" spans="1:7" ht="11.25" customHeight="1">
      <c r="A182" t="s">
        <v>14</v>
      </c>
      <c r="B182" t="s">
        <v>120</v>
      </c>
      <c r="C182" t="s">
        <v>121</v>
      </c>
      <c r="D182" t="s">
        <v>120</v>
      </c>
      <c r="E182" t="s">
        <v>121</v>
      </c>
      <c r="F182" t="s">
        <v>3351</v>
      </c>
      <c r="G182" t="s">
        <v>119</v>
      </c>
    </row>
    <row r="183" spans="1:7" ht="11.25" customHeight="1">
      <c r="A183" t="s">
        <v>14</v>
      </c>
      <c r="B183" t="s">
        <v>3800</v>
      </c>
      <c r="C183" t="s">
        <v>3801</v>
      </c>
      <c r="D183" t="s">
        <v>3802</v>
      </c>
      <c r="E183" t="s">
        <v>3803</v>
      </c>
      <c r="F183" t="s">
        <v>3357</v>
      </c>
      <c r="G183" t="s">
        <v>3804</v>
      </c>
    </row>
    <row r="184" spans="1:7" ht="11.25" customHeight="1">
      <c r="A184" t="s">
        <v>14</v>
      </c>
      <c r="B184" t="s">
        <v>3800</v>
      </c>
      <c r="C184" t="s">
        <v>3801</v>
      </c>
      <c r="D184" t="s">
        <v>3800</v>
      </c>
      <c r="E184" t="s">
        <v>3801</v>
      </c>
      <c r="F184" t="s">
        <v>3354</v>
      </c>
      <c r="G184" t="s">
        <v>3805</v>
      </c>
    </row>
    <row r="185" spans="1:7" ht="11.25" customHeight="1">
      <c r="A185" t="s">
        <v>14</v>
      </c>
      <c r="B185" t="s">
        <v>3800</v>
      </c>
      <c r="C185" t="s">
        <v>3801</v>
      </c>
      <c r="D185" t="s">
        <v>3806</v>
      </c>
      <c r="E185" t="s">
        <v>3807</v>
      </c>
      <c r="F185" t="s">
        <v>3357</v>
      </c>
      <c r="G185" t="s">
        <v>3808</v>
      </c>
    </row>
    <row r="186" spans="1:7" ht="11.25" customHeight="1">
      <c r="A186" t="s">
        <v>14</v>
      </c>
      <c r="B186" t="s">
        <v>3800</v>
      </c>
      <c r="C186" t="s">
        <v>3801</v>
      </c>
      <c r="D186" t="s">
        <v>3809</v>
      </c>
      <c r="E186" t="s">
        <v>3810</v>
      </c>
      <c r="F186" t="s">
        <v>3357</v>
      </c>
      <c r="G186" t="s">
        <v>3811</v>
      </c>
    </row>
    <row r="187" spans="1:7" ht="11.25" customHeight="1">
      <c r="A187" t="s">
        <v>14</v>
      </c>
      <c r="B187" t="s">
        <v>3800</v>
      </c>
      <c r="C187" t="s">
        <v>3801</v>
      </c>
      <c r="D187" t="s">
        <v>3812</v>
      </c>
      <c r="E187" t="s">
        <v>3813</v>
      </c>
      <c r="F187" t="s">
        <v>3357</v>
      </c>
      <c r="G187" t="s">
        <v>3814</v>
      </c>
    </row>
    <row r="188" spans="1:7" ht="11.25" customHeight="1">
      <c r="A188" t="s">
        <v>14</v>
      </c>
      <c r="B188" t="s">
        <v>3800</v>
      </c>
      <c r="C188" t="s">
        <v>3801</v>
      </c>
      <c r="D188" t="s">
        <v>3815</v>
      </c>
      <c r="E188" t="s">
        <v>3816</v>
      </c>
      <c r="F188" t="s">
        <v>3357</v>
      </c>
      <c r="G188" t="s">
        <v>3817</v>
      </c>
    </row>
    <row r="189" spans="1:7" ht="11.25" customHeight="1">
      <c r="A189" t="s">
        <v>14</v>
      </c>
      <c r="B189" t="s">
        <v>3800</v>
      </c>
      <c r="C189" t="s">
        <v>3801</v>
      </c>
      <c r="D189" t="s">
        <v>3818</v>
      </c>
      <c r="E189" t="s">
        <v>3819</v>
      </c>
      <c r="F189" t="s">
        <v>3357</v>
      </c>
      <c r="G189" t="s">
        <v>3820</v>
      </c>
    </row>
    <row r="190" spans="1:7" ht="11.25" customHeight="1">
      <c r="A190" t="s">
        <v>14</v>
      </c>
      <c r="B190" t="s">
        <v>3800</v>
      </c>
      <c r="C190" t="s">
        <v>3801</v>
      </c>
      <c r="D190" t="s">
        <v>3821</v>
      </c>
      <c r="E190" t="s">
        <v>3822</v>
      </c>
      <c r="F190" t="s">
        <v>3357</v>
      </c>
      <c r="G190" t="s">
        <v>3823</v>
      </c>
    </row>
    <row r="191" spans="1:7" ht="11.25" customHeight="1">
      <c r="A191" t="s">
        <v>14</v>
      </c>
      <c r="B191" t="s">
        <v>3800</v>
      </c>
      <c r="C191" t="s">
        <v>3801</v>
      </c>
      <c r="D191" t="s">
        <v>3824</v>
      </c>
      <c r="E191" t="s">
        <v>3825</v>
      </c>
      <c r="F191" t="s">
        <v>3357</v>
      </c>
      <c r="G191" t="s">
        <v>3826</v>
      </c>
    </row>
    <row r="192" spans="1:7" ht="11.25" customHeight="1">
      <c r="A192" t="s">
        <v>14</v>
      </c>
      <c r="B192" t="s">
        <v>3800</v>
      </c>
      <c r="C192" t="s">
        <v>3801</v>
      </c>
      <c r="D192" t="s">
        <v>3827</v>
      </c>
      <c r="E192" t="s">
        <v>3828</v>
      </c>
      <c r="F192" t="s">
        <v>3357</v>
      </c>
      <c r="G192" t="s">
        <v>3829</v>
      </c>
    </row>
    <row r="193" spans="1:7" ht="11.25" customHeight="1">
      <c r="A193" t="s">
        <v>14</v>
      </c>
      <c r="B193" t="s">
        <v>3800</v>
      </c>
      <c r="C193" t="s">
        <v>3801</v>
      </c>
      <c r="D193" t="s">
        <v>3830</v>
      </c>
      <c r="E193" t="s">
        <v>3831</v>
      </c>
      <c r="F193" t="s">
        <v>3357</v>
      </c>
      <c r="G193" t="s">
        <v>3832</v>
      </c>
    </row>
    <row r="194" spans="1:7" ht="11.25" customHeight="1">
      <c r="A194" t="s">
        <v>14</v>
      </c>
      <c r="B194" t="s">
        <v>3800</v>
      </c>
      <c r="C194" t="s">
        <v>3801</v>
      </c>
      <c r="D194" t="s">
        <v>3833</v>
      </c>
      <c r="E194" t="s">
        <v>3834</v>
      </c>
      <c r="F194" t="s">
        <v>3357</v>
      </c>
      <c r="G194" t="s">
        <v>3835</v>
      </c>
    </row>
    <row r="195" spans="1:7" ht="11.25" customHeight="1">
      <c r="A195" t="s">
        <v>14</v>
      </c>
      <c r="B195" t="s">
        <v>124</v>
      </c>
      <c r="C195" t="s">
        <v>125</v>
      </c>
      <c r="D195" t="s">
        <v>124</v>
      </c>
      <c r="E195" t="s">
        <v>125</v>
      </c>
      <c r="F195" t="s">
        <v>3351</v>
      </c>
      <c r="G195" t="s">
        <v>123</v>
      </c>
    </row>
    <row r="196" spans="1:7" ht="11.25" customHeight="1">
      <c r="A196" t="s">
        <v>14</v>
      </c>
      <c r="B196" t="s">
        <v>3836</v>
      </c>
      <c r="C196" t="s">
        <v>3837</v>
      </c>
      <c r="D196" t="s">
        <v>3838</v>
      </c>
      <c r="E196" t="s">
        <v>3839</v>
      </c>
      <c r="F196" t="s">
        <v>3357</v>
      </c>
      <c r="G196" t="s">
        <v>3840</v>
      </c>
    </row>
    <row r="197" spans="1:7" ht="11.25" customHeight="1">
      <c r="A197" t="s">
        <v>14</v>
      </c>
      <c r="B197" t="s">
        <v>3836</v>
      </c>
      <c r="C197" t="s">
        <v>3837</v>
      </c>
      <c r="D197" t="s">
        <v>3841</v>
      </c>
      <c r="E197" t="s">
        <v>3842</v>
      </c>
      <c r="F197" t="s">
        <v>3357</v>
      </c>
      <c r="G197" t="s">
        <v>3843</v>
      </c>
    </row>
    <row r="198" spans="1:7" ht="11.25" customHeight="1">
      <c r="A198" t="s">
        <v>14</v>
      </c>
      <c r="B198" t="s">
        <v>3836</v>
      </c>
      <c r="C198" t="s">
        <v>3837</v>
      </c>
      <c r="D198" t="s">
        <v>3844</v>
      </c>
      <c r="E198" t="s">
        <v>3845</v>
      </c>
      <c r="F198" t="s">
        <v>3357</v>
      </c>
      <c r="G198" t="s">
        <v>3846</v>
      </c>
    </row>
    <row r="199" spans="1:7" ht="11.25" customHeight="1">
      <c r="A199" t="s">
        <v>14</v>
      </c>
      <c r="B199" t="s">
        <v>3836</v>
      </c>
      <c r="C199" t="s">
        <v>3837</v>
      </c>
      <c r="D199" t="s">
        <v>3836</v>
      </c>
      <c r="E199" t="s">
        <v>3837</v>
      </c>
      <c r="F199" t="s">
        <v>3354</v>
      </c>
      <c r="G199" t="s">
        <v>3847</v>
      </c>
    </row>
    <row r="200" spans="1:7" ht="11.25" customHeight="1">
      <c r="A200" t="s">
        <v>14</v>
      </c>
      <c r="B200" t="s">
        <v>3836</v>
      </c>
      <c r="C200" t="s">
        <v>3837</v>
      </c>
      <c r="D200" t="s">
        <v>3848</v>
      </c>
      <c r="E200" t="s">
        <v>3849</v>
      </c>
      <c r="F200" t="s">
        <v>3357</v>
      </c>
      <c r="G200" t="s">
        <v>3850</v>
      </c>
    </row>
    <row r="201" spans="1:7" ht="11.25" customHeight="1">
      <c r="A201" t="s">
        <v>14</v>
      </c>
      <c r="B201" t="s">
        <v>3836</v>
      </c>
      <c r="C201" t="s">
        <v>3837</v>
      </c>
      <c r="D201" t="s">
        <v>3851</v>
      </c>
      <c r="E201" t="s">
        <v>3852</v>
      </c>
      <c r="F201" t="s">
        <v>3357</v>
      </c>
      <c r="G201" t="s">
        <v>3853</v>
      </c>
    </row>
    <row r="202" spans="1:7" ht="11.25" customHeight="1">
      <c r="A202" t="s">
        <v>14</v>
      </c>
      <c r="B202" t="s">
        <v>3836</v>
      </c>
      <c r="C202" t="s">
        <v>3837</v>
      </c>
      <c r="D202" t="s">
        <v>3854</v>
      </c>
      <c r="E202" t="s">
        <v>3855</v>
      </c>
      <c r="F202" t="s">
        <v>3357</v>
      </c>
      <c r="G202" t="s">
        <v>3856</v>
      </c>
    </row>
    <row r="203" spans="1:7" ht="11.25" customHeight="1">
      <c r="A203" t="s">
        <v>14</v>
      </c>
      <c r="B203" t="s">
        <v>3836</v>
      </c>
      <c r="C203" t="s">
        <v>3837</v>
      </c>
      <c r="D203" t="s">
        <v>3857</v>
      </c>
      <c r="E203" t="s">
        <v>3858</v>
      </c>
      <c r="F203" t="s">
        <v>3357</v>
      </c>
      <c r="G203" t="s">
        <v>3859</v>
      </c>
    </row>
    <row r="204" spans="1:7" ht="11.25" customHeight="1">
      <c r="A204" t="s">
        <v>14</v>
      </c>
      <c r="B204" t="s">
        <v>3836</v>
      </c>
      <c r="C204" t="s">
        <v>3837</v>
      </c>
      <c r="D204" t="s">
        <v>3860</v>
      </c>
      <c r="E204" t="s">
        <v>3861</v>
      </c>
      <c r="F204" t="s">
        <v>3357</v>
      </c>
      <c r="G204" t="s">
        <v>3862</v>
      </c>
    </row>
    <row r="205" spans="1:7" ht="11.25" customHeight="1">
      <c r="A205" t="s">
        <v>14</v>
      </c>
      <c r="B205" t="s">
        <v>3836</v>
      </c>
      <c r="C205" t="s">
        <v>3837</v>
      </c>
      <c r="D205" t="s">
        <v>3863</v>
      </c>
      <c r="E205" t="s">
        <v>3864</v>
      </c>
      <c r="F205" t="s">
        <v>3357</v>
      </c>
      <c r="G205" t="s">
        <v>3865</v>
      </c>
    </row>
    <row r="206" spans="1:7" ht="11.25" customHeight="1">
      <c r="A206" t="s">
        <v>14</v>
      </c>
      <c r="B206" t="s">
        <v>3836</v>
      </c>
      <c r="C206" t="s">
        <v>3837</v>
      </c>
      <c r="D206" t="s">
        <v>3866</v>
      </c>
      <c r="E206" t="s">
        <v>3867</v>
      </c>
      <c r="F206" t="s">
        <v>3357</v>
      </c>
      <c r="G206" t="s">
        <v>3868</v>
      </c>
    </row>
    <row r="207" spans="1:7" ht="11.25" customHeight="1">
      <c r="A207" t="s">
        <v>14</v>
      </c>
      <c r="B207" t="s">
        <v>3836</v>
      </c>
      <c r="C207" t="s">
        <v>3837</v>
      </c>
      <c r="D207" t="s">
        <v>3869</v>
      </c>
      <c r="E207" t="s">
        <v>3870</v>
      </c>
      <c r="F207" t="s">
        <v>3357</v>
      </c>
      <c r="G207" t="s">
        <v>3871</v>
      </c>
    </row>
    <row r="208" spans="1:7" ht="11.25" customHeight="1">
      <c r="A208" t="s">
        <v>14</v>
      </c>
      <c r="B208" t="s">
        <v>3836</v>
      </c>
      <c r="C208" t="s">
        <v>3837</v>
      </c>
      <c r="D208" t="s">
        <v>3872</v>
      </c>
      <c r="E208" t="s">
        <v>3873</v>
      </c>
      <c r="F208" t="s">
        <v>3357</v>
      </c>
      <c r="G208" t="s">
        <v>3874</v>
      </c>
    </row>
    <row r="209" spans="1:7" ht="11.25" customHeight="1">
      <c r="A209" t="s">
        <v>14</v>
      </c>
      <c r="B209" t="s">
        <v>193</v>
      </c>
      <c r="C209" t="s">
        <v>194</v>
      </c>
      <c r="D209" t="s">
        <v>193</v>
      </c>
      <c r="E209" t="s">
        <v>194</v>
      </c>
      <c r="F209" t="s">
        <v>3351</v>
      </c>
      <c r="G209" t="s">
        <v>192</v>
      </c>
    </row>
    <row r="210" spans="1:7" ht="11.25" customHeight="1">
      <c r="A210" t="s">
        <v>14</v>
      </c>
      <c r="B210" t="s">
        <v>3875</v>
      </c>
      <c r="C210" t="s">
        <v>3876</v>
      </c>
      <c r="D210" t="s">
        <v>3877</v>
      </c>
      <c r="E210" t="s">
        <v>3878</v>
      </c>
      <c r="F210" t="s">
        <v>3357</v>
      </c>
      <c r="G210" t="s">
        <v>3879</v>
      </c>
    </row>
    <row r="211" spans="1:7" ht="11.25" customHeight="1">
      <c r="A211" t="s">
        <v>14</v>
      </c>
      <c r="B211" t="s">
        <v>3875</v>
      </c>
      <c r="C211" t="s">
        <v>3876</v>
      </c>
      <c r="D211" t="s">
        <v>3880</v>
      </c>
      <c r="E211" t="s">
        <v>3881</v>
      </c>
      <c r="F211" t="s">
        <v>3357</v>
      </c>
      <c r="G211" t="s">
        <v>3882</v>
      </c>
    </row>
    <row r="212" spans="1:7" ht="11.25" customHeight="1">
      <c r="A212" t="s">
        <v>14</v>
      </c>
      <c r="B212" t="s">
        <v>3875</v>
      </c>
      <c r="C212" t="s">
        <v>3876</v>
      </c>
      <c r="D212" t="s">
        <v>3883</v>
      </c>
      <c r="E212" t="s">
        <v>3884</v>
      </c>
      <c r="F212" t="s">
        <v>3357</v>
      </c>
      <c r="G212" t="s">
        <v>3885</v>
      </c>
    </row>
    <row r="213" spans="1:7" ht="11.25" customHeight="1">
      <c r="A213" t="s">
        <v>14</v>
      </c>
      <c r="B213" t="s">
        <v>3875</v>
      </c>
      <c r="C213" t="s">
        <v>3876</v>
      </c>
      <c r="D213" t="s">
        <v>3886</v>
      </c>
      <c r="E213" t="s">
        <v>3887</v>
      </c>
      <c r="F213" t="s">
        <v>3357</v>
      </c>
      <c r="G213" t="s">
        <v>3888</v>
      </c>
    </row>
    <row r="214" spans="1:7" ht="11.25" customHeight="1">
      <c r="A214" t="s">
        <v>14</v>
      </c>
      <c r="B214" t="s">
        <v>3875</v>
      </c>
      <c r="C214" t="s">
        <v>3876</v>
      </c>
      <c r="D214" t="s">
        <v>3875</v>
      </c>
      <c r="E214" t="s">
        <v>3876</v>
      </c>
      <c r="F214" t="s">
        <v>3354</v>
      </c>
      <c r="G214" t="s">
        <v>3889</v>
      </c>
    </row>
    <row r="215" spans="1:7" ht="11.25" customHeight="1">
      <c r="A215" t="s">
        <v>14</v>
      </c>
      <c r="B215" t="s">
        <v>3875</v>
      </c>
      <c r="C215" t="s">
        <v>3876</v>
      </c>
      <c r="D215" t="s">
        <v>3890</v>
      </c>
      <c r="E215" t="s">
        <v>3891</v>
      </c>
      <c r="F215" t="s">
        <v>3357</v>
      </c>
      <c r="G215" t="s">
        <v>3892</v>
      </c>
    </row>
    <row r="216" spans="1:7" ht="11.25" customHeight="1">
      <c r="A216" t="s">
        <v>14</v>
      </c>
      <c r="B216" t="s">
        <v>3875</v>
      </c>
      <c r="C216" t="s">
        <v>3876</v>
      </c>
      <c r="D216" t="s">
        <v>3893</v>
      </c>
      <c r="E216" t="s">
        <v>3894</v>
      </c>
      <c r="F216" t="s">
        <v>3357</v>
      </c>
      <c r="G216" t="s">
        <v>3895</v>
      </c>
    </row>
    <row r="217" spans="1:7" ht="11.25" customHeight="1">
      <c r="A217" t="s">
        <v>14</v>
      </c>
      <c r="B217" t="s">
        <v>3875</v>
      </c>
      <c r="C217" t="s">
        <v>3876</v>
      </c>
      <c r="D217" t="s">
        <v>3896</v>
      </c>
      <c r="E217" t="s">
        <v>3897</v>
      </c>
      <c r="F217" t="s">
        <v>3357</v>
      </c>
      <c r="G217" t="s">
        <v>3898</v>
      </c>
    </row>
    <row r="218" spans="1:7" ht="11.25" customHeight="1">
      <c r="A218" t="s">
        <v>14</v>
      </c>
      <c r="B218" t="s">
        <v>3875</v>
      </c>
      <c r="C218" t="s">
        <v>3876</v>
      </c>
      <c r="D218" t="s">
        <v>3899</v>
      </c>
      <c r="E218" t="s">
        <v>3900</v>
      </c>
      <c r="F218" t="s">
        <v>3357</v>
      </c>
      <c r="G218" t="s">
        <v>3901</v>
      </c>
    </row>
    <row r="219" spans="1:7" ht="11.25" customHeight="1">
      <c r="A219" t="s">
        <v>14</v>
      </c>
      <c r="B219" t="s">
        <v>3875</v>
      </c>
      <c r="C219" t="s">
        <v>3876</v>
      </c>
      <c r="D219" t="s">
        <v>3902</v>
      </c>
      <c r="E219" t="s">
        <v>3903</v>
      </c>
      <c r="F219" t="s">
        <v>3357</v>
      </c>
      <c r="G219" t="s">
        <v>3904</v>
      </c>
    </row>
    <row r="220" spans="1:7" ht="11.25" customHeight="1">
      <c r="A220" t="s">
        <v>14</v>
      </c>
      <c r="B220" t="s">
        <v>3875</v>
      </c>
      <c r="C220" t="s">
        <v>3876</v>
      </c>
      <c r="D220" t="s">
        <v>3905</v>
      </c>
      <c r="E220" t="s">
        <v>3906</v>
      </c>
      <c r="F220" t="s">
        <v>3357</v>
      </c>
      <c r="G220" t="s">
        <v>3907</v>
      </c>
    </row>
    <row r="221" spans="1:7" ht="11.25" customHeight="1">
      <c r="A221" t="s">
        <v>14</v>
      </c>
      <c r="B221" t="s">
        <v>3875</v>
      </c>
      <c r="C221" t="s">
        <v>3876</v>
      </c>
      <c r="D221" t="s">
        <v>3908</v>
      </c>
      <c r="E221" t="s">
        <v>3909</v>
      </c>
      <c r="F221" t="s">
        <v>3357</v>
      </c>
      <c r="G221" t="s">
        <v>3910</v>
      </c>
    </row>
    <row r="222" spans="1:7" ht="11.25" customHeight="1">
      <c r="A222" t="s">
        <v>14</v>
      </c>
      <c r="B222" t="s">
        <v>3911</v>
      </c>
      <c r="C222" t="s">
        <v>3912</v>
      </c>
      <c r="D222" t="s">
        <v>3911</v>
      </c>
      <c r="E222" t="s">
        <v>3912</v>
      </c>
      <c r="F222" t="s">
        <v>3440</v>
      </c>
      <c r="G222" t="s">
        <v>3913</v>
      </c>
    </row>
    <row r="223" spans="1:7" ht="11.25" customHeight="1">
      <c r="A223" t="s">
        <v>14</v>
      </c>
      <c r="B223" t="s">
        <v>3914</v>
      </c>
      <c r="C223" t="s">
        <v>3915</v>
      </c>
      <c r="D223" t="s">
        <v>3914</v>
      </c>
      <c r="E223" t="s">
        <v>3915</v>
      </c>
      <c r="F223" t="s">
        <v>3351</v>
      </c>
      <c r="G223" t="s">
        <v>3916</v>
      </c>
    </row>
    <row r="224" spans="1:7" ht="11.25" customHeight="1">
      <c r="A224" t="s">
        <v>14</v>
      </c>
      <c r="B224" t="s">
        <v>3917</v>
      </c>
      <c r="C224" t="s">
        <v>3918</v>
      </c>
      <c r="D224" t="s">
        <v>3919</v>
      </c>
      <c r="E224" t="s">
        <v>3920</v>
      </c>
      <c r="F224" t="s">
        <v>3453</v>
      </c>
      <c r="G224" t="s">
        <v>3921</v>
      </c>
    </row>
    <row r="225" spans="1:7" ht="11.25" customHeight="1">
      <c r="A225" t="s">
        <v>14</v>
      </c>
      <c r="B225" t="s">
        <v>3917</v>
      </c>
      <c r="C225" t="s">
        <v>3918</v>
      </c>
      <c r="D225" t="s">
        <v>3922</v>
      </c>
      <c r="E225" t="s">
        <v>3923</v>
      </c>
      <c r="F225" t="s">
        <v>3357</v>
      </c>
      <c r="G225" t="s">
        <v>3924</v>
      </c>
    </row>
    <row r="226" spans="1:7" ht="11.25" customHeight="1">
      <c r="A226" t="s">
        <v>14</v>
      </c>
      <c r="B226" t="s">
        <v>3917</v>
      </c>
      <c r="C226" t="s">
        <v>3918</v>
      </c>
      <c r="D226" t="s">
        <v>3925</v>
      </c>
      <c r="E226" t="s">
        <v>3926</v>
      </c>
      <c r="F226" t="s">
        <v>3357</v>
      </c>
      <c r="G226" t="s">
        <v>3927</v>
      </c>
    </row>
    <row r="227" spans="1:7" ht="11.25" customHeight="1">
      <c r="A227" t="s">
        <v>14</v>
      </c>
      <c r="B227" t="s">
        <v>3917</v>
      </c>
      <c r="C227" t="s">
        <v>3918</v>
      </c>
      <c r="D227" t="s">
        <v>3928</v>
      </c>
      <c r="E227" t="s">
        <v>3929</v>
      </c>
      <c r="F227" t="s">
        <v>3357</v>
      </c>
      <c r="G227" t="s">
        <v>3930</v>
      </c>
    </row>
    <row r="228" spans="1:7" ht="11.25" customHeight="1">
      <c r="A228" t="s">
        <v>14</v>
      </c>
      <c r="B228" t="s">
        <v>3917</v>
      </c>
      <c r="C228" t="s">
        <v>3918</v>
      </c>
      <c r="D228" t="s">
        <v>3931</v>
      </c>
      <c r="E228" t="s">
        <v>3932</v>
      </c>
      <c r="F228" t="s">
        <v>3357</v>
      </c>
      <c r="G228" t="s">
        <v>3933</v>
      </c>
    </row>
    <row r="229" spans="1:7" ht="11.25" customHeight="1">
      <c r="A229" t="s">
        <v>14</v>
      </c>
      <c r="B229" t="s">
        <v>3917</v>
      </c>
      <c r="C229" t="s">
        <v>3918</v>
      </c>
      <c r="D229" t="s">
        <v>3917</v>
      </c>
      <c r="E229" t="s">
        <v>3918</v>
      </c>
      <c r="F229" t="s">
        <v>3354</v>
      </c>
      <c r="G229" t="s">
        <v>3934</v>
      </c>
    </row>
    <row r="230" spans="1:7" ht="11.25" customHeight="1">
      <c r="A230" t="s">
        <v>14</v>
      </c>
      <c r="B230" t="s">
        <v>3917</v>
      </c>
      <c r="C230" t="s">
        <v>3918</v>
      </c>
      <c r="D230" t="s">
        <v>3935</v>
      </c>
      <c r="E230" t="s">
        <v>3936</v>
      </c>
      <c r="F230" t="s">
        <v>3357</v>
      </c>
      <c r="G230" t="s">
        <v>3937</v>
      </c>
    </row>
    <row r="231" spans="1:7" ht="11.25" customHeight="1">
      <c r="A231" t="s">
        <v>14</v>
      </c>
      <c r="B231" t="s">
        <v>3917</v>
      </c>
      <c r="C231" t="s">
        <v>3918</v>
      </c>
      <c r="D231" t="s">
        <v>3699</v>
      </c>
      <c r="E231" t="s">
        <v>3938</v>
      </c>
      <c r="F231" t="s">
        <v>3357</v>
      </c>
      <c r="G231" t="s">
        <v>3939</v>
      </c>
    </row>
    <row r="232" spans="1:7" ht="11.25" customHeight="1">
      <c r="A232" t="s">
        <v>14</v>
      </c>
      <c r="B232" t="s">
        <v>3917</v>
      </c>
      <c r="C232" t="s">
        <v>3918</v>
      </c>
      <c r="D232" t="s">
        <v>3940</v>
      </c>
      <c r="E232" t="s">
        <v>3941</v>
      </c>
      <c r="F232" t="s">
        <v>3357</v>
      </c>
      <c r="G232" t="s">
        <v>3942</v>
      </c>
    </row>
    <row r="233" spans="1:7" ht="11.25" customHeight="1">
      <c r="A233" t="s">
        <v>14</v>
      </c>
      <c r="B233" t="s">
        <v>3917</v>
      </c>
      <c r="C233" t="s">
        <v>3918</v>
      </c>
      <c r="D233" t="s">
        <v>3943</v>
      </c>
      <c r="E233" t="s">
        <v>3944</v>
      </c>
      <c r="F233" t="s">
        <v>3357</v>
      </c>
      <c r="G233" t="s">
        <v>3945</v>
      </c>
    </row>
    <row r="234" spans="1:7" ht="11.25" customHeight="1">
      <c r="A234" t="s">
        <v>14</v>
      </c>
      <c r="B234" t="s">
        <v>3917</v>
      </c>
      <c r="C234" t="s">
        <v>3918</v>
      </c>
      <c r="D234" t="s">
        <v>3946</v>
      </c>
      <c r="E234" t="s">
        <v>3947</v>
      </c>
      <c r="F234" t="s">
        <v>3634</v>
      </c>
      <c r="G234" t="s">
        <v>3948</v>
      </c>
    </row>
    <row r="235" spans="1:7" ht="11.25" customHeight="1">
      <c r="A235" t="s">
        <v>14</v>
      </c>
      <c r="B235" t="s">
        <v>3917</v>
      </c>
      <c r="C235" t="s">
        <v>3918</v>
      </c>
      <c r="D235" t="s">
        <v>3949</v>
      </c>
      <c r="E235" t="s">
        <v>3950</v>
      </c>
      <c r="F235" t="s">
        <v>3357</v>
      </c>
      <c r="G235" t="s">
        <v>3951</v>
      </c>
    </row>
    <row r="236" spans="1:7" ht="11.25" customHeight="1">
      <c r="A236" t="s">
        <v>14</v>
      </c>
      <c r="B236" t="s">
        <v>3917</v>
      </c>
      <c r="C236" t="s">
        <v>3918</v>
      </c>
      <c r="D236" t="s">
        <v>3952</v>
      </c>
      <c r="E236" t="s">
        <v>3953</v>
      </c>
      <c r="F236" t="s">
        <v>3357</v>
      </c>
      <c r="G236" t="s">
        <v>3954</v>
      </c>
    </row>
    <row r="237" spans="1:7" ht="11.25" customHeight="1">
      <c r="A237" t="s">
        <v>14</v>
      </c>
      <c r="B237" t="s">
        <v>3917</v>
      </c>
      <c r="C237" t="s">
        <v>3918</v>
      </c>
      <c r="D237" t="s">
        <v>3955</v>
      </c>
      <c r="E237" t="s">
        <v>3956</v>
      </c>
      <c r="F237" t="s">
        <v>3357</v>
      </c>
      <c r="G237" t="s">
        <v>3957</v>
      </c>
    </row>
    <row r="238" spans="1:7" ht="11.25" customHeight="1">
      <c r="A238" t="s">
        <v>14</v>
      </c>
      <c r="B238" t="s">
        <v>3917</v>
      </c>
      <c r="C238" t="s">
        <v>3918</v>
      </c>
      <c r="D238" t="s">
        <v>3958</v>
      </c>
      <c r="E238" t="s">
        <v>3959</v>
      </c>
      <c r="F238" t="s">
        <v>3357</v>
      </c>
      <c r="G238" t="s">
        <v>3960</v>
      </c>
    </row>
    <row r="239" spans="1:7" ht="11.25" customHeight="1">
      <c r="A239" t="s">
        <v>14</v>
      </c>
      <c r="B239" t="s">
        <v>3917</v>
      </c>
      <c r="C239" t="s">
        <v>3918</v>
      </c>
      <c r="D239" t="s">
        <v>3551</v>
      </c>
      <c r="E239" t="s">
        <v>3961</v>
      </c>
      <c r="F239" t="s">
        <v>3357</v>
      </c>
      <c r="G239" t="s">
        <v>3962</v>
      </c>
    </row>
    <row r="240" spans="1:7" ht="11.25" customHeight="1">
      <c r="A240" t="s">
        <v>14</v>
      </c>
      <c r="B240" t="s">
        <v>178</v>
      </c>
      <c r="C240" t="s">
        <v>179</v>
      </c>
      <c r="D240" t="s">
        <v>178</v>
      </c>
      <c r="E240" t="s">
        <v>179</v>
      </c>
      <c r="F240" t="s">
        <v>3440</v>
      </c>
      <c r="G240" t="s">
        <v>177</v>
      </c>
    </row>
    <row r="241" spans="1:7" ht="11.25" customHeight="1">
      <c r="A241" t="s">
        <v>14</v>
      </c>
      <c r="B241" t="s">
        <v>3963</v>
      </c>
      <c r="C241" t="s">
        <v>3964</v>
      </c>
      <c r="D241" t="s">
        <v>3963</v>
      </c>
      <c r="E241" t="s">
        <v>3964</v>
      </c>
      <c r="F241" t="s">
        <v>3351</v>
      </c>
      <c r="G241" t="s">
        <v>3965</v>
      </c>
    </row>
    <row r="242" spans="1:7" ht="11.25" customHeight="1">
      <c r="A242" t="s">
        <v>14</v>
      </c>
      <c r="B242" t="s">
        <v>3966</v>
      </c>
      <c r="C242" t="s">
        <v>3967</v>
      </c>
      <c r="D242" t="s">
        <v>3968</v>
      </c>
      <c r="E242" t="s">
        <v>3969</v>
      </c>
      <c r="F242" t="s">
        <v>3453</v>
      </c>
      <c r="G242" t="s">
        <v>3970</v>
      </c>
    </row>
    <row r="243" spans="1:7" ht="11.25" customHeight="1">
      <c r="A243" t="s">
        <v>14</v>
      </c>
      <c r="B243" t="s">
        <v>3966</v>
      </c>
      <c r="C243" t="s">
        <v>3967</v>
      </c>
      <c r="D243" t="s">
        <v>3971</v>
      </c>
      <c r="E243" t="s">
        <v>3972</v>
      </c>
      <c r="F243" t="s">
        <v>3357</v>
      </c>
      <c r="G243" t="s">
        <v>3973</v>
      </c>
    </row>
    <row r="244" spans="1:7" ht="11.25" customHeight="1">
      <c r="A244" t="s">
        <v>14</v>
      </c>
      <c r="B244" t="s">
        <v>3966</v>
      </c>
      <c r="C244" t="s">
        <v>3967</v>
      </c>
      <c r="D244" t="s">
        <v>3974</v>
      </c>
      <c r="E244" t="s">
        <v>3975</v>
      </c>
      <c r="F244" t="s">
        <v>3357</v>
      </c>
      <c r="G244" t="s">
        <v>3976</v>
      </c>
    </row>
    <row r="245" spans="1:7" ht="11.25" customHeight="1">
      <c r="A245" t="s">
        <v>14</v>
      </c>
      <c r="B245" t="s">
        <v>3966</v>
      </c>
      <c r="C245" t="s">
        <v>3967</v>
      </c>
      <c r="D245" t="s">
        <v>3977</v>
      </c>
      <c r="E245" t="s">
        <v>3978</v>
      </c>
      <c r="F245" t="s">
        <v>3357</v>
      </c>
      <c r="G245" t="s">
        <v>3979</v>
      </c>
    </row>
    <row r="246" spans="1:7" ht="11.25" customHeight="1">
      <c r="A246" t="s">
        <v>14</v>
      </c>
      <c r="B246" t="s">
        <v>3966</v>
      </c>
      <c r="C246" t="s">
        <v>3967</v>
      </c>
      <c r="D246" t="s">
        <v>3980</v>
      </c>
      <c r="E246" t="s">
        <v>3981</v>
      </c>
      <c r="F246" t="s">
        <v>3357</v>
      </c>
      <c r="G246" t="s">
        <v>3982</v>
      </c>
    </row>
    <row r="247" spans="1:7" ht="11.25" customHeight="1">
      <c r="A247" t="s">
        <v>14</v>
      </c>
      <c r="B247" t="s">
        <v>3966</v>
      </c>
      <c r="C247" t="s">
        <v>3967</v>
      </c>
      <c r="D247" t="s">
        <v>3983</v>
      </c>
      <c r="E247" t="s">
        <v>3984</v>
      </c>
      <c r="F247" t="s">
        <v>3357</v>
      </c>
      <c r="G247" t="s">
        <v>3985</v>
      </c>
    </row>
    <row r="248" spans="1:7" ht="11.25" customHeight="1">
      <c r="A248" t="s">
        <v>14</v>
      </c>
      <c r="B248" t="s">
        <v>3966</v>
      </c>
      <c r="C248" t="s">
        <v>3967</v>
      </c>
      <c r="D248" t="s">
        <v>3986</v>
      </c>
      <c r="E248" t="s">
        <v>3987</v>
      </c>
      <c r="F248" t="s">
        <v>3357</v>
      </c>
      <c r="G248" t="s">
        <v>3988</v>
      </c>
    </row>
    <row r="249" spans="1:7" ht="11.25" customHeight="1">
      <c r="A249" t="s">
        <v>14</v>
      </c>
      <c r="B249" t="s">
        <v>3966</v>
      </c>
      <c r="C249" t="s">
        <v>3967</v>
      </c>
      <c r="D249" t="s">
        <v>3966</v>
      </c>
      <c r="E249" t="s">
        <v>3967</v>
      </c>
      <c r="F249" t="s">
        <v>3354</v>
      </c>
      <c r="G249" t="s">
        <v>3989</v>
      </c>
    </row>
    <row r="250" spans="1:7" ht="11.25" customHeight="1">
      <c r="A250" t="s">
        <v>14</v>
      </c>
      <c r="B250" t="s">
        <v>3966</v>
      </c>
      <c r="C250" t="s">
        <v>3967</v>
      </c>
      <c r="D250" t="s">
        <v>3990</v>
      </c>
      <c r="E250" t="s">
        <v>3991</v>
      </c>
      <c r="F250" t="s">
        <v>3357</v>
      </c>
      <c r="G250" t="s">
        <v>3992</v>
      </c>
    </row>
    <row r="251" spans="1:7" ht="11.25" customHeight="1">
      <c r="A251" t="s">
        <v>14</v>
      </c>
      <c r="B251" t="s">
        <v>3966</v>
      </c>
      <c r="C251" t="s">
        <v>3967</v>
      </c>
      <c r="D251" t="s">
        <v>3993</v>
      </c>
      <c r="E251" t="s">
        <v>3994</v>
      </c>
      <c r="F251" t="s">
        <v>3357</v>
      </c>
      <c r="G251" t="s">
        <v>3995</v>
      </c>
    </row>
    <row r="252" spans="1:7" ht="11.25" customHeight="1">
      <c r="A252" t="s">
        <v>14</v>
      </c>
      <c r="B252" t="s">
        <v>3966</v>
      </c>
      <c r="C252" t="s">
        <v>3967</v>
      </c>
      <c r="D252" t="s">
        <v>3996</v>
      </c>
      <c r="E252" t="s">
        <v>3997</v>
      </c>
      <c r="F252" t="s">
        <v>3634</v>
      </c>
      <c r="G252" t="s">
        <v>3998</v>
      </c>
    </row>
    <row r="253" spans="1:7" ht="11.25" customHeight="1">
      <c r="A253" t="s">
        <v>14</v>
      </c>
      <c r="B253" t="s">
        <v>3966</v>
      </c>
      <c r="C253" t="s">
        <v>3967</v>
      </c>
      <c r="D253" t="s">
        <v>3999</v>
      </c>
      <c r="E253" t="s">
        <v>4000</v>
      </c>
      <c r="F253" t="s">
        <v>3357</v>
      </c>
      <c r="G253" t="s">
        <v>4001</v>
      </c>
    </row>
    <row r="254" spans="1:7" ht="11.25" customHeight="1">
      <c r="A254" t="s">
        <v>14</v>
      </c>
      <c r="B254" t="s">
        <v>3966</v>
      </c>
      <c r="C254" t="s">
        <v>3967</v>
      </c>
      <c r="D254" t="s">
        <v>4002</v>
      </c>
      <c r="E254" t="s">
        <v>4003</v>
      </c>
      <c r="F254" t="s">
        <v>3357</v>
      </c>
      <c r="G254" t="s">
        <v>4004</v>
      </c>
    </row>
    <row r="255" spans="1:7" ht="11.25" customHeight="1">
      <c r="A255" t="s">
        <v>14</v>
      </c>
      <c r="B255" t="s">
        <v>183</v>
      </c>
      <c r="C255" t="s">
        <v>184</v>
      </c>
      <c r="D255" t="s">
        <v>183</v>
      </c>
      <c r="E255" t="s">
        <v>184</v>
      </c>
      <c r="F255" t="s">
        <v>3440</v>
      </c>
      <c r="G255" t="s">
        <v>182</v>
      </c>
    </row>
    <row r="256" spans="1:7" ht="11.25" customHeight="1">
      <c r="A256" t="s">
        <v>14</v>
      </c>
      <c r="B256" t="s">
        <v>4005</v>
      </c>
      <c r="C256" t="s">
        <v>4006</v>
      </c>
      <c r="D256" t="s">
        <v>4005</v>
      </c>
      <c r="E256" t="s">
        <v>4006</v>
      </c>
      <c r="F256" t="s">
        <v>3351</v>
      </c>
      <c r="G256" t="s">
        <v>4007</v>
      </c>
    </row>
    <row r="257" spans="1:7" ht="11.25" customHeight="1">
      <c r="A257" t="s">
        <v>14</v>
      </c>
      <c r="B257" t="s">
        <v>4008</v>
      </c>
      <c r="C257" t="s">
        <v>4009</v>
      </c>
      <c r="D257" t="s">
        <v>4010</v>
      </c>
      <c r="E257" t="s">
        <v>4011</v>
      </c>
      <c r="F257" t="s">
        <v>3453</v>
      </c>
      <c r="G257" t="s">
        <v>4012</v>
      </c>
    </row>
    <row r="258" spans="1:7" ht="11.25" customHeight="1">
      <c r="A258" t="s">
        <v>14</v>
      </c>
      <c r="B258" t="s">
        <v>4008</v>
      </c>
      <c r="C258" t="s">
        <v>4009</v>
      </c>
      <c r="D258" t="s">
        <v>4013</v>
      </c>
      <c r="E258" t="s">
        <v>4014</v>
      </c>
      <c r="F258" t="s">
        <v>3357</v>
      </c>
      <c r="G258" t="s">
        <v>4015</v>
      </c>
    </row>
    <row r="259" spans="1:7" ht="11.25" customHeight="1">
      <c r="A259" t="s">
        <v>14</v>
      </c>
      <c r="B259" t="s">
        <v>4008</v>
      </c>
      <c r="C259" t="s">
        <v>4009</v>
      </c>
      <c r="D259" t="s">
        <v>4016</v>
      </c>
      <c r="E259" t="s">
        <v>4017</v>
      </c>
      <c r="F259" t="s">
        <v>3357</v>
      </c>
      <c r="G259" t="s">
        <v>4018</v>
      </c>
    </row>
    <row r="260" spans="1:7" ht="11.25" customHeight="1">
      <c r="A260" t="s">
        <v>14</v>
      </c>
      <c r="B260" t="s">
        <v>4008</v>
      </c>
      <c r="C260" t="s">
        <v>4009</v>
      </c>
      <c r="D260" t="s">
        <v>4019</v>
      </c>
      <c r="E260" t="s">
        <v>4020</v>
      </c>
      <c r="F260" t="s">
        <v>3357</v>
      </c>
      <c r="G260" t="s">
        <v>4021</v>
      </c>
    </row>
    <row r="261" spans="1:7" ht="11.25" customHeight="1">
      <c r="A261" t="s">
        <v>14</v>
      </c>
      <c r="B261" t="s">
        <v>4008</v>
      </c>
      <c r="C261" t="s">
        <v>4009</v>
      </c>
      <c r="D261" t="s">
        <v>4022</v>
      </c>
      <c r="E261" t="s">
        <v>4023</v>
      </c>
      <c r="F261" t="s">
        <v>3357</v>
      </c>
      <c r="G261" t="s">
        <v>4024</v>
      </c>
    </row>
    <row r="262" spans="1:7" ht="11.25" customHeight="1">
      <c r="A262" t="s">
        <v>14</v>
      </c>
      <c r="B262" t="s">
        <v>4008</v>
      </c>
      <c r="C262" t="s">
        <v>4009</v>
      </c>
      <c r="D262" t="s">
        <v>4008</v>
      </c>
      <c r="E262" t="s">
        <v>4009</v>
      </c>
      <c r="F262" t="s">
        <v>3354</v>
      </c>
      <c r="G262" t="s">
        <v>4025</v>
      </c>
    </row>
    <row r="263" spans="1:7" ht="11.25" customHeight="1">
      <c r="A263" t="s">
        <v>14</v>
      </c>
      <c r="B263" t="s">
        <v>4008</v>
      </c>
      <c r="C263" t="s">
        <v>4009</v>
      </c>
      <c r="D263" t="s">
        <v>4026</v>
      </c>
      <c r="E263" t="s">
        <v>4027</v>
      </c>
      <c r="F263" t="s">
        <v>3357</v>
      </c>
      <c r="G263" t="s">
        <v>4028</v>
      </c>
    </row>
    <row r="264" spans="1:7" ht="11.25" customHeight="1">
      <c r="A264" t="s">
        <v>14</v>
      </c>
      <c r="B264" t="s">
        <v>4008</v>
      </c>
      <c r="C264" t="s">
        <v>4009</v>
      </c>
      <c r="D264" t="s">
        <v>4029</v>
      </c>
      <c r="E264" t="s">
        <v>4030</v>
      </c>
      <c r="F264" t="s">
        <v>3357</v>
      </c>
      <c r="G264" t="s">
        <v>4031</v>
      </c>
    </row>
    <row r="265" spans="1:7" ht="11.25" customHeight="1">
      <c r="A265" t="s">
        <v>14</v>
      </c>
      <c r="B265" t="s">
        <v>4008</v>
      </c>
      <c r="C265" t="s">
        <v>4009</v>
      </c>
      <c r="D265" t="s">
        <v>4032</v>
      </c>
      <c r="E265" t="s">
        <v>4033</v>
      </c>
      <c r="F265" t="s">
        <v>3357</v>
      </c>
      <c r="G265" t="s">
        <v>4034</v>
      </c>
    </row>
    <row r="266" spans="1:7" ht="11.25" customHeight="1">
      <c r="A266" t="s">
        <v>14</v>
      </c>
      <c r="B266" t="s">
        <v>4008</v>
      </c>
      <c r="C266" t="s">
        <v>4009</v>
      </c>
      <c r="D266" t="s">
        <v>4035</v>
      </c>
      <c r="E266" t="s">
        <v>4036</v>
      </c>
      <c r="F266" t="s">
        <v>3357</v>
      </c>
      <c r="G266" t="s">
        <v>4037</v>
      </c>
    </row>
    <row r="267" spans="1:7" ht="11.25" customHeight="1">
      <c r="A267" t="s">
        <v>14</v>
      </c>
      <c r="B267" t="s">
        <v>4008</v>
      </c>
      <c r="C267" t="s">
        <v>4009</v>
      </c>
      <c r="D267" t="s">
        <v>4038</v>
      </c>
      <c r="E267" t="s">
        <v>4039</v>
      </c>
      <c r="F267" t="s">
        <v>3357</v>
      </c>
      <c r="G267" t="s">
        <v>4040</v>
      </c>
    </row>
    <row r="268" spans="1:7" ht="11.25" customHeight="1">
      <c r="A268" t="s">
        <v>14</v>
      </c>
      <c r="B268" t="s">
        <v>4008</v>
      </c>
      <c r="C268" t="s">
        <v>4009</v>
      </c>
      <c r="D268" t="s">
        <v>4041</v>
      </c>
      <c r="E268" t="s">
        <v>4042</v>
      </c>
      <c r="F268" t="s">
        <v>3357</v>
      </c>
      <c r="G268" t="s">
        <v>4043</v>
      </c>
    </row>
    <row r="269" spans="1:7" ht="11.25" customHeight="1">
      <c r="A269" t="s">
        <v>14</v>
      </c>
      <c r="B269" t="s">
        <v>4008</v>
      </c>
      <c r="C269" t="s">
        <v>4009</v>
      </c>
      <c r="D269" t="s">
        <v>4044</v>
      </c>
      <c r="E269" t="s">
        <v>4045</v>
      </c>
      <c r="F269" t="s">
        <v>3357</v>
      </c>
      <c r="G269" t="s">
        <v>4046</v>
      </c>
    </row>
    <row r="270" spans="1:7" ht="11.25" customHeight="1">
      <c r="A270" t="s">
        <v>14</v>
      </c>
      <c r="B270" t="s">
        <v>129</v>
      </c>
      <c r="C270" t="s">
        <v>130</v>
      </c>
      <c r="D270" t="s">
        <v>129</v>
      </c>
      <c r="E270" t="s">
        <v>130</v>
      </c>
      <c r="F270" t="s">
        <v>3351</v>
      </c>
      <c r="G270" t="s">
        <v>128</v>
      </c>
    </row>
    <row r="271" spans="1:7" ht="11.25" customHeight="1">
      <c r="A271" t="s">
        <v>14</v>
      </c>
      <c r="B271" t="s">
        <v>4047</v>
      </c>
      <c r="C271" t="s">
        <v>4048</v>
      </c>
      <c r="D271" t="s">
        <v>4049</v>
      </c>
      <c r="E271" t="s">
        <v>4050</v>
      </c>
      <c r="F271" t="s">
        <v>3357</v>
      </c>
      <c r="G271" t="s">
        <v>4051</v>
      </c>
    </row>
    <row r="272" spans="1:7" ht="11.25" customHeight="1">
      <c r="A272" t="s">
        <v>14</v>
      </c>
      <c r="B272" t="s">
        <v>4047</v>
      </c>
      <c r="C272" t="s">
        <v>4048</v>
      </c>
      <c r="D272" t="s">
        <v>4052</v>
      </c>
      <c r="E272" t="s">
        <v>4053</v>
      </c>
      <c r="F272" t="s">
        <v>3357</v>
      </c>
      <c r="G272" t="s">
        <v>4054</v>
      </c>
    </row>
    <row r="273" spans="1:7" ht="11.25" customHeight="1">
      <c r="A273" t="s">
        <v>14</v>
      </c>
      <c r="B273" t="s">
        <v>4047</v>
      </c>
      <c r="C273" t="s">
        <v>4048</v>
      </c>
      <c r="D273" t="s">
        <v>4047</v>
      </c>
      <c r="E273" t="s">
        <v>4048</v>
      </c>
      <c r="F273" t="s">
        <v>3354</v>
      </c>
      <c r="G273" t="s">
        <v>4055</v>
      </c>
    </row>
    <row r="274" spans="1:7" ht="11.25" customHeight="1">
      <c r="A274" t="s">
        <v>14</v>
      </c>
      <c r="B274" t="s">
        <v>4047</v>
      </c>
      <c r="C274" t="s">
        <v>4048</v>
      </c>
      <c r="D274" t="s">
        <v>4056</v>
      </c>
      <c r="E274" t="s">
        <v>4057</v>
      </c>
      <c r="F274" t="s">
        <v>3357</v>
      </c>
      <c r="G274" t="s">
        <v>4058</v>
      </c>
    </row>
    <row r="275" spans="1:7" ht="11.25" customHeight="1">
      <c r="A275" t="s">
        <v>14</v>
      </c>
      <c r="B275" t="s">
        <v>4047</v>
      </c>
      <c r="C275" t="s">
        <v>4048</v>
      </c>
      <c r="D275" t="s">
        <v>4059</v>
      </c>
      <c r="E275" t="s">
        <v>4060</v>
      </c>
      <c r="F275" t="s">
        <v>3357</v>
      </c>
      <c r="G275" t="s">
        <v>4061</v>
      </c>
    </row>
    <row r="276" spans="1:7" ht="11.25" customHeight="1">
      <c r="A276" t="s">
        <v>14</v>
      </c>
      <c r="B276" t="s">
        <v>4047</v>
      </c>
      <c r="C276" t="s">
        <v>4048</v>
      </c>
      <c r="D276" t="s">
        <v>4062</v>
      </c>
      <c r="E276" t="s">
        <v>4063</v>
      </c>
      <c r="F276" t="s">
        <v>3357</v>
      </c>
      <c r="G276" t="s">
        <v>4064</v>
      </c>
    </row>
    <row r="277" spans="1:7" ht="11.25" customHeight="1">
      <c r="A277" t="s">
        <v>14</v>
      </c>
      <c r="B277" t="s">
        <v>4047</v>
      </c>
      <c r="C277" t="s">
        <v>4048</v>
      </c>
      <c r="D277" t="s">
        <v>4065</v>
      </c>
      <c r="E277" t="s">
        <v>4066</v>
      </c>
      <c r="F277" t="s">
        <v>3357</v>
      </c>
      <c r="G277" t="s">
        <v>4067</v>
      </c>
    </row>
    <row r="278" spans="1:7" ht="11.25" customHeight="1">
      <c r="A278" t="s">
        <v>14</v>
      </c>
      <c r="B278" t="s">
        <v>4047</v>
      </c>
      <c r="C278" t="s">
        <v>4048</v>
      </c>
      <c r="D278" t="s">
        <v>4068</v>
      </c>
      <c r="E278" t="s">
        <v>4069</v>
      </c>
      <c r="F278" t="s">
        <v>3357</v>
      </c>
      <c r="G278" t="s">
        <v>4070</v>
      </c>
    </row>
    <row r="279" spans="1:7" ht="11.25" customHeight="1">
      <c r="A279" t="s">
        <v>14</v>
      </c>
      <c r="B279" t="s">
        <v>4047</v>
      </c>
      <c r="C279" t="s">
        <v>4048</v>
      </c>
      <c r="D279" t="s">
        <v>4071</v>
      </c>
      <c r="E279" t="s">
        <v>4072</v>
      </c>
      <c r="F279" t="s">
        <v>3357</v>
      </c>
      <c r="G279" t="s">
        <v>4073</v>
      </c>
    </row>
    <row r="280" spans="1:7" ht="11.25" customHeight="1">
      <c r="A280" t="s">
        <v>14</v>
      </c>
      <c r="B280" t="s">
        <v>188</v>
      </c>
      <c r="C280" t="s">
        <v>189</v>
      </c>
      <c r="D280" t="s">
        <v>188</v>
      </c>
      <c r="E280" t="s">
        <v>189</v>
      </c>
      <c r="F280" t="s">
        <v>3440</v>
      </c>
      <c r="G280" t="s">
        <v>187</v>
      </c>
    </row>
    <row r="281" spans="1:7" ht="11.25" customHeight="1">
      <c r="A281" t="s">
        <v>14</v>
      </c>
      <c r="B281" t="s">
        <v>4074</v>
      </c>
      <c r="C281" t="s">
        <v>4075</v>
      </c>
      <c r="D281" t="s">
        <v>4074</v>
      </c>
      <c r="E281" t="s">
        <v>4075</v>
      </c>
      <c r="F281" t="s">
        <v>3351</v>
      </c>
      <c r="G281" t="s">
        <v>4076</v>
      </c>
    </row>
    <row r="282" spans="1:7" ht="11.25" customHeight="1">
      <c r="A282" t="s">
        <v>14</v>
      </c>
      <c r="B282" t="s">
        <v>4077</v>
      </c>
      <c r="C282" t="s">
        <v>4078</v>
      </c>
      <c r="D282" t="s">
        <v>4079</v>
      </c>
      <c r="E282" t="s">
        <v>4080</v>
      </c>
      <c r="F282" t="s">
        <v>3357</v>
      </c>
      <c r="G282" t="s">
        <v>4081</v>
      </c>
    </row>
    <row r="283" spans="1:7" ht="11.25" customHeight="1">
      <c r="A283" t="s">
        <v>14</v>
      </c>
      <c r="B283" t="s">
        <v>4077</v>
      </c>
      <c r="C283" t="s">
        <v>4078</v>
      </c>
      <c r="D283" t="s">
        <v>4082</v>
      </c>
      <c r="E283" t="s">
        <v>4083</v>
      </c>
      <c r="F283" t="s">
        <v>3453</v>
      </c>
      <c r="G283" t="s">
        <v>4084</v>
      </c>
    </row>
    <row r="284" spans="1:7" ht="11.25" customHeight="1">
      <c r="A284" t="s">
        <v>14</v>
      </c>
      <c r="B284" t="s">
        <v>4077</v>
      </c>
      <c r="C284" t="s">
        <v>4078</v>
      </c>
      <c r="D284" t="s">
        <v>4085</v>
      </c>
      <c r="E284" t="s">
        <v>4086</v>
      </c>
      <c r="F284" t="s">
        <v>3357</v>
      </c>
      <c r="G284" t="s">
        <v>4087</v>
      </c>
    </row>
    <row r="285" spans="1:7" ht="11.25" customHeight="1">
      <c r="A285" t="s">
        <v>14</v>
      </c>
      <c r="B285" t="s">
        <v>4077</v>
      </c>
      <c r="C285" t="s">
        <v>4078</v>
      </c>
      <c r="D285" t="s">
        <v>4088</v>
      </c>
      <c r="E285" t="s">
        <v>4089</v>
      </c>
      <c r="F285" t="s">
        <v>3357</v>
      </c>
      <c r="G285" t="s">
        <v>4090</v>
      </c>
    </row>
    <row r="286" spans="1:7" ht="11.25" customHeight="1">
      <c r="A286" t="s">
        <v>14</v>
      </c>
      <c r="B286" t="s">
        <v>4077</v>
      </c>
      <c r="C286" t="s">
        <v>4078</v>
      </c>
      <c r="D286" t="s">
        <v>4077</v>
      </c>
      <c r="E286" t="s">
        <v>4078</v>
      </c>
      <c r="F286" t="s">
        <v>3354</v>
      </c>
      <c r="G286" t="s">
        <v>4091</v>
      </c>
    </row>
    <row r="287" spans="1:7" ht="11.25" customHeight="1">
      <c r="A287" t="s">
        <v>14</v>
      </c>
      <c r="B287" t="s">
        <v>4077</v>
      </c>
      <c r="C287" t="s">
        <v>4078</v>
      </c>
      <c r="D287" t="s">
        <v>4092</v>
      </c>
      <c r="E287" t="s">
        <v>4093</v>
      </c>
      <c r="F287" t="s">
        <v>3357</v>
      </c>
      <c r="G287" t="s">
        <v>4094</v>
      </c>
    </row>
    <row r="288" spans="1:7" ht="11.25" customHeight="1">
      <c r="A288" t="s">
        <v>14</v>
      </c>
      <c r="B288" t="s">
        <v>4077</v>
      </c>
      <c r="C288" t="s">
        <v>4078</v>
      </c>
      <c r="D288" t="s">
        <v>4095</v>
      </c>
      <c r="E288" t="s">
        <v>4096</v>
      </c>
      <c r="F288" t="s">
        <v>3357</v>
      </c>
      <c r="G288" t="s">
        <v>4097</v>
      </c>
    </row>
    <row r="289" spans="1:7" ht="11.25" customHeight="1">
      <c r="A289" t="s">
        <v>14</v>
      </c>
      <c r="B289" t="s">
        <v>4077</v>
      </c>
      <c r="C289" t="s">
        <v>4078</v>
      </c>
      <c r="D289" t="s">
        <v>4098</v>
      </c>
      <c r="E289" t="s">
        <v>4099</v>
      </c>
      <c r="F289" t="s">
        <v>3357</v>
      </c>
      <c r="G289" t="s">
        <v>4100</v>
      </c>
    </row>
    <row r="290" spans="1:7" ht="11.25" customHeight="1">
      <c r="A290" t="s">
        <v>14</v>
      </c>
      <c r="B290" t="s">
        <v>4077</v>
      </c>
      <c r="C290" t="s">
        <v>4078</v>
      </c>
      <c r="D290" t="s">
        <v>4101</v>
      </c>
      <c r="E290" t="s">
        <v>4102</v>
      </c>
      <c r="F290" t="s">
        <v>3357</v>
      </c>
      <c r="G290" t="s">
        <v>4103</v>
      </c>
    </row>
    <row r="291" spans="1:7" ht="11.25" customHeight="1">
      <c r="A291" t="s">
        <v>14</v>
      </c>
      <c r="B291" t="s">
        <v>4077</v>
      </c>
      <c r="C291" t="s">
        <v>4078</v>
      </c>
      <c r="D291" t="s">
        <v>4104</v>
      </c>
      <c r="E291" t="s">
        <v>4105</v>
      </c>
      <c r="F291" t="s">
        <v>3357</v>
      </c>
      <c r="G291" t="s">
        <v>4106</v>
      </c>
    </row>
    <row r="292" spans="1:7" ht="11.25" customHeight="1">
      <c r="A292" t="s">
        <v>14</v>
      </c>
      <c r="B292" t="s">
        <v>4077</v>
      </c>
      <c r="C292" t="s">
        <v>4078</v>
      </c>
      <c r="D292" t="s">
        <v>4107</v>
      </c>
      <c r="E292" t="s">
        <v>4108</v>
      </c>
      <c r="F292" t="s">
        <v>3357</v>
      </c>
      <c r="G292" t="s">
        <v>4109</v>
      </c>
    </row>
    <row r="293" spans="1:7" ht="11.25" customHeight="1">
      <c r="A293" t="s">
        <v>14</v>
      </c>
      <c r="B293" t="s">
        <v>4077</v>
      </c>
      <c r="C293" t="s">
        <v>4078</v>
      </c>
      <c r="D293" t="s">
        <v>4110</v>
      </c>
      <c r="E293" t="s">
        <v>4111</v>
      </c>
      <c r="F293" t="s">
        <v>3357</v>
      </c>
      <c r="G293" t="s">
        <v>4112</v>
      </c>
    </row>
    <row r="294" spans="1:7" ht="11.25" customHeight="1">
      <c r="A294" t="s">
        <v>14</v>
      </c>
      <c r="B294" t="s">
        <v>4077</v>
      </c>
      <c r="C294" t="s">
        <v>4078</v>
      </c>
      <c r="D294" t="s">
        <v>4113</v>
      </c>
      <c r="E294" t="s">
        <v>4114</v>
      </c>
      <c r="F294" t="s">
        <v>3357</v>
      </c>
      <c r="G294" t="s">
        <v>4115</v>
      </c>
    </row>
    <row r="295" spans="1:7" ht="11.25" customHeight="1">
      <c r="A295" t="s">
        <v>14</v>
      </c>
      <c r="B295" t="s">
        <v>4077</v>
      </c>
      <c r="C295" t="s">
        <v>4078</v>
      </c>
      <c r="D295" t="s">
        <v>4116</v>
      </c>
      <c r="E295" t="s">
        <v>4117</v>
      </c>
      <c r="F295" t="s">
        <v>3357</v>
      </c>
      <c r="G295" t="s">
        <v>4118</v>
      </c>
    </row>
    <row r="296" spans="1:7" ht="11.25" customHeight="1">
      <c r="A296" t="s">
        <v>14</v>
      </c>
      <c r="B296" t="s">
        <v>134</v>
      </c>
      <c r="C296" t="s">
        <v>135</v>
      </c>
      <c r="D296" t="s">
        <v>134</v>
      </c>
      <c r="E296" t="s">
        <v>135</v>
      </c>
      <c r="F296" t="s">
        <v>3351</v>
      </c>
      <c r="G296" t="s">
        <v>133</v>
      </c>
    </row>
    <row r="297" spans="1:7" ht="11.25" customHeight="1">
      <c r="A297" t="s">
        <v>14</v>
      </c>
      <c r="B297" t="s">
        <v>4119</v>
      </c>
      <c r="C297" t="s">
        <v>4120</v>
      </c>
      <c r="D297" t="s">
        <v>4121</v>
      </c>
      <c r="E297" t="s">
        <v>4122</v>
      </c>
      <c r="F297" t="s">
        <v>3357</v>
      </c>
      <c r="G297" t="s">
        <v>4123</v>
      </c>
    </row>
    <row r="298" spans="1:7" ht="11.25" customHeight="1">
      <c r="A298" t="s">
        <v>14</v>
      </c>
      <c r="B298" t="s">
        <v>4119</v>
      </c>
      <c r="C298" t="s">
        <v>4120</v>
      </c>
      <c r="D298" t="s">
        <v>4124</v>
      </c>
      <c r="E298" t="s">
        <v>4125</v>
      </c>
      <c r="F298" t="s">
        <v>3357</v>
      </c>
      <c r="G298" t="s">
        <v>4126</v>
      </c>
    </row>
    <row r="299" spans="1:7" ht="11.25" customHeight="1">
      <c r="A299" t="s">
        <v>14</v>
      </c>
      <c r="B299" t="s">
        <v>4119</v>
      </c>
      <c r="C299" t="s">
        <v>4120</v>
      </c>
      <c r="D299" t="s">
        <v>4127</v>
      </c>
      <c r="E299" t="s">
        <v>4128</v>
      </c>
      <c r="F299" t="s">
        <v>3357</v>
      </c>
      <c r="G299" t="s">
        <v>4129</v>
      </c>
    </row>
    <row r="300" spans="1:7" ht="11.25" customHeight="1">
      <c r="A300" t="s">
        <v>14</v>
      </c>
      <c r="B300" t="s">
        <v>4119</v>
      </c>
      <c r="C300" t="s">
        <v>4120</v>
      </c>
      <c r="D300" t="s">
        <v>4130</v>
      </c>
      <c r="E300" t="s">
        <v>4131</v>
      </c>
      <c r="F300" t="s">
        <v>3357</v>
      </c>
      <c r="G300" t="s">
        <v>4132</v>
      </c>
    </row>
    <row r="301" spans="1:7" ht="11.25" customHeight="1">
      <c r="A301" t="s">
        <v>14</v>
      </c>
      <c r="B301" t="s">
        <v>4119</v>
      </c>
      <c r="C301" t="s">
        <v>4120</v>
      </c>
      <c r="D301" t="s">
        <v>4133</v>
      </c>
      <c r="E301" t="s">
        <v>4134</v>
      </c>
      <c r="F301" t="s">
        <v>3357</v>
      </c>
      <c r="G301" t="s">
        <v>4135</v>
      </c>
    </row>
    <row r="302" spans="1:7" ht="11.25" customHeight="1">
      <c r="A302" t="s">
        <v>14</v>
      </c>
      <c r="B302" t="s">
        <v>4119</v>
      </c>
      <c r="C302" t="s">
        <v>4120</v>
      </c>
      <c r="D302" t="s">
        <v>4136</v>
      </c>
      <c r="E302" t="s">
        <v>4137</v>
      </c>
      <c r="F302" t="s">
        <v>3357</v>
      </c>
      <c r="G302" t="s">
        <v>4138</v>
      </c>
    </row>
    <row r="303" spans="1:7" ht="11.25" customHeight="1">
      <c r="A303" t="s">
        <v>14</v>
      </c>
      <c r="B303" t="s">
        <v>4119</v>
      </c>
      <c r="C303" t="s">
        <v>4120</v>
      </c>
      <c r="D303" t="s">
        <v>4119</v>
      </c>
      <c r="E303" t="s">
        <v>4120</v>
      </c>
      <c r="F303" t="s">
        <v>3354</v>
      </c>
      <c r="G303" t="s">
        <v>4139</v>
      </c>
    </row>
    <row r="304" spans="1:7" ht="11.25" customHeight="1">
      <c r="A304" t="s">
        <v>14</v>
      </c>
      <c r="B304" t="s">
        <v>4119</v>
      </c>
      <c r="C304" t="s">
        <v>4120</v>
      </c>
      <c r="D304" t="s">
        <v>4140</v>
      </c>
      <c r="E304" t="s">
        <v>4141</v>
      </c>
      <c r="F304" t="s">
        <v>3357</v>
      </c>
      <c r="G304" t="s">
        <v>4142</v>
      </c>
    </row>
    <row r="305" spans="1:7" ht="11.25" customHeight="1">
      <c r="A305" t="s">
        <v>14</v>
      </c>
      <c r="B305" t="s">
        <v>4119</v>
      </c>
      <c r="C305" t="s">
        <v>4120</v>
      </c>
      <c r="D305" t="s">
        <v>4143</v>
      </c>
      <c r="E305" t="s">
        <v>4144</v>
      </c>
      <c r="F305" t="s">
        <v>3357</v>
      </c>
      <c r="G305" t="s">
        <v>4145</v>
      </c>
    </row>
    <row r="306" spans="1:7" ht="11.25" customHeight="1">
      <c r="A306" t="s">
        <v>14</v>
      </c>
      <c r="B306" t="s">
        <v>4119</v>
      </c>
      <c r="C306" t="s">
        <v>4120</v>
      </c>
      <c r="D306" t="s">
        <v>4146</v>
      </c>
      <c r="E306" t="s">
        <v>4147</v>
      </c>
      <c r="F306" t="s">
        <v>3357</v>
      </c>
      <c r="G306" t="s">
        <v>4148</v>
      </c>
    </row>
    <row r="307" spans="1:7" ht="11.25" customHeight="1">
      <c r="A307" t="s">
        <v>14</v>
      </c>
      <c r="B307" t="s">
        <v>4119</v>
      </c>
      <c r="C307" t="s">
        <v>4120</v>
      </c>
      <c r="D307" t="s">
        <v>4149</v>
      </c>
      <c r="E307" t="s">
        <v>4150</v>
      </c>
      <c r="F307" t="s">
        <v>3357</v>
      </c>
      <c r="G307" t="s">
        <v>4151</v>
      </c>
    </row>
    <row r="308" spans="1:7" ht="11.25" customHeight="1">
      <c r="A308" t="s">
        <v>14</v>
      </c>
      <c r="B308" t="s">
        <v>4119</v>
      </c>
      <c r="C308" t="s">
        <v>4120</v>
      </c>
      <c r="D308" t="s">
        <v>4152</v>
      </c>
      <c r="E308" t="s">
        <v>4153</v>
      </c>
      <c r="F308" t="s">
        <v>3357</v>
      </c>
      <c r="G308" t="s">
        <v>4154</v>
      </c>
    </row>
    <row r="309" spans="1:7" ht="11.25" customHeight="1">
      <c r="A309" t="s">
        <v>14</v>
      </c>
      <c r="B309" t="s">
        <v>4119</v>
      </c>
      <c r="C309" t="s">
        <v>4120</v>
      </c>
      <c r="D309" t="s">
        <v>4155</v>
      </c>
      <c r="E309" t="s">
        <v>4156</v>
      </c>
      <c r="F309" t="s">
        <v>3357</v>
      </c>
      <c r="G309" t="s">
        <v>4157</v>
      </c>
    </row>
    <row r="310" spans="1:7" ht="11.25" customHeight="1">
      <c r="A310" t="s">
        <v>14</v>
      </c>
      <c r="B310" t="s">
        <v>4119</v>
      </c>
      <c r="C310" t="s">
        <v>4120</v>
      </c>
      <c r="D310" t="s">
        <v>4158</v>
      </c>
      <c r="E310" t="s">
        <v>4159</v>
      </c>
      <c r="F310" t="s">
        <v>3357</v>
      </c>
      <c r="G310" t="s">
        <v>4160</v>
      </c>
    </row>
    <row r="311" spans="1:7" ht="11.25" customHeight="1">
      <c r="A311" t="s">
        <v>14</v>
      </c>
      <c r="B311" t="s">
        <v>4119</v>
      </c>
      <c r="C311" t="s">
        <v>4120</v>
      </c>
      <c r="D311" t="s">
        <v>4161</v>
      </c>
      <c r="E311" t="s">
        <v>4162</v>
      </c>
      <c r="F311" t="s">
        <v>3357</v>
      </c>
      <c r="G311" t="s">
        <v>4163</v>
      </c>
    </row>
    <row r="312" spans="1:7" ht="11.25" customHeight="1">
      <c r="A312" t="s">
        <v>14</v>
      </c>
      <c r="B312" t="s">
        <v>4119</v>
      </c>
      <c r="C312" t="s">
        <v>4120</v>
      </c>
      <c r="D312" t="s">
        <v>4164</v>
      </c>
      <c r="E312" t="s">
        <v>4165</v>
      </c>
      <c r="F312" t="s">
        <v>3357</v>
      </c>
      <c r="G312" t="s">
        <v>4166</v>
      </c>
    </row>
    <row r="313" spans="1:7" ht="11.25" customHeight="1">
      <c r="A313" t="s">
        <v>14</v>
      </c>
      <c r="B313" t="s">
        <v>4167</v>
      </c>
      <c r="C313" t="s">
        <v>4168</v>
      </c>
      <c r="D313" t="s">
        <v>4167</v>
      </c>
      <c r="E313" t="s">
        <v>4168</v>
      </c>
      <c r="F313" t="s">
        <v>3440</v>
      </c>
      <c r="G313" t="s">
        <v>4169</v>
      </c>
    </row>
    <row r="314" spans="1:7" ht="11.25" customHeight="1">
      <c r="A314" t="s">
        <v>14</v>
      </c>
      <c r="B314" t="s">
        <v>4170</v>
      </c>
      <c r="C314" t="s">
        <v>4171</v>
      </c>
      <c r="D314" t="s">
        <v>4170</v>
      </c>
      <c r="E314" t="s">
        <v>4171</v>
      </c>
      <c r="F314" t="s">
        <v>3351</v>
      </c>
      <c r="G314" t="s">
        <v>4172</v>
      </c>
    </row>
    <row r="315" spans="1:7" ht="11.25" customHeight="1">
      <c r="A315" t="s">
        <v>14</v>
      </c>
      <c r="B315" t="s">
        <v>4173</v>
      </c>
      <c r="C315" t="s">
        <v>4174</v>
      </c>
      <c r="D315" t="s">
        <v>4175</v>
      </c>
      <c r="E315" t="s">
        <v>4176</v>
      </c>
      <c r="F315" t="s">
        <v>3357</v>
      </c>
      <c r="G315" t="s">
        <v>4177</v>
      </c>
    </row>
    <row r="316" spans="1:7" ht="11.25" customHeight="1">
      <c r="A316" t="s">
        <v>14</v>
      </c>
      <c r="B316" t="s">
        <v>4173</v>
      </c>
      <c r="C316" t="s">
        <v>4174</v>
      </c>
      <c r="D316" t="s">
        <v>4178</v>
      </c>
      <c r="E316" t="s">
        <v>4179</v>
      </c>
      <c r="F316" t="s">
        <v>3453</v>
      </c>
      <c r="G316" t="s">
        <v>4180</v>
      </c>
    </row>
    <row r="317" spans="1:7" ht="11.25" customHeight="1">
      <c r="A317" t="s">
        <v>14</v>
      </c>
      <c r="B317" t="s">
        <v>4173</v>
      </c>
      <c r="C317" t="s">
        <v>4174</v>
      </c>
      <c r="D317" t="s">
        <v>4181</v>
      </c>
      <c r="E317" t="s">
        <v>4182</v>
      </c>
      <c r="F317" t="s">
        <v>3357</v>
      </c>
      <c r="G317" t="s">
        <v>4183</v>
      </c>
    </row>
    <row r="318" spans="1:7" ht="11.25" customHeight="1">
      <c r="A318" t="s">
        <v>14</v>
      </c>
      <c r="B318" t="s">
        <v>4173</v>
      </c>
      <c r="C318" t="s">
        <v>4174</v>
      </c>
      <c r="D318" t="s">
        <v>4184</v>
      </c>
      <c r="E318" t="s">
        <v>4185</v>
      </c>
      <c r="F318" t="s">
        <v>3357</v>
      </c>
      <c r="G318" t="s">
        <v>4186</v>
      </c>
    </row>
    <row r="319" spans="1:7" ht="11.25" customHeight="1">
      <c r="A319" t="s">
        <v>14</v>
      </c>
      <c r="B319" t="s">
        <v>4173</v>
      </c>
      <c r="C319" t="s">
        <v>4174</v>
      </c>
      <c r="D319" t="s">
        <v>4187</v>
      </c>
      <c r="E319" t="s">
        <v>4188</v>
      </c>
      <c r="F319" t="s">
        <v>3357</v>
      </c>
      <c r="G319" t="s">
        <v>4189</v>
      </c>
    </row>
    <row r="320" spans="1:7" ht="11.25" customHeight="1">
      <c r="A320" t="s">
        <v>14</v>
      </c>
      <c r="B320" t="s">
        <v>4173</v>
      </c>
      <c r="C320" t="s">
        <v>4174</v>
      </c>
      <c r="D320" t="s">
        <v>4190</v>
      </c>
      <c r="E320" t="s">
        <v>4191</v>
      </c>
      <c r="F320" t="s">
        <v>3357</v>
      </c>
      <c r="G320" t="s">
        <v>4192</v>
      </c>
    </row>
    <row r="321" spans="1:7" ht="11.25" customHeight="1">
      <c r="A321" t="s">
        <v>14</v>
      </c>
      <c r="B321" t="s">
        <v>4173</v>
      </c>
      <c r="C321" t="s">
        <v>4174</v>
      </c>
      <c r="D321" t="s">
        <v>4173</v>
      </c>
      <c r="E321" t="s">
        <v>4174</v>
      </c>
      <c r="F321" t="s">
        <v>3354</v>
      </c>
      <c r="G321" t="s">
        <v>4193</v>
      </c>
    </row>
    <row r="322" spans="1:7" ht="11.25" customHeight="1">
      <c r="A322" t="s">
        <v>14</v>
      </c>
      <c r="B322" t="s">
        <v>4173</v>
      </c>
      <c r="C322" t="s">
        <v>4174</v>
      </c>
      <c r="D322" t="s">
        <v>4194</v>
      </c>
      <c r="E322" t="s">
        <v>4195</v>
      </c>
      <c r="F322" t="s">
        <v>3357</v>
      </c>
      <c r="G322" t="s">
        <v>4196</v>
      </c>
    </row>
    <row r="323" spans="1:7" ht="11.25" customHeight="1">
      <c r="A323" t="s">
        <v>14</v>
      </c>
      <c r="B323" t="s">
        <v>139</v>
      </c>
      <c r="C323" t="s">
        <v>140</v>
      </c>
      <c r="D323" t="s">
        <v>139</v>
      </c>
      <c r="E323" t="s">
        <v>140</v>
      </c>
      <c r="F323" t="s">
        <v>3351</v>
      </c>
      <c r="G323" t="s">
        <v>138</v>
      </c>
    </row>
    <row r="324" spans="1:7" ht="11.25" customHeight="1">
      <c r="A324" t="s">
        <v>14</v>
      </c>
      <c r="B324" t="s">
        <v>4197</v>
      </c>
      <c r="C324" t="s">
        <v>4198</v>
      </c>
      <c r="D324" t="s">
        <v>4199</v>
      </c>
      <c r="E324" t="s">
        <v>4200</v>
      </c>
      <c r="F324" t="s">
        <v>3357</v>
      </c>
      <c r="G324" t="s">
        <v>4201</v>
      </c>
    </row>
    <row r="325" spans="1:7" ht="11.25" customHeight="1">
      <c r="A325" t="s">
        <v>14</v>
      </c>
      <c r="B325" t="s">
        <v>4197</v>
      </c>
      <c r="C325" t="s">
        <v>4198</v>
      </c>
      <c r="D325" t="s">
        <v>4202</v>
      </c>
      <c r="E325" t="s">
        <v>4203</v>
      </c>
      <c r="F325" t="s">
        <v>3357</v>
      </c>
      <c r="G325" t="s">
        <v>4204</v>
      </c>
    </row>
    <row r="326" spans="1:7" ht="11.25" customHeight="1">
      <c r="A326" t="s">
        <v>14</v>
      </c>
      <c r="B326" t="s">
        <v>4197</v>
      </c>
      <c r="C326" t="s">
        <v>4198</v>
      </c>
      <c r="D326" t="s">
        <v>4205</v>
      </c>
      <c r="E326" t="s">
        <v>4206</v>
      </c>
      <c r="F326" t="s">
        <v>3357</v>
      </c>
      <c r="G326" t="s">
        <v>4207</v>
      </c>
    </row>
    <row r="327" spans="1:7" ht="11.25" customHeight="1">
      <c r="A327" t="s">
        <v>14</v>
      </c>
      <c r="B327" t="s">
        <v>4197</v>
      </c>
      <c r="C327" t="s">
        <v>4198</v>
      </c>
      <c r="D327" t="s">
        <v>4208</v>
      </c>
      <c r="E327" t="s">
        <v>4209</v>
      </c>
      <c r="F327" t="s">
        <v>3357</v>
      </c>
      <c r="G327" t="s">
        <v>4210</v>
      </c>
    </row>
    <row r="328" spans="1:7" ht="11.25" customHeight="1">
      <c r="A328" t="s">
        <v>14</v>
      </c>
      <c r="B328" t="s">
        <v>4197</v>
      </c>
      <c r="C328" t="s">
        <v>4198</v>
      </c>
      <c r="D328" t="s">
        <v>4211</v>
      </c>
      <c r="E328" t="s">
        <v>4212</v>
      </c>
      <c r="F328" t="s">
        <v>3357</v>
      </c>
      <c r="G328" t="s">
        <v>4213</v>
      </c>
    </row>
    <row r="329" spans="1:7" ht="11.25" customHeight="1">
      <c r="A329" t="s">
        <v>14</v>
      </c>
      <c r="B329" t="s">
        <v>4197</v>
      </c>
      <c r="C329" t="s">
        <v>4198</v>
      </c>
      <c r="D329" t="s">
        <v>4214</v>
      </c>
      <c r="E329" t="s">
        <v>4215</v>
      </c>
      <c r="F329" t="s">
        <v>3357</v>
      </c>
      <c r="G329" t="s">
        <v>4216</v>
      </c>
    </row>
    <row r="330" spans="1:7" ht="11.25" customHeight="1">
      <c r="A330" t="s">
        <v>14</v>
      </c>
      <c r="B330" t="s">
        <v>4197</v>
      </c>
      <c r="C330" t="s">
        <v>4198</v>
      </c>
      <c r="D330" t="s">
        <v>4197</v>
      </c>
      <c r="E330" t="s">
        <v>4198</v>
      </c>
      <c r="F330" t="s">
        <v>3354</v>
      </c>
      <c r="G330" t="s">
        <v>4217</v>
      </c>
    </row>
    <row r="331" spans="1:7" ht="11.25" customHeight="1">
      <c r="A331" t="s">
        <v>14</v>
      </c>
      <c r="B331" t="s">
        <v>4197</v>
      </c>
      <c r="C331" t="s">
        <v>4198</v>
      </c>
      <c r="D331" t="s">
        <v>4218</v>
      </c>
      <c r="E331" t="s">
        <v>4219</v>
      </c>
      <c r="F331" t="s">
        <v>3357</v>
      </c>
      <c r="G331" t="s">
        <v>4220</v>
      </c>
    </row>
    <row r="332" spans="1:7" ht="11.25" customHeight="1">
      <c r="A332" t="s">
        <v>14</v>
      </c>
      <c r="B332" t="s">
        <v>143</v>
      </c>
      <c r="C332" t="s">
        <v>144</v>
      </c>
      <c r="D332" t="s">
        <v>143</v>
      </c>
      <c r="E332" t="s">
        <v>144</v>
      </c>
      <c r="F332" t="s">
        <v>3351</v>
      </c>
      <c r="G332" t="s">
        <v>142</v>
      </c>
    </row>
    <row r="333" spans="1:7" ht="11.25" customHeight="1">
      <c r="A333" t="s">
        <v>14</v>
      </c>
      <c r="B333" t="s">
        <v>4221</v>
      </c>
      <c r="C333" t="s">
        <v>4222</v>
      </c>
      <c r="D333" t="s">
        <v>4223</v>
      </c>
      <c r="E333" t="s">
        <v>4224</v>
      </c>
      <c r="F333" t="s">
        <v>3357</v>
      </c>
      <c r="G333" t="s">
        <v>4225</v>
      </c>
    </row>
    <row r="334" spans="1:7" ht="11.25" customHeight="1">
      <c r="A334" t="s">
        <v>14</v>
      </c>
      <c r="B334" t="s">
        <v>4221</v>
      </c>
      <c r="C334" t="s">
        <v>4222</v>
      </c>
      <c r="D334" t="s">
        <v>4226</v>
      </c>
      <c r="E334" t="s">
        <v>4227</v>
      </c>
      <c r="F334" t="s">
        <v>3357</v>
      </c>
      <c r="G334" t="s">
        <v>4228</v>
      </c>
    </row>
    <row r="335" spans="1:7" ht="11.25" customHeight="1">
      <c r="A335" t="s">
        <v>14</v>
      </c>
      <c r="B335" t="s">
        <v>4221</v>
      </c>
      <c r="C335" t="s">
        <v>4222</v>
      </c>
      <c r="D335" t="s">
        <v>4229</v>
      </c>
      <c r="E335" t="s">
        <v>4230</v>
      </c>
      <c r="F335" t="s">
        <v>3357</v>
      </c>
      <c r="G335" t="s">
        <v>4231</v>
      </c>
    </row>
    <row r="336" spans="1:7" ht="11.25" customHeight="1">
      <c r="A336" t="s">
        <v>14</v>
      </c>
      <c r="B336" t="s">
        <v>4221</v>
      </c>
      <c r="C336" t="s">
        <v>4222</v>
      </c>
      <c r="D336" t="s">
        <v>4232</v>
      </c>
      <c r="E336" t="s">
        <v>4233</v>
      </c>
      <c r="F336" t="s">
        <v>3357</v>
      </c>
      <c r="G336" t="s">
        <v>4234</v>
      </c>
    </row>
    <row r="337" spans="1:7" ht="11.25" customHeight="1">
      <c r="A337" t="s">
        <v>14</v>
      </c>
      <c r="B337" t="s">
        <v>4221</v>
      </c>
      <c r="C337" t="s">
        <v>4222</v>
      </c>
      <c r="D337" t="s">
        <v>4235</v>
      </c>
      <c r="E337" t="s">
        <v>4236</v>
      </c>
      <c r="F337" t="s">
        <v>3357</v>
      </c>
      <c r="G337" t="s">
        <v>4237</v>
      </c>
    </row>
    <row r="338" spans="1:7" ht="11.25" customHeight="1">
      <c r="A338" t="s">
        <v>14</v>
      </c>
      <c r="B338" t="s">
        <v>4221</v>
      </c>
      <c r="C338" t="s">
        <v>4222</v>
      </c>
      <c r="D338" t="s">
        <v>4221</v>
      </c>
      <c r="E338" t="s">
        <v>4222</v>
      </c>
      <c r="F338" t="s">
        <v>3354</v>
      </c>
      <c r="G338" t="s">
        <v>4238</v>
      </c>
    </row>
    <row r="339" spans="1:7" ht="11.25" customHeight="1">
      <c r="A339" t="s">
        <v>14</v>
      </c>
      <c r="B339" t="s">
        <v>4221</v>
      </c>
      <c r="C339" t="s">
        <v>4222</v>
      </c>
      <c r="D339" t="s">
        <v>4239</v>
      </c>
      <c r="E339" t="s">
        <v>4240</v>
      </c>
      <c r="F339" t="s">
        <v>3357</v>
      </c>
      <c r="G339" t="s">
        <v>4241</v>
      </c>
    </row>
    <row r="340" spans="1:7" ht="11.25" customHeight="1">
      <c r="A340" t="s">
        <v>14</v>
      </c>
      <c r="B340" t="s">
        <v>4242</v>
      </c>
      <c r="C340" t="s">
        <v>4243</v>
      </c>
      <c r="D340" t="s">
        <v>4242</v>
      </c>
      <c r="E340" t="s">
        <v>4243</v>
      </c>
      <c r="F340" t="s">
        <v>3351</v>
      </c>
      <c r="G340" t="s">
        <v>4244</v>
      </c>
    </row>
    <row r="341" spans="1:7" ht="11.25" customHeight="1">
      <c r="A341" t="s">
        <v>14</v>
      </c>
      <c r="B341" t="s">
        <v>4245</v>
      </c>
      <c r="C341" t="s">
        <v>4246</v>
      </c>
      <c r="D341" t="s">
        <v>3883</v>
      </c>
      <c r="E341" t="s">
        <v>4247</v>
      </c>
      <c r="F341" t="s">
        <v>3357</v>
      </c>
      <c r="G341" t="s">
        <v>4248</v>
      </c>
    </row>
    <row r="342" spans="1:7" ht="11.25" customHeight="1">
      <c r="A342" t="s">
        <v>14</v>
      </c>
      <c r="B342" t="s">
        <v>4245</v>
      </c>
      <c r="C342" t="s">
        <v>4246</v>
      </c>
      <c r="D342" t="s">
        <v>4249</v>
      </c>
      <c r="E342" t="s">
        <v>4250</v>
      </c>
      <c r="F342" t="s">
        <v>3357</v>
      </c>
      <c r="G342" t="s">
        <v>4251</v>
      </c>
    </row>
    <row r="343" spans="1:7" ht="11.25" customHeight="1">
      <c r="A343" t="s">
        <v>14</v>
      </c>
      <c r="B343" t="s">
        <v>4245</v>
      </c>
      <c r="C343" t="s">
        <v>4246</v>
      </c>
      <c r="D343" t="s">
        <v>4252</v>
      </c>
      <c r="E343" t="s">
        <v>4253</v>
      </c>
      <c r="F343" t="s">
        <v>3357</v>
      </c>
      <c r="G343" t="s">
        <v>4254</v>
      </c>
    </row>
    <row r="344" spans="1:7" ht="11.25" customHeight="1">
      <c r="A344" t="s">
        <v>14</v>
      </c>
      <c r="B344" t="s">
        <v>4245</v>
      </c>
      <c r="C344" t="s">
        <v>4246</v>
      </c>
      <c r="D344" t="s">
        <v>4255</v>
      </c>
      <c r="E344" t="s">
        <v>4256</v>
      </c>
      <c r="F344" t="s">
        <v>3357</v>
      </c>
      <c r="G344" t="s">
        <v>4257</v>
      </c>
    </row>
    <row r="345" spans="1:7" ht="11.25" customHeight="1">
      <c r="A345" t="s">
        <v>14</v>
      </c>
      <c r="B345" t="s">
        <v>4245</v>
      </c>
      <c r="C345" t="s">
        <v>4246</v>
      </c>
      <c r="D345" t="s">
        <v>4258</v>
      </c>
      <c r="E345" t="s">
        <v>4259</v>
      </c>
      <c r="F345" t="s">
        <v>3357</v>
      </c>
      <c r="G345" t="s">
        <v>4260</v>
      </c>
    </row>
    <row r="346" spans="1:7" ht="11.25" customHeight="1">
      <c r="A346" t="s">
        <v>14</v>
      </c>
      <c r="B346" t="s">
        <v>4245</v>
      </c>
      <c r="C346" t="s">
        <v>4246</v>
      </c>
      <c r="D346" t="s">
        <v>4261</v>
      </c>
      <c r="E346" t="s">
        <v>4262</v>
      </c>
      <c r="F346" t="s">
        <v>3357</v>
      </c>
      <c r="G346" t="s">
        <v>4263</v>
      </c>
    </row>
    <row r="347" spans="1:7" ht="11.25" customHeight="1">
      <c r="A347" t="s">
        <v>14</v>
      </c>
      <c r="B347" t="s">
        <v>4245</v>
      </c>
      <c r="C347" t="s">
        <v>4246</v>
      </c>
      <c r="D347" t="s">
        <v>4264</v>
      </c>
      <c r="E347" t="s">
        <v>4265</v>
      </c>
      <c r="F347" t="s">
        <v>3357</v>
      </c>
      <c r="G347" t="s">
        <v>4266</v>
      </c>
    </row>
    <row r="348" spans="1:7" ht="11.25" customHeight="1">
      <c r="A348" t="s">
        <v>14</v>
      </c>
      <c r="B348" t="s">
        <v>4245</v>
      </c>
      <c r="C348" t="s">
        <v>4246</v>
      </c>
      <c r="D348" t="s">
        <v>4267</v>
      </c>
      <c r="E348" t="s">
        <v>4268</v>
      </c>
      <c r="F348" t="s">
        <v>3357</v>
      </c>
      <c r="G348" t="s">
        <v>4269</v>
      </c>
    </row>
    <row r="349" spans="1:7" ht="11.25" customHeight="1">
      <c r="A349" t="s">
        <v>14</v>
      </c>
      <c r="B349" t="s">
        <v>4245</v>
      </c>
      <c r="C349" t="s">
        <v>4246</v>
      </c>
      <c r="D349" t="s">
        <v>4270</v>
      </c>
      <c r="E349" t="s">
        <v>4271</v>
      </c>
      <c r="F349" t="s">
        <v>3357</v>
      </c>
      <c r="G349" t="s">
        <v>4272</v>
      </c>
    </row>
    <row r="350" spans="1:7" ht="11.25" customHeight="1">
      <c r="A350" t="s">
        <v>14</v>
      </c>
      <c r="B350" t="s">
        <v>4245</v>
      </c>
      <c r="C350" t="s">
        <v>4246</v>
      </c>
      <c r="D350" t="s">
        <v>4273</v>
      </c>
      <c r="E350" t="s">
        <v>4274</v>
      </c>
      <c r="F350" t="s">
        <v>3357</v>
      </c>
      <c r="G350" t="s">
        <v>4275</v>
      </c>
    </row>
    <row r="351" spans="1:7" ht="11.25" customHeight="1">
      <c r="A351" t="s">
        <v>14</v>
      </c>
      <c r="B351" t="s">
        <v>4245</v>
      </c>
      <c r="C351" t="s">
        <v>4246</v>
      </c>
      <c r="D351" t="s">
        <v>4276</v>
      </c>
      <c r="E351" t="s">
        <v>4277</v>
      </c>
      <c r="F351" t="s">
        <v>3357</v>
      </c>
      <c r="G351" t="s">
        <v>4278</v>
      </c>
    </row>
    <row r="352" spans="1:7" ht="11.25" customHeight="1">
      <c r="A352" t="s">
        <v>14</v>
      </c>
      <c r="B352" t="s">
        <v>4245</v>
      </c>
      <c r="C352" t="s">
        <v>4246</v>
      </c>
      <c r="D352" t="s">
        <v>4245</v>
      </c>
      <c r="E352" t="s">
        <v>4246</v>
      </c>
      <c r="F352" t="s">
        <v>3354</v>
      </c>
      <c r="G352" t="s">
        <v>4279</v>
      </c>
    </row>
    <row r="353" spans="1:7" ht="11.25" customHeight="1">
      <c r="A353" t="s">
        <v>14</v>
      </c>
      <c r="B353" t="s">
        <v>148</v>
      </c>
      <c r="C353" t="s">
        <v>149</v>
      </c>
      <c r="D353" t="s">
        <v>148</v>
      </c>
      <c r="E353" t="s">
        <v>149</v>
      </c>
      <c r="F353" t="s">
        <v>3351</v>
      </c>
      <c r="G353" t="s">
        <v>147</v>
      </c>
    </row>
    <row r="354" spans="1:7" ht="11.25" customHeight="1">
      <c r="A354" t="s">
        <v>14</v>
      </c>
      <c r="B354" t="s">
        <v>4280</v>
      </c>
      <c r="C354" t="s">
        <v>4281</v>
      </c>
      <c r="D354" t="s">
        <v>4282</v>
      </c>
      <c r="E354" t="s">
        <v>4283</v>
      </c>
      <c r="F354" t="s">
        <v>3357</v>
      </c>
      <c r="G354" t="s">
        <v>4284</v>
      </c>
    </row>
    <row r="355" spans="1:7" ht="11.25" customHeight="1">
      <c r="A355" t="s">
        <v>14</v>
      </c>
      <c r="B355" t="s">
        <v>4280</v>
      </c>
      <c r="C355" t="s">
        <v>4281</v>
      </c>
      <c r="D355" t="s">
        <v>4285</v>
      </c>
      <c r="E355" t="s">
        <v>4286</v>
      </c>
      <c r="F355" t="s">
        <v>3453</v>
      </c>
      <c r="G355" t="s">
        <v>4287</v>
      </c>
    </row>
    <row r="356" spans="1:7" ht="11.25" customHeight="1">
      <c r="A356" t="s">
        <v>14</v>
      </c>
      <c r="B356" t="s">
        <v>4280</v>
      </c>
      <c r="C356" t="s">
        <v>4281</v>
      </c>
      <c r="D356" t="s">
        <v>4288</v>
      </c>
      <c r="E356" t="s">
        <v>4289</v>
      </c>
      <c r="F356" t="s">
        <v>3357</v>
      </c>
      <c r="G356" t="s">
        <v>4290</v>
      </c>
    </row>
    <row r="357" spans="1:7" ht="11.25" customHeight="1">
      <c r="A357" t="s">
        <v>14</v>
      </c>
      <c r="B357" t="s">
        <v>4280</v>
      </c>
      <c r="C357" t="s">
        <v>4281</v>
      </c>
      <c r="D357" t="s">
        <v>4291</v>
      </c>
      <c r="E357" t="s">
        <v>4292</v>
      </c>
      <c r="F357" t="s">
        <v>3357</v>
      </c>
      <c r="G357" t="s">
        <v>4293</v>
      </c>
    </row>
    <row r="358" spans="1:7" ht="11.25" customHeight="1">
      <c r="A358" t="s">
        <v>14</v>
      </c>
      <c r="B358" t="s">
        <v>4280</v>
      </c>
      <c r="C358" t="s">
        <v>4281</v>
      </c>
      <c r="D358" t="s">
        <v>3376</v>
      </c>
      <c r="E358" t="s">
        <v>4294</v>
      </c>
      <c r="F358" t="s">
        <v>3357</v>
      </c>
      <c r="G358" t="s">
        <v>4295</v>
      </c>
    </row>
    <row r="359" spans="1:7" ht="11.25" customHeight="1">
      <c r="A359" t="s">
        <v>14</v>
      </c>
      <c r="B359" t="s">
        <v>4280</v>
      </c>
      <c r="C359" t="s">
        <v>4281</v>
      </c>
      <c r="D359" t="s">
        <v>4296</v>
      </c>
      <c r="E359" t="s">
        <v>4297</v>
      </c>
      <c r="F359" t="s">
        <v>3357</v>
      </c>
      <c r="G359" t="s">
        <v>4298</v>
      </c>
    </row>
    <row r="360" spans="1:7" ht="11.25" customHeight="1">
      <c r="A360" t="s">
        <v>14</v>
      </c>
      <c r="B360" t="s">
        <v>4280</v>
      </c>
      <c r="C360" t="s">
        <v>4281</v>
      </c>
      <c r="D360" t="s">
        <v>4299</v>
      </c>
      <c r="E360" t="s">
        <v>4300</v>
      </c>
      <c r="F360" t="s">
        <v>3357</v>
      </c>
      <c r="G360" t="s">
        <v>4301</v>
      </c>
    </row>
    <row r="361" spans="1:7" ht="11.25" customHeight="1">
      <c r="A361" t="s">
        <v>14</v>
      </c>
      <c r="B361" t="s">
        <v>4280</v>
      </c>
      <c r="C361" t="s">
        <v>4281</v>
      </c>
      <c r="D361" t="s">
        <v>4302</v>
      </c>
      <c r="E361" t="s">
        <v>4303</v>
      </c>
      <c r="F361" t="s">
        <v>3357</v>
      </c>
      <c r="G361" t="s">
        <v>4304</v>
      </c>
    </row>
    <row r="362" spans="1:7" ht="11.25" customHeight="1">
      <c r="A362" t="s">
        <v>14</v>
      </c>
      <c r="B362" t="s">
        <v>4280</v>
      </c>
      <c r="C362" t="s">
        <v>4281</v>
      </c>
      <c r="D362" t="s">
        <v>4305</v>
      </c>
      <c r="E362" t="s">
        <v>4306</v>
      </c>
      <c r="F362" t="s">
        <v>3357</v>
      </c>
      <c r="G362" t="s">
        <v>4307</v>
      </c>
    </row>
    <row r="363" spans="1:7" ht="11.25" customHeight="1">
      <c r="A363" t="s">
        <v>14</v>
      </c>
      <c r="B363" t="s">
        <v>4280</v>
      </c>
      <c r="C363" t="s">
        <v>4281</v>
      </c>
      <c r="D363" t="s">
        <v>4308</v>
      </c>
      <c r="E363" t="s">
        <v>4309</v>
      </c>
      <c r="F363" t="s">
        <v>3357</v>
      </c>
      <c r="G363" t="s">
        <v>4310</v>
      </c>
    </row>
    <row r="364" spans="1:7" ht="11.25" customHeight="1">
      <c r="A364" t="s">
        <v>14</v>
      </c>
      <c r="B364" t="s">
        <v>4280</v>
      </c>
      <c r="C364" t="s">
        <v>4281</v>
      </c>
      <c r="D364" t="s">
        <v>4311</v>
      </c>
      <c r="E364" t="s">
        <v>4312</v>
      </c>
      <c r="F364" t="s">
        <v>3357</v>
      </c>
      <c r="G364" t="s">
        <v>4313</v>
      </c>
    </row>
    <row r="365" spans="1:7" ht="11.25" customHeight="1">
      <c r="A365" t="s">
        <v>14</v>
      </c>
      <c r="B365" t="s">
        <v>4280</v>
      </c>
      <c r="C365" t="s">
        <v>4281</v>
      </c>
      <c r="D365" t="s">
        <v>4314</v>
      </c>
      <c r="E365" t="s">
        <v>4315</v>
      </c>
      <c r="F365" t="s">
        <v>3357</v>
      </c>
      <c r="G365" t="s">
        <v>4316</v>
      </c>
    </row>
    <row r="366" spans="1:7" ht="11.25" customHeight="1">
      <c r="A366" t="s">
        <v>14</v>
      </c>
      <c r="B366" t="s">
        <v>4280</v>
      </c>
      <c r="C366" t="s">
        <v>4281</v>
      </c>
      <c r="D366" t="s">
        <v>4280</v>
      </c>
      <c r="E366" t="s">
        <v>4281</v>
      </c>
      <c r="F366" t="s">
        <v>3354</v>
      </c>
      <c r="G366" t="s">
        <v>4317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16"/>
  <sheetViews>
    <sheetView showGridLines="0" workbookViewId="0"/>
  </sheetViews>
  <sheetFormatPr defaultColWidth="9.140625" defaultRowHeight="11.25" customHeight="1"/>
  <cols>
    <col min="1" max="4" width="9.140625" style="1610"/>
  </cols>
  <sheetData>
    <row r="1" spans="1:4" ht="11.25" customHeight="1">
      <c r="A1" s="749" t="s">
        <v>4318</v>
      </c>
      <c r="B1" s="749" t="s">
        <v>4319</v>
      </c>
      <c r="C1" s="749" t="s">
        <v>4320</v>
      </c>
      <c r="D1" s="749" t="s">
        <v>4321</v>
      </c>
    </row>
    <row r="2" spans="1:4" ht="11.25" customHeight="1">
      <c r="A2" s="1610" t="s">
        <v>95</v>
      </c>
      <c r="B2" s="1610" t="s">
        <v>4322</v>
      </c>
      <c r="C2" s="1610" t="s">
        <v>4323</v>
      </c>
      <c r="D2" s="1610" t="s">
        <v>4324</v>
      </c>
    </row>
    <row r="3" spans="1:4" ht="11.25" customHeight="1">
      <c r="A3" s="1610" t="s">
        <v>99</v>
      </c>
      <c r="B3" s="1610" t="s">
        <v>4325</v>
      </c>
      <c r="C3" s="1610" t="s">
        <v>4326</v>
      </c>
      <c r="D3" s="1610" t="s">
        <v>4327</v>
      </c>
    </row>
    <row r="4" spans="1:4" ht="11.25" customHeight="1">
      <c r="A4" s="1610" t="s">
        <v>86</v>
      </c>
      <c r="B4" s="1610" t="s">
        <v>4328</v>
      </c>
      <c r="C4" s="1610" t="s">
        <v>4326</v>
      </c>
      <c r="D4" s="1610" t="s">
        <v>4327</v>
      </c>
    </row>
    <row r="5" spans="1:4" ht="11.25" customHeight="1">
      <c r="A5" s="1610" t="s">
        <v>87</v>
      </c>
      <c r="B5" s="1610" t="s">
        <v>4329</v>
      </c>
      <c r="C5" s="1610" t="s">
        <v>4326</v>
      </c>
      <c r="D5" s="1610" t="s">
        <v>4327</v>
      </c>
    </row>
    <row r="6" spans="1:4" ht="11.25" customHeight="1">
      <c r="A6" s="1610" t="s">
        <v>113</v>
      </c>
      <c r="B6" s="1610" t="s">
        <v>4330</v>
      </c>
      <c r="C6" s="1610" t="s">
        <v>4331</v>
      </c>
      <c r="D6" s="1610" t="s">
        <v>4324</v>
      </c>
    </row>
    <row r="7" spans="1:4" ht="11.25" customHeight="1">
      <c r="A7" s="1610" t="s">
        <v>88</v>
      </c>
      <c r="B7" s="1610" t="s">
        <v>4332</v>
      </c>
      <c r="C7" s="1610" t="s">
        <v>4333</v>
      </c>
      <c r="D7" s="1610" t="s">
        <v>4324</v>
      </c>
    </row>
    <row r="8" spans="1:4" ht="11.25" customHeight="1">
      <c r="A8" s="1610" t="s">
        <v>89</v>
      </c>
      <c r="B8" s="1610" t="s">
        <v>4334</v>
      </c>
      <c r="C8" s="1610" t="s">
        <v>4335</v>
      </c>
      <c r="D8" s="1610" t="s">
        <v>4336</v>
      </c>
    </row>
    <row r="9" spans="1:4" ht="11.25" customHeight="1">
      <c r="A9" s="1610" t="s">
        <v>126</v>
      </c>
      <c r="B9" s="1610" t="s">
        <v>4337</v>
      </c>
      <c r="C9" s="1610" t="s">
        <v>4335</v>
      </c>
      <c r="D9" s="1610" t="s">
        <v>4336</v>
      </c>
    </row>
    <row r="10" spans="1:4" ht="11.25" customHeight="1">
      <c r="A10" s="1610" t="s">
        <v>131</v>
      </c>
      <c r="B10" s="1610" t="s">
        <v>4338</v>
      </c>
      <c r="C10" s="1610" t="s">
        <v>4326</v>
      </c>
      <c r="D10" s="1610" t="s">
        <v>4327</v>
      </c>
    </row>
    <row r="11" spans="1:4" ht="11.25" customHeight="1">
      <c r="A11" s="1610" t="s">
        <v>136</v>
      </c>
      <c r="B11" s="1610" t="s">
        <v>4339</v>
      </c>
      <c r="C11" s="1610" t="s">
        <v>4333</v>
      </c>
      <c r="D11" s="1610" t="s">
        <v>4327</v>
      </c>
    </row>
    <row r="12" spans="1:4" ht="11.25" customHeight="1">
      <c r="A12" s="1610" t="s">
        <v>102</v>
      </c>
      <c r="B12" s="1610" t="s">
        <v>4340</v>
      </c>
      <c r="C12" s="1610" t="s">
        <v>4333</v>
      </c>
      <c r="D12" s="1610" t="s">
        <v>4341</v>
      </c>
    </row>
    <row r="13" spans="1:4" ht="11.25" customHeight="1">
      <c r="A13" s="1610" t="s">
        <v>145</v>
      </c>
      <c r="B13" s="1610" t="s">
        <v>4342</v>
      </c>
      <c r="C13" s="1610" t="s">
        <v>4343</v>
      </c>
      <c r="D13" s="1610" t="s">
        <v>4327</v>
      </c>
    </row>
    <row r="14" spans="1:4" ht="11.25" customHeight="1">
      <c r="A14" s="1610" t="s">
        <v>150</v>
      </c>
      <c r="B14" s="1610" t="s">
        <v>4344</v>
      </c>
      <c r="C14" s="1610" t="s">
        <v>4343</v>
      </c>
      <c r="D14" s="1610" t="s">
        <v>4327</v>
      </c>
    </row>
    <row r="15" spans="1:4" ht="11.25" customHeight="1">
      <c r="A15" s="1610" t="s">
        <v>155</v>
      </c>
      <c r="B15" s="1610" t="s">
        <v>4345</v>
      </c>
      <c r="C15" s="1610" t="s">
        <v>4333</v>
      </c>
      <c r="D15" s="1610" t="s">
        <v>4336</v>
      </c>
    </row>
    <row r="16" spans="1:4" ht="11.25" customHeight="1">
      <c r="A16" s="1610" t="s">
        <v>160</v>
      </c>
      <c r="B16" s="1610" t="s">
        <v>4346</v>
      </c>
      <c r="C16" s="1610" t="s">
        <v>4335</v>
      </c>
      <c r="D16" s="1610" t="s">
        <v>4336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2"/>
  <sheetViews>
    <sheetView showGridLines="0" workbookViewId="0"/>
  </sheetViews>
  <sheetFormatPr defaultColWidth="9.140625" defaultRowHeight="11.25" customHeight="1"/>
  <cols>
    <col min="1" max="2" width="9.140625" style="101"/>
  </cols>
  <sheetData>
    <row r="1" spans="1:2" ht="11.25" customHeight="1">
      <c r="A1" s="101" t="s">
        <v>218</v>
      </c>
      <c r="B1" s="101" t="s">
        <v>4347</v>
      </c>
    </row>
    <row r="2" spans="1:2" ht="11.25" customHeight="1">
      <c r="A2" s="101" t="s">
        <v>94</v>
      </c>
      <c r="B2" s="101" t="s">
        <v>4348</v>
      </c>
    </row>
    <row r="3" spans="1:2" ht="11.25" customHeight="1">
      <c r="A3" s="101" t="s">
        <v>101</v>
      </c>
      <c r="B3" s="101" t="s">
        <v>4349</v>
      </c>
    </row>
    <row r="4" spans="1:2" ht="11.25" customHeight="1">
      <c r="A4" s="101" t="s">
        <v>105</v>
      </c>
      <c r="B4" s="101" t="s">
        <v>4350</v>
      </c>
    </row>
    <row r="5" spans="1:2" ht="11.25" customHeight="1">
      <c r="A5" s="101" t="s">
        <v>109</v>
      </c>
      <c r="B5" s="101" t="s">
        <v>4351</v>
      </c>
    </row>
    <row r="6" spans="1:2" ht="11.25" customHeight="1">
      <c r="A6" s="101" t="s">
        <v>114</v>
      </c>
      <c r="B6" s="101" t="s">
        <v>4352</v>
      </c>
    </row>
    <row r="7" spans="1:2" ht="11.25" customHeight="1">
      <c r="A7" s="101" t="s">
        <v>118</v>
      </c>
      <c r="B7" s="101" t="s">
        <v>4353</v>
      </c>
    </row>
    <row r="8" spans="1:2" ht="11.25" customHeight="1">
      <c r="A8" s="101" t="s">
        <v>122</v>
      </c>
      <c r="B8" s="101" t="s">
        <v>4354</v>
      </c>
    </row>
    <row r="9" spans="1:2" ht="11.25" customHeight="1">
      <c r="A9" s="101" t="s">
        <v>127</v>
      </c>
      <c r="B9" s="101" t="s">
        <v>4355</v>
      </c>
    </row>
    <row r="10" spans="1:2" ht="11.25" customHeight="1">
      <c r="A10" s="101" t="s">
        <v>132</v>
      </c>
      <c r="B10" s="101" t="s">
        <v>4356</v>
      </c>
    </row>
    <row r="11" spans="1:2" ht="11.25" customHeight="1">
      <c r="A11" s="101" t="s">
        <v>137</v>
      </c>
      <c r="B11" s="101" t="s">
        <v>4357</v>
      </c>
    </row>
    <row r="12" spans="1:2" ht="11.25" customHeight="1">
      <c r="A12" s="101" t="s">
        <v>141</v>
      </c>
      <c r="B12" s="101" t="s">
        <v>4358</v>
      </c>
    </row>
    <row r="13" spans="1:2" ht="11.25" customHeight="1">
      <c r="A13" s="101" t="s">
        <v>146</v>
      </c>
      <c r="B13" s="101" t="s">
        <v>4359</v>
      </c>
    </row>
    <row r="14" spans="1:2" ht="11.25" customHeight="1">
      <c r="A14" s="101" t="s">
        <v>151</v>
      </c>
      <c r="B14" s="101" t="s">
        <v>4360</v>
      </c>
    </row>
    <row r="15" spans="1:2" ht="11.25" customHeight="1">
      <c r="A15" s="101" t="s">
        <v>156</v>
      </c>
      <c r="B15" s="101" t="s">
        <v>4361</v>
      </c>
    </row>
    <row r="16" spans="1:2" ht="11.25" customHeight="1">
      <c r="A16" s="101" t="s">
        <v>161</v>
      </c>
      <c r="B16" s="101" t="s">
        <v>4362</v>
      </c>
    </row>
    <row r="17" spans="1:2" ht="11.25" customHeight="1">
      <c r="A17" s="101" t="s">
        <v>166</v>
      </c>
      <c r="B17" s="101" t="s">
        <v>4363</v>
      </c>
    </row>
    <row r="18" spans="1:2" ht="11.25" customHeight="1">
      <c r="A18" s="101" t="s">
        <v>171</v>
      </c>
      <c r="B18" s="101" t="s">
        <v>4364</v>
      </c>
    </row>
    <row r="19" spans="1:2" ht="11.25" customHeight="1">
      <c r="A19" s="101" t="s">
        <v>176</v>
      </c>
      <c r="B19" s="101" t="s">
        <v>4365</v>
      </c>
    </row>
    <row r="20" spans="1:2" ht="11.25" customHeight="1">
      <c r="A20" s="101" t="s">
        <v>181</v>
      </c>
      <c r="B20" s="101" t="s">
        <v>4366</v>
      </c>
    </row>
    <row r="21" spans="1:2" ht="11.25" customHeight="1">
      <c r="A21" s="101" t="s">
        <v>186</v>
      </c>
      <c r="B21" s="101" t="s">
        <v>4367</v>
      </c>
    </row>
    <row r="22" spans="1:2" ht="11.25" customHeight="1">
      <c r="A22" s="101" t="s">
        <v>191</v>
      </c>
      <c r="B22" s="101" t="s">
        <v>4368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4369</v>
      </c>
      <c r="B1" s="749" t="s">
        <v>4370</v>
      </c>
    </row>
    <row r="2" spans="1:2" ht="11.25" customHeight="1">
      <c r="A2" s="749">
        <v>4213775</v>
      </c>
      <c r="B2" s="749" t="s">
        <v>1692</v>
      </c>
    </row>
    <row r="3" spans="1:2" ht="11.25" customHeight="1">
      <c r="A3" s="749">
        <v>4213784</v>
      </c>
      <c r="B3" s="749" t="s">
        <v>1727</v>
      </c>
    </row>
    <row r="4" spans="1:2" ht="11.25" customHeight="1">
      <c r="A4" s="749">
        <v>4213781</v>
      </c>
      <c r="B4" s="749" t="s">
        <v>1720</v>
      </c>
    </row>
    <row r="5" spans="1:2" ht="11.25" customHeight="1">
      <c r="A5" s="749">
        <v>4213776</v>
      </c>
      <c r="B5" s="749" t="s">
        <v>248</v>
      </c>
    </row>
    <row r="6" spans="1:2" ht="11.25" customHeight="1">
      <c r="A6" s="749">
        <v>4213777</v>
      </c>
      <c r="B6" s="749" t="s">
        <v>254</v>
      </c>
    </row>
    <row r="7" spans="1:2" ht="11.25" customHeight="1">
      <c r="A7" s="749">
        <v>4213778</v>
      </c>
      <c r="B7" s="749" t="s">
        <v>260</v>
      </c>
    </row>
    <row r="8" spans="1:2" ht="11.25" customHeight="1">
      <c r="A8" s="749">
        <v>4213780</v>
      </c>
      <c r="B8" s="749" t="s">
        <v>266</v>
      </c>
    </row>
    <row r="9" spans="1:2" ht="11.25" customHeight="1">
      <c r="A9" s="749">
        <v>4213779</v>
      </c>
      <c r="B9" s="749" t="s">
        <v>1859</v>
      </c>
    </row>
    <row r="10" spans="1:2" ht="11.25" customHeight="1">
      <c r="A10" s="749">
        <v>4213783</v>
      </c>
      <c r="B10" s="749" t="s">
        <v>1874</v>
      </c>
    </row>
    <row r="11" spans="1:2" ht="11.25" customHeight="1">
      <c r="A11" s="749">
        <v>4213782</v>
      </c>
      <c r="B11" s="749" t="s">
        <v>272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4369</v>
      </c>
      <c r="B1" s="749" t="s">
        <v>4371</v>
      </c>
    </row>
    <row r="2" spans="1:2" ht="11.25" customHeight="1">
      <c r="A2" s="749" t="s">
        <v>4372</v>
      </c>
      <c r="B2" s="749" t="s">
        <v>1968</v>
      </c>
    </row>
    <row r="3" spans="1:2" ht="11.25" customHeight="1">
      <c r="A3" s="749" t="s">
        <v>4373</v>
      </c>
      <c r="B3" s="749" t="s">
        <v>1977</v>
      </c>
    </row>
    <row r="4" spans="1:2" ht="11.25" customHeight="1">
      <c r="A4" s="749" t="s">
        <v>309</v>
      </c>
      <c r="B4" s="749" t="s">
        <v>1985</v>
      </c>
    </row>
    <row r="5" spans="1:2" ht="11.25" customHeight="1">
      <c r="A5" s="749" t="s">
        <v>4374</v>
      </c>
      <c r="B5" s="749" t="s">
        <v>1994</v>
      </c>
    </row>
    <row r="6" spans="1:2" ht="11.25" customHeight="1">
      <c r="A6" s="749" t="s">
        <v>4375</v>
      </c>
      <c r="B6" s="749" t="s">
        <v>1999</v>
      </c>
    </row>
    <row r="7" spans="1:2" ht="11.25" customHeight="1">
      <c r="A7" s="749" t="s">
        <v>4376</v>
      </c>
      <c r="B7" s="749" t="s">
        <v>2006</v>
      </c>
    </row>
    <row r="8" spans="1:2" ht="11.25" customHeight="1">
      <c r="A8" s="749" t="s">
        <v>4377</v>
      </c>
      <c r="B8" s="749" t="s">
        <v>2012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48.42578125" style="1555" customWidth="1"/>
    <col min="6" max="6" width="38.140625" style="1555" customWidth="1"/>
    <col min="7" max="7" width="1.7109375" style="1555" hidden="1" customWidth="1"/>
    <col min="8" max="11" width="19.85546875" style="1555" hidden="1" customWidth="1"/>
    <col min="12" max="12" width="9.7109375" style="1555" hidden="1" customWidth="1"/>
    <col min="13" max="18" width="19.85546875" style="1555" hidden="1" customWidth="1"/>
    <col min="19" max="19" width="1.7109375" style="1555" hidden="1" customWidth="1"/>
    <col min="20" max="22" width="19.85546875" style="1555" hidden="1" customWidth="1"/>
    <col min="23" max="23" width="1.7109375" style="1555" hidden="1" customWidth="1"/>
    <col min="24" max="26" width="19.85546875" style="1555" customWidth="1"/>
    <col min="27" max="27" width="1.7109375" style="1555" hidden="1" customWidth="1"/>
    <col min="28" max="29" width="19.85546875" style="1555" hidden="1" customWidth="1"/>
    <col min="30" max="30" width="1.7109375" style="1555" hidden="1" customWidth="1"/>
    <col min="31" max="32" width="103.7109375" style="1555" hidden="1" customWidth="1"/>
    <col min="33" max="33" width="103.7109375" style="1555" customWidth="1"/>
    <col min="34" max="34" width="103.7109375" style="1555" hidden="1" customWidth="1"/>
    <col min="35" max="35" width="3.7109375" style="1739" customWidth="1"/>
    <col min="36" max="38" width="10.5703125" style="1562"/>
    <col min="39" max="39" width="13.7109375" style="1562" hidden="1" customWidth="1"/>
    <col min="40" max="40" width="15.42578125" style="1562" customWidth="1"/>
    <col min="41" max="41" width="16.28515625" style="1562" customWidth="1"/>
    <col min="42" max="45" width="10.5703125" style="1562"/>
  </cols>
  <sheetData>
    <row r="1" spans="1:45" ht="14.25" hidden="1" customHeight="1">
      <c r="E1" s="341"/>
      <c r="F1" s="341"/>
      <c r="G1" s="341"/>
      <c r="H1" s="8731" t="s">
        <v>817</v>
      </c>
      <c r="I1" s="8731"/>
      <c r="J1" s="8731"/>
      <c r="K1" s="8731"/>
      <c r="L1" s="8731"/>
      <c r="M1" s="8731"/>
      <c r="N1" s="8731"/>
      <c r="O1" s="8731"/>
      <c r="P1" s="8731"/>
      <c r="Q1" s="8731"/>
      <c r="R1" s="8731"/>
      <c r="T1" s="8731" t="s">
        <v>818</v>
      </c>
      <c r="U1" s="8731"/>
      <c r="V1" s="8731"/>
      <c r="X1" s="8731" t="s">
        <v>819</v>
      </c>
      <c r="Y1" s="8731"/>
      <c r="Z1" s="8731"/>
      <c r="AB1" s="8731" t="s">
        <v>820</v>
      </c>
      <c r="AC1" s="8731"/>
    </row>
    <row r="2" spans="1:45" ht="14.25" hidden="1" customHeight="1"/>
    <row r="3" spans="1:45" s="1534" customFormat="1" ht="6" customHeight="1">
      <c r="C3" s="618"/>
      <c r="D3" s="619"/>
      <c r="E3" s="619"/>
      <c r="F3" s="619"/>
      <c r="G3" s="619"/>
      <c r="H3" s="619" t="s">
        <v>821</v>
      </c>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J3" s="435"/>
      <c r="AK3" s="435"/>
      <c r="AL3" s="435"/>
      <c r="AM3" s="435"/>
      <c r="AN3" s="435"/>
      <c r="AO3" s="435"/>
      <c r="AP3" s="435"/>
      <c r="AQ3" s="435"/>
      <c r="AR3" s="435"/>
      <c r="AS3" s="435"/>
    </row>
    <row r="4" spans="1:45" ht="37.5" customHeight="1">
      <c r="C4" s="375"/>
      <c r="D4" s="8788" t="str">
        <f>ORG_VD_NAME_FORM</f>
        <v>Форма 1. Информация об организации, осуществляющей холодное водоснабжение (общая информация)</v>
      </c>
      <c r="E4" s="8789"/>
      <c r="F4" s="8789"/>
      <c r="G4" s="8789"/>
      <c r="H4" s="8789"/>
      <c r="I4" s="8789"/>
      <c r="J4" s="8789"/>
      <c r="K4" s="8789"/>
      <c r="L4" s="8789"/>
      <c r="M4" s="8789"/>
      <c r="N4" s="8789"/>
      <c r="O4" s="8789"/>
      <c r="P4" s="8789"/>
      <c r="Q4" s="8789"/>
      <c r="R4" s="8790"/>
      <c r="S4" s="767"/>
      <c r="T4" s="617"/>
      <c r="U4" s="617"/>
      <c r="V4" s="617"/>
      <c r="W4" s="617"/>
      <c r="X4" s="617"/>
      <c r="Y4" s="617"/>
      <c r="Z4" s="617"/>
      <c r="AA4" s="617"/>
      <c r="AB4" s="617"/>
      <c r="AC4" s="617"/>
      <c r="AD4" s="617"/>
      <c r="AE4" s="415"/>
      <c r="AF4" s="415"/>
      <c r="AG4" s="415"/>
      <c r="AH4" s="415"/>
      <c r="AI4" s="412"/>
    </row>
    <row r="5" spans="1:45" s="1555" customFormat="1" ht="17.25" customHeight="1">
      <c r="A5" s="674"/>
      <c r="C5" s="736"/>
      <c r="D5" s="8848" t="str">
        <f>IF(org=0,"Не определено",org)</f>
        <v>ГУП СК "Ставрополькрайводоканал"</v>
      </c>
      <c r="E5" s="8849"/>
      <c r="F5" s="8849"/>
      <c r="G5" s="8849"/>
      <c r="H5" s="8849"/>
      <c r="I5" s="8849"/>
      <c r="J5" s="8849"/>
      <c r="K5" s="8849"/>
      <c r="L5" s="8849"/>
      <c r="M5" s="8849"/>
      <c r="N5" s="8849"/>
      <c r="O5" s="8849"/>
      <c r="P5" s="8849"/>
      <c r="Q5" s="8849"/>
      <c r="R5" s="8850"/>
      <c r="S5" s="767"/>
      <c r="T5" s="617"/>
      <c r="U5" s="617"/>
      <c r="V5" s="617"/>
      <c r="W5" s="617"/>
      <c r="X5" s="617"/>
      <c r="Y5" s="617"/>
      <c r="Z5" s="617"/>
      <c r="AA5" s="617"/>
      <c r="AB5" s="617"/>
      <c r="AC5" s="617"/>
      <c r="AD5" s="617"/>
      <c r="AE5" s="415"/>
      <c r="AF5" s="415"/>
      <c r="AG5" s="415"/>
      <c r="AH5" s="415"/>
      <c r="AI5" s="412"/>
      <c r="AJ5" s="435"/>
      <c r="AK5" s="435"/>
      <c r="AL5" s="435"/>
      <c r="AM5" s="435"/>
      <c r="AN5" s="435"/>
      <c r="AO5" s="435"/>
      <c r="AP5" s="435"/>
      <c r="AQ5" s="435"/>
      <c r="AR5" s="435"/>
      <c r="AS5" s="435"/>
    </row>
    <row r="6" spans="1:45" s="1533" customFormat="1" ht="11.25" customHeight="1">
      <c r="A6" s="403"/>
      <c r="C6" s="410"/>
      <c r="D6" s="409"/>
      <c r="E6" s="409"/>
      <c r="F6" s="409"/>
      <c r="G6" s="409"/>
      <c r="H6" s="409"/>
      <c r="I6" s="409"/>
      <c r="J6" s="409"/>
      <c r="K6" s="409"/>
      <c r="L6" s="409"/>
      <c r="M6" s="409"/>
      <c r="N6" s="409"/>
      <c r="O6" s="409"/>
      <c r="P6" s="409"/>
      <c r="Q6" s="409"/>
      <c r="R6" s="667"/>
      <c r="S6" s="667"/>
      <c r="T6" s="409"/>
      <c r="U6" s="409"/>
      <c r="V6" s="629"/>
      <c r="W6" s="629"/>
      <c r="X6" s="409"/>
      <c r="Y6" s="409"/>
      <c r="Z6" s="629"/>
      <c r="AA6" s="629"/>
      <c r="AB6" s="409"/>
      <c r="AC6" s="629"/>
      <c r="AD6" s="629"/>
      <c r="AE6" s="409"/>
      <c r="AF6" s="409"/>
      <c r="AG6" s="409"/>
      <c r="AH6" s="409"/>
      <c r="AJ6" s="413"/>
      <c r="AK6" s="413"/>
      <c r="AL6" s="413"/>
      <c r="AM6" s="413"/>
      <c r="AN6" s="413"/>
      <c r="AO6" s="413"/>
      <c r="AP6" s="413"/>
      <c r="AQ6" s="413"/>
      <c r="AR6" s="413"/>
      <c r="AS6" s="413"/>
    </row>
    <row r="7" spans="1:45" ht="14.25" customHeight="1">
      <c r="C7" s="375"/>
      <c r="D7" s="8851" t="s">
        <v>763</v>
      </c>
      <c r="E7" s="8852"/>
      <c r="F7" s="8852"/>
      <c r="G7" s="8852"/>
      <c r="H7" s="8852"/>
      <c r="I7" s="8852"/>
      <c r="J7" s="8852"/>
      <c r="K7" s="8852"/>
      <c r="L7" s="8852"/>
      <c r="M7" s="8852"/>
      <c r="N7" s="8852"/>
      <c r="O7" s="8852"/>
      <c r="P7" s="8852"/>
      <c r="Q7" s="8852"/>
      <c r="R7" s="8852"/>
      <c r="S7" s="8852"/>
      <c r="T7" s="8852"/>
      <c r="U7" s="8852"/>
      <c r="V7" s="8852"/>
      <c r="W7" s="8852"/>
      <c r="X7" s="8852"/>
      <c r="Y7" s="8852"/>
      <c r="Z7" s="8852"/>
      <c r="AA7" s="8852"/>
      <c r="AB7" s="8852"/>
      <c r="AC7" s="8852"/>
      <c r="AD7" s="8853"/>
      <c r="AE7" s="8786" t="s">
        <v>764</v>
      </c>
      <c r="AF7" s="8786" t="s">
        <v>764</v>
      </c>
      <c r="AG7" s="8786" t="s">
        <v>764</v>
      </c>
      <c r="AH7" s="8786" t="s">
        <v>764</v>
      </c>
    </row>
    <row r="8" spans="1:45" ht="25.5" customHeight="1">
      <c r="C8" s="375"/>
      <c r="D8" s="8753" t="s">
        <v>84</v>
      </c>
      <c r="E8" s="8786" t="str">
        <f>"Наименование "&amp;IF(TEMPLATE_SPHERE&lt;&gt;"HEAT","централизованной ","")&amp;"системы "&amp;TEMPLATE_SPHERE_RUS</f>
        <v>Наименование централизованной системы холодного водоснабжения</v>
      </c>
      <c r="F8" s="8786" t="str">
        <f>IF(TEMPLATE_SPHERE&lt;&gt;"HEAT","Регулируемый вид деятельности","Вид регулируемой деятельности")</f>
        <v>Регулируемый вид деятельности</v>
      </c>
      <c r="G8" s="742"/>
      <c r="H8" s="8856" t="s">
        <v>822</v>
      </c>
      <c r="I8" s="8858" t="s">
        <v>823</v>
      </c>
      <c r="J8" s="8786" t="s">
        <v>824</v>
      </c>
      <c r="K8" s="8786"/>
      <c r="L8" s="8786"/>
      <c r="M8" s="8851"/>
      <c r="N8" s="8786" t="s">
        <v>825</v>
      </c>
      <c r="O8" s="8786"/>
      <c r="P8" s="8786" t="s">
        <v>826</v>
      </c>
      <c r="Q8" s="8786"/>
      <c r="R8" s="8860" t="s">
        <v>827</v>
      </c>
      <c r="S8" s="738"/>
      <c r="T8" s="8856" t="s">
        <v>828</v>
      </c>
      <c r="U8" s="8856" t="s">
        <v>829</v>
      </c>
      <c r="V8" s="8856" t="s">
        <v>830</v>
      </c>
      <c r="W8" s="740"/>
      <c r="X8" s="8856" t="s">
        <v>831</v>
      </c>
      <c r="Y8" s="8856" t="s">
        <v>832</v>
      </c>
      <c r="Z8" s="8856" t="s">
        <v>833</v>
      </c>
      <c r="AA8" s="740"/>
      <c r="AB8" s="8856" t="s">
        <v>834</v>
      </c>
      <c r="AC8" s="8856" t="s">
        <v>827</v>
      </c>
      <c r="AD8" s="740"/>
      <c r="AE8" s="8786"/>
      <c r="AF8" s="8786"/>
      <c r="AG8" s="8786"/>
      <c r="AH8" s="8786"/>
    </row>
    <row r="9" spans="1:45" ht="43.5" customHeight="1">
      <c r="C9" s="375"/>
      <c r="D9" s="8753"/>
      <c r="E9" s="8786"/>
      <c r="F9" s="8786"/>
      <c r="G9" s="743"/>
      <c r="H9" s="8857"/>
      <c r="I9" s="8859"/>
      <c r="J9" s="352" t="s">
        <v>835</v>
      </c>
      <c r="K9" s="352" t="s">
        <v>836</v>
      </c>
      <c r="L9" s="352" t="s">
        <v>837</v>
      </c>
      <c r="M9" s="357" t="s">
        <v>838</v>
      </c>
      <c r="N9" s="352" t="s">
        <v>839</v>
      </c>
      <c r="O9" s="352" t="s">
        <v>838</v>
      </c>
      <c r="P9" s="352" t="s">
        <v>840</v>
      </c>
      <c r="Q9" s="352" t="s">
        <v>838</v>
      </c>
      <c r="R9" s="8861"/>
      <c r="S9" s="739"/>
      <c r="T9" s="8857"/>
      <c r="U9" s="8857"/>
      <c r="V9" s="8857"/>
      <c r="W9" s="741"/>
      <c r="X9" s="8857"/>
      <c r="Y9" s="8857"/>
      <c r="Z9" s="8857"/>
      <c r="AA9" s="741"/>
      <c r="AB9" s="8857"/>
      <c r="AC9" s="8857"/>
      <c r="AD9" s="741"/>
      <c r="AE9" s="8786"/>
      <c r="AF9" s="8786"/>
      <c r="AG9" s="8786"/>
      <c r="AH9" s="8786"/>
    </row>
    <row r="10" spans="1:45" ht="12" hidden="1" customHeight="1">
      <c r="C10" s="411"/>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3"/>
      <c r="AP10" s="424"/>
      <c r="AQ10" s="424"/>
    </row>
    <row r="11" spans="1:45" s="1561" customFormat="1" ht="11.25" hidden="1" customHeight="1">
      <c r="C11" s="422"/>
      <c r="D11" s="423" t="s">
        <v>841</v>
      </c>
      <c r="E11" s="423"/>
      <c r="F11" s="423"/>
      <c r="G11" s="423"/>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361"/>
      <c r="AF11" s="361"/>
      <c r="AG11" s="361"/>
      <c r="AH11" s="361"/>
      <c r="AJ11" s="413"/>
      <c r="AK11" s="413"/>
      <c r="AL11" s="413"/>
      <c r="AM11" s="413"/>
      <c r="AN11" s="413"/>
      <c r="AO11" s="413"/>
      <c r="AP11" s="413"/>
      <c r="AQ11" s="413"/>
      <c r="AR11" s="413"/>
      <c r="AS11" s="413"/>
    </row>
    <row r="12" spans="1:45" ht="14.25" customHeight="1">
      <c r="A12" s="373"/>
      <c r="C12" s="375"/>
      <c r="D12" s="360" t="s">
        <v>95</v>
      </c>
      <c r="E12" s="1697" t="s">
        <v>24</v>
      </c>
      <c r="F12" s="769"/>
      <c r="G12" s="770"/>
      <c r="H12" s="1698"/>
      <c r="I12" s="1698"/>
      <c r="J12" s="359"/>
      <c r="K12" s="1782"/>
      <c r="L12" s="358"/>
      <c r="M12" s="1782"/>
      <c r="N12" s="359"/>
      <c r="O12" s="1782"/>
      <c r="P12" s="359"/>
      <c r="Q12" s="1782"/>
      <c r="R12" s="359"/>
      <c r="S12" s="768"/>
      <c r="T12" s="1698"/>
      <c r="U12" s="359"/>
      <c r="V12" s="359"/>
      <c r="W12" s="741"/>
      <c r="X12" s="1698"/>
      <c r="Y12" s="359"/>
      <c r="Z12" s="359"/>
      <c r="AA12" s="741"/>
      <c r="AB12" s="1698"/>
      <c r="AC12" s="359"/>
      <c r="AD12" s="741"/>
      <c r="AE12" s="8854" t="s">
        <v>842</v>
      </c>
      <c r="AF12" s="8854" t="s">
        <v>843</v>
      </c>
      <c r="AG12" s="8854" t="s">
        <v>844</v>
      </c>
      <c r="AH12" s="8854" t="s">
        <v>845</v>
      </c>
      <c r="AI12" s="373"/>
      <c r="AM12" s="435"/>
      <c r="AP12" s="424" t="s">
        <v>846</v>
      </c>
      <c r="AQ12" s="424" t="s">
        <v>846</v>
      </c>
    </row>
    <row r="13" spans="1:45" ht="17.25" customHeight="1">
      <c r="A13" s="373"/>
      <c r="C13" s="375"/>
      <c r="D13" s="334"/>
      <c r="E13" s="783" t="str">
        <f>IF(TITLE_DIFFERENTIATION_TYPE="нет","","Добавить систему")</f>
        <v/>
      </c>
      <c r="F13" s="783" t="str">
        <f>IF(TITLE_DIFFERENTIATION_TYPE="нет","Добавить вид деятельности","")</f>
        <v>Добавить вид деятельности</v>
      </c>
      <c r="G13" s="229"/>
      <c r="H13" s="335"/>
      <c r="I13" s="335"/>
      <c r="J13" s="335"/>
      <c r="K13" s="335"/>
      <c r="L13" s="335"/>
      <c r="M13" s="335"/>
      <c r="N13" s="335"/>
      <c r="O13" s="335"/>
      <c r="P13" s="335"/>
      <c r="Q13" s="335"/>
      <c r="R13" s="335"/>
      <c r="S13" s="335"/>
      <c r="T13" s="335"/>
      <c r="U13" s="335"/>
      <c r="V13" s="335"/>
      <c r="W13" s="335"/>
      <c r="X13" s="335"/>
      <c r="Y13" s="335"/>
      <c r="Z13" s="335"/>
      <c r="AA13" s="335"/>
      <c r="AB13" s="335"/>
      <c r="AC13" s="335"/>
      <c r="AD13" s="771"/>
      <c r="AE13" s="8855"/>
      <c r="AF13" s="8855"/>
      <c r="AG13" s="8855"/>
      <c r="AH13" s="8855"/>
      <c r="AI13" s="373"/>
    </row>
    <row r="14" spans="1:45" ht="14.25" customHeight="1">
      <c r="AI14" s="373"/>
    </row>
    <row r="15" spans="1:45" ht="14.25" customHeight="1">
      <c r="E15" s="673"/>
      <c r="L15" s="673"/>
    </row>
    <row r="16" spans="1:45" ht="14.25" customHeight="1">
      <c r="L16" s="673"/>
    </row>
    <row r="17" spans="12:12" ht="14.25" customHeight="1">
      <c r="L17" s="673"/>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46"/>
  <sheetViews>
    <sheetView showGridLines="0" workbookViewId="0"/>
  </sheetViews>
  <sheetFormatPr defaultRowHeight="11.25" customHeight="1"/>
  <sheetData>
    <row r="1" spans="1:7" ht="11.25" customHeight="1">
      <c r="A1" t="s">
        <v>3344</v>
      </c>
      <c r="B1" t="s">
        <v>3345</v>
      </c>
      <c r="C1" t="s">
        <v>3346</v>
      </c>
      <c r="D1" t="s">
        <v>3347</v>
      </c>
      <c r="E1" t="s">
        <v>3348</v>
      </c>
      <c r="F1" t="s">
        <v>3349</v>
      </c>
      <c r="G1" t="s">
        <v>3350</v>
      </c>
    </row>
    <row r="2" spans="1:7" ht="11.25" customHeight="1">
      <c r="A2" t="s">
        <v>14</v>
      </c>
      <c r="B2" t="s">
        <v>3352</v>
      </c>
      <c r="C2" t="s">
        <v>3353</v>
      </c>
      <c r="D2" t="s">
        <v>3352</v>
      </c>
      <c r="E2" t="s">
        <v>3353</v>
      </c>
      <c r="F2" t="s">
        <v>3354</v>
      </c>
      <c r="G2" t="s">
        <v>99</v>
      </c>
    </row>
    <row r="3" spans="1:7" ht="11.25" customHeight="1">
      <c r="A3" t="s">
        <v>14</v>
      </c>
      <c r="B3" t="s">
        <v>3352</v>
      </c>
      <c r="C3" t="s">
        <v>3353</v>
      </c>
      <c r="D3" t="s">
        <v>3355</v>
      </c>
      <c r="E3" t="s">
        <v>3356</v>
      </c>
      <c r="F3" t="s">
        <v>3357</v>
      </c>
      <c r="G3" t="s">
        <v>86</v>
      </c>
    </row>
    <row r="4" spans="1:7" ht="11.25" customHeight="1">
      <c r="A4" t="s">
        <v>14</v>
      </c>
      <c r="B4" t="s">
        <v>3352</v>
      </c>
      <c r="C4" t="s">
        <v>3353</v>
      </c>
      <c r="D4" t="s">
        <v>3358</v>
      </c>
      <c r="E4" t="s">
        <v>3359</v>
      </c>
      <c r="F4" t="s">
        <v>3357</v>
      </c>
      <c r="G4" t="s">
        <v>87</v>
      </c>
    </row>
    <row r="5" spans="1:7" ht="11.25" customHeight="1">
      <c r="A5" t="s">
        <v>14</v>
      </c>
      <c r="B5" t="s">
        <v>3352</v>
      </c>
      <c r="C5" t="s">
        <v>3353</v>
      </c>
      <c r="D5" t="s">
        <v>3360</v>
      </c>
      <c r="E5" t="s">
        <v>3361</v>
      </c>
      <c r="F5" t="s">
        <v>3357</v>
      </c>
      <c r="G5" t="s">
        <v>113</v>
      </c>
    </row>
    <row r="6" spans="1:7" ht="11.25" customHeight="1">
      <c r="A6" t="s">
        <v>14</v>
      </c>
      <c r="B6" t="s">
        <v>3352</v>
      </c>
      <c r="C6" t="s">
        <v>3353</v>
      </c>
      <c r="D6" t="s">
        <v>3362</v>
      </c>
      <c r="E6" t="s">
        <v>3363</v>
      </c>
      <c r="F6" t="s">
        <v>3357</v>
      </c>
      <c r="G6" t="s">
        <v>88</v>
      </c>
    </row>
    <row r="7" spans="1:7" ht="11.25" customHeight="1">
      <c r="A7" t="s">
        <v>14</v>
      </c>
      <c r="B7" t="s">
        <v>3352</v>
      </c>
      <c r="C7" t="s">
        <v>3353</v>
      </c>
      <c r="D7" t="s">
        <v>3364</v>
      </c>
      <c r="E7" t="s">
        <v>3365</v>
      </c>
      <c r="F7" t="s">
        <v>3357</v>
      </c>
      <c r="G7" t="s">
        <v>89</v>
      </c>
    </row>
    <row r="8" spans="1:7" ht="11.25" customHeight="1">
      <c r="A8" t="s">
        <v>14</v>
      </c>
      <c r="B8" t="s">
        <v>3352</v>
      </c>
      <c r="C8" t="s">
        <v>3353</v>
      </c>
      <c r="D8" t="s">
        <v>3366</v>
      </c>
      <c r="E8" t="s">
        <v>3367</v>
      </c>
      <c r="F8" t="s">
        <v>3357</v>
      </c>
      <c r="G8" t="s">
        <v>126</v>
      </c>
    </row>
    <row r="9" spans="1:7" ht="11.25" customHeight="1">
      <c r="A9" t="s">
        <v>14</v>
      </c>
      <c r="B9" t="s">
        <v>3352</v>
      </c>
      <c r="C9" t="s">
        <v>3353</v>
      </c>
      <c r="D9" t="s">
        <v>3368</v>
      </c>
      <c r="E9" t="s">
        <v>3369</v>
      </c>
      <c r="F9" t="s">
        <v>3357</v>
      </c>
      <c r="G9" t="s">
        <v>131</v>
      </c>
    </row>
    <row r="10" spans="1:7" ht="11.25" customHeight="1">
      <c r="A10" t="s">
        <v>14</v>
      </c>
      <c r="B10" t="s">
        <v>3352</v>
      </c>
      <c r="C10" t="s">
        <v>3353</v>
      </c>
      <c r="D10" t="s">
        <v>3370</v>
      </c>
      <c r="E10" t="s">
        <v>3371</v>
      </c>
      <c r="F10" t="s">
        <v>3357</v>
      </c>
      <c r="G10" t="s">
        <v>136</v>
      </c>
    </row>
    <row r="11" spans="1:7" ht="11.25" customHeight="1">
      <c r="A11" t="s">
        <v>14</v>
      </c>
      <c r="B11" t="s">
        <v>3372</v>
      </c>
      <c r="C11" t="s">
        <v>3373</v>
      </c>
      <c r="D11" t="s">
        <v>3372</v>
      </c>
      <c r="E11" t="s">
        <v>3373</v>
      </c>
      <c r="F11" t="s">
        <v>3354</v>
      </c>
      <c r="G11" t="s">
        <v>145</v>
      </c>
    </row>
    <row r="12" spans="1:7" ht="11.25" customHeight="1">
      <c r="A12" t="s">
        <v>14</v>
      </c>
      <c r="B12" t="s">
        <v>3372</v>
      </c>
      <c r="C12" t="s">
        <v>3373</v>
      </c>
      <c r="D12" t="s">
        <v>3374</v>
      </c>
      <c r="E12" t="s">
        <v>3375</v>
      </c>
      <c r="F12" t="s">
        <v>3357</v>
      </c>
      <c r="G12" t="s">
        <v>150</v>
      </c>
    </row>
    <row r="13" spans="1:7" ht="11.25" customHeight="1">
      <c r="A13" t="s">
        <v>14</v>
      </c>
      <c r="B13" t="s">
        <v>3372</v>
      </c>
      <c r="C13" t="s">
        <v>3373</v>
      </c>
      <c r="D13" t="s">
        <v>3376</v>
      </c>
      <c r="E13" t="s">
        <v>3377</v>
      </c>
      <c r="F13" t="s">
        <v>3357</v>
      </c>
      <c r="G13" t="s">
        <v>155</v>
      </c>
    </row>
    <row r="14" spans="1:7" ht="11.25" customHeight="1">
      <c r="A14" t="s">
        <v>14</v>
      </c>
      <c r="B14" t="s">
        <v>3372</v>
      </c>
      <c r="C14" t="s">
        <v>3373</v>
      </c>
      <c r="D14" t="s">
        <v>3378</v>
      </c>
      <c r="E14" t="s">
        <v>3379</v>
      </c>
      <c r="F14" t="s">
        <v>3357</v>
      </c>
      <c r="G14" t="s">
        <v>160</v>
      </c>
    </row>
    <row r="15" spans="1:7" ht="11.25" customHeight="1">
      <c r="A15" t="s">
        <v>14</v>
      </c>
      <c r="B15" t="s">
        <v>3372</v>
      </c>
      <c r="C15" t="s">
        <v>3373</v>
      </c>
      <c r="D15" t="s">
        <v>3380</v>
      </c>
      <c r="E15" t="s">
        <v>3381</v>
      </c>
      <c r="F15" t="s">
        <v>3357</v>
      </c>
      <c r="G15" t="s">
        <v>165</v>
      </c>
    </row>
    <row r="16" spans="1:7" ht="11.25" customHeight="1">
      <c r="A16" t="s">
        <v>14</v>
      </c>
      <c r="B16" t="s">
        <v>3372</v>
      </c>
      <c r="C16" t="s">
        <v>3373</v>
      </c>
      <c r="D16" t="s">
        <v>3382</v>
      </c>
      <c r="E16" t="s">
        <v>3383</v>
      </c>
      <c r="F16" t="s">
        <v>3357</v>
      </c>
      <c r="G16" t="s">
        <v>170</v>
      </c>
    </row>
    <row r="17" spans="1:7" ht="11.25" customHeight="1">
      <c r="A17" t="s">
        <v>14</v>
      </c>
      <c r="B17" t="s">
        <v>3372</v>
      </c>
      <c r="C17" t="s">
        <v>3373</v>
      </c>
      <c r="D17" t="s">
        <v>3384</v>
      </c>
      <c r="E17" t="s">
        <v>3385</v>
      </c>
      <c r="F17" t="s">
        <v>3357</v>
      </c>
      <c r="G17" t="s">
        <v>175</v>
      </c>
    </row>
    <row r="18" spans="1:7" ht="11.25" customHeight="1">
      <c r="A18" t="s">
        <v>14</v>
      </c>
      <c r="B18" t="s">
        <v>3372</v>
      </c>
      <c r="C18" t="s">
        <v>3373</v>
      </c>
      <c r="D18" t="s">
        <v>3386</v>
      </c>
      <c r="E18" t="s">
        <v>3387</v>
      </c>
      <c r="F18" t="s">
        <v>3357</v>
      </c>
      <c r="G18" t="s">
        <v>180</v>
      </c>
    </row>
    <row r="19" spans="1:7" ht="11.25" customHeight="1">
      <c r="A19" t="s">
        <v>14</v>
      </c>
      <c r="B19" t="s">
        <v>3372</v>
      </c>
      <c r="C19" t="s">
        <v>3373</v>
      </c>
      <c r="D19" t="s">
        <v>3388</v>
      </c>
      <c r="E19" t="s">
        <v>3389</v>
      </c>
      <c r="F19" t="s">
        <v>3357</v>
      </c>
      <c r="G19" t="s">
        <v>185</v>
      </c>
    </row>
    <row r="20" spans="1:7" ht="11.25" customHeight="1">
      <c r="A20" t="s">
        <v>14</v>
      </c>
      <c r="B20" t="s">
        <v>3372</v>
      </c>
      <c r="C20" t="s">
        <v>3373</v>
      </c>
      <c r="D20" t="s">
        <v>3390</v>
      </c>
      <c r="E20" t="s">
        <v>3391</v>
      </c>
      <c r="F20" t="s">
        <v>3357</v>
      </c>
      <c r="G20" t="s">
        <v>190</v>
      </c>
    </row>
    <row r="21" spans="1:7" ht="11.25" customHeight="1">
      <c r="A21" t="s">
        <v>14</v>
      </c>
      <c r="B21" t="s">
        <v>3372</v>
      </c>
      <c r="C21" t="s">
        <v>3373</v>
      </c>
      <c r="D21" t="s">
        <v>3392</v>
      </c>
      <c r="E21" t="s">
        <v>3393</v>
      </c>
      <c r="F21" t="s">
        <v>3357</v>
      </c>
      <c r="G21" t="s">
        <v>416</v>
      </c>
    </row>
    <row r="22" spans="1:7" ht="11.25" customHeight="1">
      <c r="A22" t="s">
        <v>14</v>
      </c>
      <c r="B22" t="s">
        <v>3372</v>
      </c>
      <c r="C22" t="s">
        <v>3373</v>
      </c>
      <c r="D22" t="s">
        <v>3394</v>
      </c>
      <c r="E22" t="s">
        <v>3395</v>
      </c>
      <c r="F22" t="s">
        <v>3357</v>
      </c>
      <c r="G22" t="s">
        <v>422</v>
      </c>
    </row>
    <row r="23" spans="1:7" ht="11.25" customHeight="1">
      <c r="A23" t="s">
        <v>14</v>
      </c>
      <c r="B23" t="s">
        <v>3396</v>
      </c>
      <c r="C23" t="s">
        <v>3397</v>
      </c>
      <c r="D23" t="s">
        <v>3398</v>
      </c>
      <c r="E23" t="s">
        <v>3399</v>
      </c>
      <c r="F23" t="s">
        <v>3357</v>
      </c>
      <c r="G23" t="s">
        <v>433</v>
      </c>
    </row>
    <row r="24" spans="1:7" ht="11.25" customHeight="1">
      <c r="A24" t="s">
        <v>14</v>
      </c>
      <c r="B24" t="s">
        <v>3396</v>
      </c>
      <c r="C24" t="s">
        <v>3397</v>
      </c>
      <c r="D24" t="s">
        <v>3396</v>
      </c>
      <c r="E24" t="s">
        <v>3397</v>
      </c>
      <c r="F24" t="s">
        <v>3354</v>
      </c>
      <c r="G24" t="s">
        <v>439</v>
      </c>
    </row>
    <row r="25" spans="1:7" ht="11.25" customHeight="1">
      <c r="A25" t="s">
        <v>14</v>
      </c>
      <c r="B25" t="s">
        <v>3396</v>
      </c>
      <c r="C25" t="s">
        <v>3397</v>
      </c>
      <c r="D25" t="s">
        <v>3400</v>
      </c>
      <c r="E25" t="s">
        <v>3401</v>
      </c>
      <c r="F25" t="s">
        <v>3357</v>
      </c>
      <c r="G25" t="s">
        <v>445</v>
      </c>
    </row>
    <row r="26" spans="1:7" ht="11.25" customHeight="1">
      <c r="A26" t="s">
        <v>14</v>
      </c>
      <c r="B26" t="s">
        <v>3396</v>
      </c>
      <c r="C26" t="s">
        <v>3397</v>
      </c>
      <c r="D26" t="s">
        <v>3402</v>
      </c>
      <c r="E26" t="s">
        <v>3403</v>
      </c>
      <c r="F26" t="s">
        <v>3357</v>
      </c>
      <c r="G26" t="s">
        <v>451</v>
      </c>
    </row>
    <row r="27" spans="1:7" ht="11.25" customHeight="1">
      <c r="A27" t="s">
        <v>14</v>
      </c>
      <c r="B27" t="s">
        <v>3396</v>
      </c>
      <c r="C27" t="s">
        <v>3397</v>
      </c>
      <c r="D27" t="s">
        <v>3404</v>
      </c>
      <c r="E27" t="s">
        <v>3405</v>
      </c>
      <c r="F27" t="s">
        <v>3357</v>
      </c>
      <c r="G27" t="s">
        <v>457</v>
      </c>
    </row>
    <row r="28" spans="1:7" ht="11.25" customHeight="1">
      <c r="A28" t="s">
        <v>14</v>
      </c>
      <c r="B28" t="s">
        <v>3396</v>
      </c>
      <c r="C28" t="s">
        <v>3397</v>
      </c>
      <c r="D28" t="s">
        <v>3406</v>
      </c>
      <c r="E28" t="s">
        <v>3407</v>
      </c>
      <c r="F28" t="s">
        <v>3357</v>
      </c>
      <c r="G28" t="s">
        <v>463</v>
      </c>
    </row>
    <row r="29" spans="1:7" ht="11.25" customHeight="1">
      <c r="A29" t="s">
        <v>14</v>
      </c>
      <c r="B29" t="s">
        <v>3396</v>
      </c>
      <c r="C29" t="s">
        <v>3397</v>
      </c>
      <c r="D29" t="s">
        <v>3408</v>
      </c>
      <c r="E29" t="s">
        <v>3409</v>
      </c>
      <c r="F29" t="s">
        <v>3357</v>
      </c>
      <c r="G29" t="s">
        <v>469</v>
      </c>
    </row>
    <row r="30" spans="1:7" ht="11.25" customHeight="1">
      <c r="A30" t="s">
        <v>14</v>
      </c>
      <c r="B30" t="s">
        <v>3396</v>
      </c>
      <c r="C30" t="s">
        <v>3397</v>
      </c>
      <c r="D30" t="s">
        <v>3410</v>
      </c>
      <c r="E30" t="s">
        <v>3411</v>
      </c>
      <c r="F30" t="s">
        <v>3357</v>
      </c>
      <c r="G30" t="s">
        <v>475</v>
      </c>
    </row>
    <row r="31" spans="1:7" ht="11.25" customHeight="1">
      <c r="A31" t="s">
        <v>14</v>
      </c>
      <c r="B31" t="s">
        <v>3396</v>
      </c>
      <c r="C31" t="s">
        <v>3397</v>
      </c>
      <c r="D31" t="s">
        <v>3412</v>
      </c>
      <c r="E31" t="s">
        <v>3413</v>
      </c>
      <c r="F31" t="s">
        <v>3357</v>
      </c>
      <c r="G31" t="s">
        <v>481</v>
      </c>
    </row>
    <row r="32" spans="1:7" ht="11.25" customHeight="1">
      <c r="A32" t="s">
        <v>14</v>
      </c>
      <c r="B32" t="s">
        <v>3396</v>
      </c>
      <c r="C32" t="s">
        <v>3397</v>
      </c>
      <c r="D32" t="s">
        <v>3414</v>
      </c>
      <c r="E32" t="s">
        <v>3415</v>
      </c>
      <c r="F32" t="s">
        <v>3357</v>
      </c>
      <c r="G32" t="s">
        <v>487</v>
      </c>
    </row>
    <row r="33" spans="1:7" ht="11.25" customHeight="1">
      <c r="A33" t="s">
        <v>14</v>
      </c>
      <c r="B33" t="s">
        <v>3396</v>
      </c>
      <c r="C33" t="s">
        <v>3397</v>
      </c>
      <c r="D33" t="s">
        <v>3416</v>
      </c>
      <c r="E33" t="s">
        <v>3417</v>
      </c>
      <c r="F33" t="s">
        <v>3357</v>
      </c>
      <c r="G33" t="s">
        <v>493</v>
      </c>
    </row>
    <row r="34" spans="1:7" ht="11.25" customHeight="1">
      <c r="A34" t="s">
        <v>14</v>
      </c>
      <c r="B34" t="s">
        <v>3396</v>
      </c>
      <c r="C34" t="s">
        <v>3397</v>
      </c>
      <c r="D34" t="s">
        <v>3418</v>
      </c>
      <c r="E34" t="s">
        <v>3419</v>
      </c>
      <c r="F34" t="s">
        <v>3357</v>
      </c>
      <c r="G34" t="s">
        <v>499</v>
      </c>
    </row>
    <row r="35" spans="1:7" ht="11.25" customHeight="1">
      <c r="A35" t="s">
        <v>14</v>
      </c>
      <c r="B35" t="s">
        <v>3420</v>
      </c>
      <c r="C35" t="s">
        <v>3421</v>
      </c>
      <c r="D35" t="s">
        <v>3420</v>
      </c>
      <c r="E35" t="s">
        <v>3421</v>
      </c>
      <c r="F35" t="s">
        <v>3354</v>
      </c>
      <c r="G35" t="s">
        <v>510</v>
      </c>
    </row>
    <row r="36" spans="1:7" ht="11.25" customHeight="1">
      <c r="A36" t="s">
        <v>14</v>
      </c>
      <c r="B36" t="s">
        <v>3420</v>
      </c>
      <c r="C36" t="s">
        <v>3421</v>
      </c>
      <c r="D36" t="s">
        <v>3422</v>
      </c>
      <c r="E36" t="s">
        <v>3423</v>
      </c>
      <c r="F36" t="s">
        <v>3357</v>
      </c>
      <c r="G36" t="s">
        <v>516</v>
      </c>
    </row>
    <row r="37" spans="1:7" ht="11.25" customHeight="1">
      <c r="A37" t="s">
        <v>14</v>
      </c>
      <c r="B37" t="s">
        <v>3420</v>
      </c>
      <c r="C37" t="s">
        <v>3421</v>
      </c>
      <c r="D37" t="s">
        <v>3424</v>
      </c>
      <c r="E37" t="s">
        <v>3425</v>
      </c>
      <c r="F37" t="s">
        <v>3357</v>
      </c>
      <c r="G37" t="s">
        <v>522</v>
      </c>
    </row>
    <row r="38" spans="1:7" ht="11.25" customHeight="1">
      <c r="A38" t="s">
        <v>14</v>
      </c>
      <c r="B38" t="s">
        <v>3420</v>
      </c>
      <c r="C38" t="s">
        <v>3421</v>
      </c>
      <c r="D38" t="s">
        <v>3426</v>
      </c>
      <c r="E38" t="s">
        <v>3427</v>
      </c>
      <c r="F38" t="s">
        <v>3357</v>
      </c>
      <c r="G38" t="s">
        <v>528</v>
      </c>
    </row>
    <row r="39" spans="1:7" ht="11.25" customHeight="1">
      <c r="A39" t="s">
        <v>14</v>
      </c>
      <c r="B39" t="s">
        <v>3420</v>
      </c>
      <c r="C39" t="s">
        <v>3421</v>
      </c>
      <c r="D39" t="s">
        <v>3428</v>
      </c>
      <c r="E39" t="s">
        <v>3429</v>
      </c>
      <c r="F39" t="s">
        <v>3357</v>
      </c>
      <c r="G39" t="s">
        <v>534</v>
      </c>
    </row>
    <row r="40" spans="1:7" ht="11.25" customHeight="1">
      <c r="A40" t="s">
        <v>14</v>
      </c>
      <c r="B40" t="s">
        <v>3420</v>
      </c>
      <c r="C40" t="s">
        <v>3421</v>
      </c>
      <c r="D40" t="s">
        <v>3430</v>
      </c>
      <c r="E40" t="s">
        <v>3431</v>
      </c>
      <c r="F40" t="s">
        <v>3357</v>
      </c>
      <c r="G40" t="s">
        <v>539</v>
      </c>
    </row>
    <row r="41" spans="1:7" ht="11.25" customHeight="1">
      <c r="A41" t="s">
        <v>14</v>
      </c>
      <c r="B41" t="s">
        <v>3420</v>
      </c>
      <c r="C41" t="s">
        <v>3421</v>
      </c>
      <c r="D41" t="s">
        <v>3432</v>
      </c>
      <c r="E41" t="s">
        <v>3433</v>
      </c>
      <c r="F41" t="s">
        <v>3357</v>
      </c>
      <c r="G41" t="s">
        <v>545</v>
      </c>
    </row>
    <row r="42" spans="1:7" ht="11.25" customHeight="1">
      <c r="A42" t="s">
        <v>14</v>
      </c>
      <c r="B42" t="s">
        <v>3420</v>
      </c>
      <c r="C42" t="s">
        <v>3421</v>
      </c>
      <c r="D42" t="s">
        <v>3434</v>
      </c>
      <c r="E42" t="s">
        <v>3435</v>
      </c>
      <c r="F42" t="s">
        <v>3357</v>
      </c>
      <c r="G42" t="s">
        <v>551</v>
      </c>
    </row>
    <row r="43" spans="1:7" ht="11.25" customHeight="1">
      <c r="A43" t="s">
        <v>14</v>
      </c>
      <c r="B43" t="s">
        <v>3420</v>
      </c>
      <c r="C43" t="s">
        <v>3421</v>
      </c>
      <c r="D43" t="s">
        <v>3436</v>
      </c>
      <c r="E43" t="s">
        <v>3437</v>
      </c>
      <c r="F43" t="s">
        <v>3357</v>
      </c>
      <c r="G43" t="s">
        <v>557</v>
      </c>
    </row>
    <row r="44" spans="1:7" ht="11.25" customHeight="1">
      <c r="A44" t="s">
        <v>14</v>
      </c>
      <c r="B44" t="s">
        <v>3438</v>
      </c>
      <c r="C44" t="s">
        <v>3439</v>
      </c>
      <c r="D44" t="s">
        <v>3438</v>
      </c>
      <c r="E44" t="s">
        <v>3439</v>
      </c>
      <c r="F44" t="s">
        <v>3440</v>
      </c>
      <c r="G44" t="s">
        <v>563</v>
      </c>
    </row>
    <row r="45" spans="1:7" ht="11.25" customHeight="1">
      <c r="A45" t="s">
        <v>14</v>
      </c>
      <c r="B45" t="s">
        <v>3441</v>
      </c>
      <c r="C45" t="s">
        <v>3442</v>
      </c>
      <c r="D45" t="s">
        <v>3441</v>
      </c>
      <c r="E45" t="s">
        <v>3442</v>
      </c>
      <c r="F45" t="s">
        <v>3351</v>
      </c>
      <c r="G45" t="s">
        <v>569</v>
      </c>
    </row>
    <row r="46" spans="1:7" ht="11.25" customHeight="1">
      <c r="A46" t="s">
        <v>14</v>
      </c>
      <c r="B46" t="s">
        <v>3443</v>
      </c>
      <c r="C46" t="s">
        <v>3444</v>
      </c>
      <c r="D46" t="s">
        <v>3445</v>
      </c>
      <c r="E46" t="s">
        <v>3446</v>
      </c>
      <c r="F46" t="s">
        <v>3357</v>
      </c>
      <c r="G46" t="s">
        <v>575</v>
      </c>
    </row>
    <row r="47" spans="1:7" ht="11.25" customHeight="1">
      <c r="A47" t="s">
        <v>14</v>
      </c>
      <c r="B47" t="s">
        <v>3443</v>
      </c>
      <c r="C47" t="s">
        <v>3444</v>
      </c>
      <c r="D47" t="s">
        <v>3447</v>
      </c>
      <c r="E47" t="s">
        <v>3448</v>
      </c>
      <c r="F47" t="s">
        <v>3357</v>
      </c>
      <c r="G47" t="s">
        <v>581</v>
      </c>
    </row>
    <row r="48" spans="1:7" ht="11.25" customHeight="1">
      <c r="A48" t="s">
        <v>14</v>
      </c>
      <c r="B48" t="s">
        <v>3443</v>
      </c>
      <c r="C48" t="s">
        <v>3444</v>
      </c>
      <c r="D48" t="s">
        <v>3449</v>
      </c>
      <c r="E48" t="s">
        <v>3450</v>
      </c>
      <c r="F48" t="s">
        <v>3357</v>
      </c>
      <c r="G48" t="s">
        <v>587</v>
      </c>
    </row>
    <row r="49" spans="1:7" ht="11.25" customHeight="1">
      <c r="A49" t="s">
        <v>14</v>
      </c>
      <c r="B49" t="s">
        <v>3443</v>
      </c>
      <c r="C49" t="s">
        <v>3444</v>
      </c>
      <c r="D49" t="s">
        <v>3443</v>
      </c>
      <c r="E49" t="s">
        <v>3444</v>
      </c>
      <c r="F49" t="s">
        <v>3354</v>
      </c>
      <c r="G49" t="s">
        <v>593</v>
      </c>
    </row>
    <row r="50" spans="1:7" ht="11.25" customHeight="1">
      <c r="A50" t="s">
        <v>14</v>
      </c>
      <c r="B50" t="s">
        <v>3443</v>
      </c>
      <c r="C50" t="s">
        <v>3444</v>
      </c>
      <c r="D50" t="s">
        <v>3451</v>
      </c>
      <c r="E50" t="s">
        <v>3452</v>
      </c>
      <c r="F50" t="s">
        <v>3453</v>
      </c>
      <c r="G50" t="s">
        <v>599</v>
      </c>
    </row>
    <row r="51" spans="1:7" ht="11.25" customHeight="1">
      <c r="A51" t="s">
        <v>14</v>
      </c>
      <c r="B51" t="s">
        <v>3443</v>
      </c>
      <c r="C51" t="s">
        <v>3444</v>
      </c>
      <c r="D51" t="s">
        <v>3454</v>
      </c>
      <c r="E51" t="s">
        <v>3455</v>
      </c>
      <c r="F51" t="s">
        <v>3357</v>
      </c>
      <c r="G51" t="s">
        <v>605</v>
      </c>
    </row>
    <row r="52" spans="1:7" ht="11.25" customHeight="1">
      <c r="A52" t="s">
        <v>14</v>
      </c>
      <c r="B52" t="s">
        <v>3443</v>
      </c>
      <c r="C52" t="s">
        <v>3444</v>
      </c>
      <c r="D52" t="s">
        <v>3456</v>
      </c>
      <c r="E52" t="s">
        <v>3457</v>
      </c>
      <c r="F52" t="s">
        <v>3357</v>
      </c>
      <c r="G52" t="s">
        <v>611</v>
      </c>
    </row>
    <row r="53" spans="1:7" ht="11.25" customHeight="1">
      <c r="A53" t="s">
        <v>14</v>
      </c>
      <c r="B53" t="s">
        <v>3443</v>
      </c>
      <c r="C53" t="s">
        <v>3444</v>
      </c>
      <c r="D53" t="s">
        <v>3458</v>
      </c>
      <c r="E53" t="s">
        <v>3459</v>
      </c>
      <c r="F53" t="s">
        <v>3357</v>
      </c>
      <c r="G53" t="s">
        <v>617</v>
      </c>
    </row>
    <row r="54" spans="1:7" ht="11.25" customHeight="1">
      <c r="A54" t="s">
        <v>14</v>
      </c>
      <c r="B54" t="s">
        <v>3443</v>
      </c>
      <c r="C54" t="s">
        <v>3444</v>
      </c>
      <c r="D54" t="s">
        <v>3460</v>
      </c>
      <c r="E54" t="s">
        <v>3461</v>
      </c>
      <c r="F54" t="s">
        <v>3357</v>
      </c>
      <c r="G54" t="s">
        <v>623</v>
      </c>
    </row>
    <row r="55" spans="1:7" ht="11.25" customHeight="1">
      <c r="A55" t="s">
        <v>14</v>
      </c>
      <c r="B55" t="s">
        <v>3443</v>
      </c>
      <c r="C55" t="s">
        <v>3444</v>
      </c>
      <c r="D55" t="s">
        <v>3462</v>
      </c>
      <c r="E55" t="s">
        <v>3463</v>
      </c>
      <c r="F55" t="s">
        <v>3357</v>
      </c>
      <c r="G55" t="s">
        <v>629</v>
      </c>
    </row>
    <row r="56" spans="1:7" ht="11.25" customHeight="1">
      <c r="A56" t="s">
        <v>14</v>
      </c>
      <c r="B56" t="s">
        <v>3443</v>
      </c>
      <c r="C56" t="s">
        <v>3444</v>
      </c>
      <c r="D56" t="s">
        <v>3464</v>
      </c>
      <c r="E56" t="s">
        <v>3465</v>
      </c>
      <c r="F56" t="s">
        <v>3357</v>
      </c>
      <c r="G56" t="s">
        <v>635</v>
      </c>
    </row>
    <row r="57" spans="1:7" ht="11.25" customHeight="1">
      <c r="A57" t="s">
        <v>14</v>
      </c>
      <c r="B57" t="s">
        <v>3443</v>
      </c>
      <c r="C57" t="s">
        <v>3444</v>
      </c>
      <c r="D57" t="s">
        <v>3466</v>
      </c>
      <c r="E57" t="s">
        <v>3467</v>
      </c>
      <c r="F57" t="s">
        <v>3357</v>
      </c>
      <c r="G57" t="s">
        <v>641</v>
      </c>
    </row>
    <row r="58" spans="1:7" ht="11.25" customHeight="1">
      <c r="A58" t="s">
        <v>14</v>
      </c>
      <c r="B58" t="s">
        <v>3443</v>
      </c>
      <c r="C58" t="s">
        <v>3444</v>
      </c>
      <c r="D58" t="s">
        <v>3468</v>
      </c>
      <c r="E58" t="s">
        <v>3469</v>
      </c>
      <c r="F58" t="s">
        <v>3357</v>
      </c>
      <c r="G58" t="s">
        <v>647</v>
      </c>
    </row>
    <row r="59" spans="1:7" ht="11.25" customHeight="1">
      <c r="A59" t="s">
        <v>14</v>
      </c>
      <c r="B59" t="s">
        <v>3443</v>
      </c>
      <c r="C59" t="s">
        <v>3444</v>
      </c>
      <c r="D59" t="s">
        <v>3470</v>
      </c>
      <c r="E59" t="s">
        <v>3471</v>
      </c>
      <c r="F59" t="s">
        <v>3357</v>
      </c>
      <c r="G59" t="s">
        <v>653</v>
      </c>
    </row>
    <row r="60" spans="1:7" ht="11.25" customHeight="1">
      <c r="A60" t="s">
        <v>14</v>
      </c>
      <c r="B60" t="s">
        <v>3443</v>
      </c>
      <c r="C60" t="s">
        <v>3444</v>
      </c>
      <c r="D60" t="s">
        <v>3472</v>
      </c>
      <c r="E60" t="s">
        <v>3473</v>
      </c>
      <c r="F60" t="s">
        <v>3357</v>
      </c>
      <c r="G60" t="s">
        <v>659</v>
      </c>
    </row>
    <row r="61" spans="1:7" ht="11.25" customHeight="1">
      <c r="A61" t="s">
        <v>14</v>
      </c>
      <c r="B61" t="s">
        <v>3474</v>
      </c>
      <c r="C61" t="s">
        <v>3475</v>
      </c>
      <c r="D61" t="s">
        <v>3476</v>
      </c>
      <c r="E61" t="s">
        <v>3477</v>
      </c>
      <c r="F61" t="s">
        <v>3357</v>
      </c>
      <c r="G61" t="s">
        <v>670</v>
      </c>
    </row>
    <row r="62" spans="1:7" ht="11.25" customHeight="1">
      <c r="A62" t="s">
        <v>14</v>
      </c>
      <c r="B62" t="s">
        <v>3474</v>
      </c>
      <c r="C62" t="s">
        <v>3475</v>
      </c>
      <c r="D62" t="s">
        <v>3474</v>
      </c>
      <c r="E62" t="s">
        <v>3475</v>
      </c>
      <c r="F62" t="s">
        <v>3354</v>
      </c>
      <c r="G62" t="s">
        <v>676</v>
      </c>
    </row>
    <row r="63" spans="1:7" ht="11.25" customHeight="1">
      <c r="A63" t="s">
        <v>14</v>
      </c>
      <c r="B63" t="s">
        <v>3474</v>
      </c>
      <c r="C63" t="s">
        <v>3475</v>
      </c>
      <c r="D63" t="s">
        <v>3478</v>
      </c>
      <c r="E63" t="s">
        <v>3479</v>
      </c>
      <c r="F63" t="s">
        <v>3453</v>
      </c>
      <c r="G63" t="s">
        <v>682</v>
      </c>
    </row>
    <row r="64" spans="1:7" ht="11.25" customHeight="1">
      <c r="A64" t="s">
        <v>14</v>
      </c>
      <c r="B64" t="s">
        <v>3474</v>
      </c>
      <c r="C64" t="s">
        <v>3475</v>
      </c>
      <c r="D64" t="s">
        <v>3480</v>
      </c>
      <c r="E64" t="s">
        <v>3481</v>
      </c>
      <c r="F64" t="s">
        <v>3357</v>
      </c>
      <c r="G64" t="s">
        <v>688</v>
      </c>
    </row>
    <row r="65" spans="1:7" ht="11.25" customHeight="1">
      <c r="A65" t="s">
        <v>14</v>
      </c>
      <c r="B65" t="s">
        <v>3474</v>
      </c>
      <c r="C65" t="s">
        <v>3475</v>
      </c>
      <c r="D65" t="s">
        <v>3482</v>
      </c>
      <c r="E65" t="s">
        <v>3483</v>
      </c>
      <c r="F65" t="s">
        <v>3357</v>
      </c>
      <c r="G65" t="s">
        <v>694</v>
      </c>
    </row>
    <row r="66" spans="1:7" ht="11.25" customHeight="1">
      <c r="A66" t="s">
        <v>14</v>
      </c>
      <c r="B66" t="s">
        <v>3474</v>
      </c>
      <c r="C66" t="s">
        <v>3475</v>
      </c>
      <c r="D66" t="s">
        <v>3484</v>
      </c>
      <c r="E66" t="s">
        <v>3485</v>
      </c>
      <c r="F66" t="s">
        <v>3357</v>
      </c>
      <c r="G66" t="s">
        <v>700</v>
      </c>
    </row>
    <row r="67" spans="1:7" ht="11.25" customHeight="1">
      <c r="A67" t="s">
        <v>14</v>
      </c>
      <c r="B67" t="s">
        <v>3474</v>
      </c>
      <c r="C67" t="s">
        <v>3475</v>
      </c>
      <c r="D67" t="s">
        <v>3486</v>
      </c>
      <c r="E67" t="s">
        <v>3487</v>
      </c>
      <c r="F67" t="s">
        <v>3357</v>
      </c>
      <c r="G67" t="s">
        <v>3488</v>
      </c>
    </row>
    <row r="68" spans="1:7" ht="11.25" customHeight="1">
      <c r="A68" t="s">
        <v>14</v>
      </c>
      <c r="B68" t="s">
        <v>3474</v>
      </c>
      <c r="C68" t="s">
        <v>3475</v>
      </c>
      <c r="D68" t="s">
        <v>3489</v>
      </c>
      <c r="E68" t="s">
        <v>3490</v>
      </c>
      <c r="F68" t="s">
        <v>3357</v>
      </c>
      <c r="G68" t="s">
        <v>3491</v>
      </c>
    </row>
    <row r="69" spans="1:7" ht="11.25" customHeight="1">
      <c r="A69" t="s">
        <v>14</v>
      </c>
      <c r="B69" t="s">
        <v>3474</v>
      </c>
      <c r="C69" t="s">
        <v>3475</v>
      </c>
      <c r="D69" t="s">
        <v>3492</v>
      </c>
      <c r="E69" t="s">
        <v>3493</v>
      </c>
      <c r="F69" t="s">
        <v>3357</v>
      </c>
      <c r="G69" t="s">
        <v>3494</v>
      </c>
    </row>
    <row r="70" spans="1:7" ht="11.25" customHeight="1">
      <c r="A70" t="s">
        <v>14</v>
      </c>
      <c r="B70" t="s">
        <v>3474</v>
      </c>
      <c r="C70" t="s">
        <v>3475</v>
      </c>
      <c r="D70" t="s">
        <v>3495</v>
      </c>
      <c r="E70" t="s">
        <v>3496</v>
      </c>
      <c r="F70" t="s">
        <v>3357</v>
      </c>
      <c r="G70" t="s">
        <v>3497</v>
      </c>
    </row>
    <row r="71" spans="1:7" ht="11.25" customHeight="1">
      <c r="A71" t="s">
        <v>14</v>
      </c>
      <c r="B71" t="s">
        <v>3474</v>
      </c>
      <c r="C71" t="s">
        <v>3475</v>
      </c>
      <c r="D71" t="s">
        <v>3498</v>
      </c>
      <c r="E71" t="s">
        <v>3499</v>
      </c>
      <c r="F71" t="s">
        <v>3357</v>
      </c>
      <c r="G71" t="s">
        <v>3500</v>
      </c>
    </row>
    <row r="72" spans="1:7" ht="11.25" customHeight="1">
      <c r="A72" t="s">
        <v>14</v>
      </c>
      <c r="B72" t="s">
        <v>3474</v>
      </c>
      <c r="C72" t="s">
        <v>3475</v>
      </c>
      <c r="D72" t="s">
        <v>3501</v>
      </c>
      <c r="E72" t="s">
        <v>3502</v>
      </c>
      <c r="F72" t="s">
        <v>3357</v>
      </c>
      <c r="G72" t="s">
        <v>3503</v>
      </c>
    </row>
    <row r="73" spans="1:7" ht="11.25" customHeight="1">
      <c r="A73" t="s">
        <v>14</v>
      </c>
      <c r="B73" t="s">
        <v>3474</v>
      </c>
      <c r="C73" t="s">
        <v>3475</v>
      </c>
      <c r="D73" t="s">
        <v>3504</v>
      </c>
      <c r="E73" t="s">
        <v>3505</v>
      </c>
      <c r="F73" t="s">
        <v>3357</v>
      </c>
      <c r="G73" t="s">
        <v>3506</v>
      </c>
    </row>
    <row r="74" spans="1:7" ht="11.25" customHeight="1">
      <c r="A74" t="s">
        <v>14</v>
      </c>
      <c r="B74" t="s">
        <v>3474</v>
      </c>
      <c r="C74" t="s">
        <v>3475</v>
      </c>
      <c r="D74" t="s">
        <v>3507</v>
      </c>
      <c r="E74" t="s">
        <v>3508</v>
      </c>
      <c r="F74" t="s">
        <v>3357</v>
      </c>
      <c r="G74" t="s">
        <v>3509</v>
      </c>
    </row>
    <row r="75" spans="1:7" ht="11.25" customHeight="1">
      <c r="A75" t="s">
        <v>14</v>
      </c>
      <c r="B75" t="s">
        <v>3474</v>
      </c>
      <c r="C75" t="s">
        <v>3475</v>
      </c>
      <c r="D75" t="s">
        <v>3510</v>
      </c>
      <c r="E75" t="s">
        <v>3511</v>
      </c>
      <c r="F75" t="s">
        <v>3357</v>
      </c>
      <c r="G75" t="s">
        <v>3512</v>
      </c>
    </row>
    <row r="76" spans="1:7" ht="11.25" customHeight="1">
      <c r="A76" t="s">
        <v>14</v>
      </c>
      <c r="B76" t="s">
        <v>3513</v>
      </c>
      <c r="C76" t="s">
        <v>3514</v>
      </c>
      <c r="D76" t="s">
        <v>3513</v>
      </c>
      <c r="E76" t="s">
        <v>3514</v>
      </c>
      <c r="F76" t="s">
        <v>3351</v>
      </c>
      <c r="G76" t="s">
        <v>3515</v>
      </c>
    </row>
    <row r="77" spans="1:7" ht="11.25" customHeight="1">
      <c r="A77" t="s">
        <v>14</v>
      </c>
      <c r="B77" t="s">
        <v>3516</v>
      </c>
      <c r="C77" t="s">
        <v>3517</v>
      </c>
      <c r="D77" t="s">
        <v>3447</v>
      </c>
      <c r="E77" t="s">
        <v>3518</v>
      </c>
      <c r="F77" t="s">
        <v>3357</v>
      </c>
      <c r="G77" t="s">
        <v>3519</v>
      </c>
    </row>
    <row r="78" spans="1:7" ht="11.25" customHeight="1">
      <c r="A78" t="s">
        <v>14</v>
      </c>
      <c r="B78" t="s">
        <v>3516</v>
      </c>
      <c r="C78" t="s">
        <v>3517</v>
      </c>
      <c r="D78" t="s">
        <v>3520</v>
      </c>
      <c r="E78" t="s">
        <v>3521</v>
      </c>
      <c r="F78" t="s">
        <v>3357</v>
      </c>
      <c r="G78" t="s">
        <v>3522</v>
      </c>
    </row>
    <row r="79" spans="1:7" ht="11.25" customHeight="1">
      <c r="A79" t="s">
        <v>14</v>
      </c>
      <c r="B79" t="s">
        <v>3516</v>
      </c>
      <c r="C79" t="s">
        <v>3517</v>
      </c>
      <c r="D79" t="s">
        <v>3516</v>
      </c>
      <c r="E79" t="s">
        <v>3517</v>
      </c>
      <c r="F79" t="s">
        <v>3354</v>
      </c>
      <c r="G79" t="s">
        <v>3523</v>
      </c>
    </row>
    <row r="80" spans="1:7" ht="11.25" customHeight="1">
      <c r="A80" t="s">
        <v>14</v>
      </c>
      <c r="B80" t="s">
        <v>3516</v>
      </c>
      <c r="C80" t="s">
        <v>3517</v>
      </c>
      <c r="D80" t="s">
        <v>3524</v>
      </c>
      <c r="E80" t="s">
        <v>3525</v>
      </c>
      <c r="F80" t="s">
        <v>3357</v>
      </c>
      <c r="G80" t="s">
        <v>3526</v>
      </c>
    </row>
    <row r="81" spans="1:7" ht="11.25" customHeight="1">
      <c r="A81" t="s">
        <v>14</v>
      </c>
      <c r="B81" t="s">
        <v>3516</v>
      </c>
      <c r="C81" t="s">
        <v>3517</v>
      </c>
      <c r="D81" t="s">
        <v>3527</v>
      </c>
      <c r="E81" t="s">
        <v>3528</v>
      </c>
      <c r="F81" t="s">
        <v>3357</v>
      </c>
      <c r="G81" t="s">
        <v>3529</v>
      </c>
    </row>
    <row r="82" spans="1:7" ht="11.25" customHeight="1">
      <c r="A82" t="s">
        <v>14</v>
      </c>
      <c r="B82" t="s">
        <v>3516</v>
      </c>
      <c r="C82" t="s">
        <v>3517</v>
      </c>
      <c r="D82" t="s">
        <v>3530</v>
      </c>
      <c r="E82" t="s">
        <v>3531</v>
      </c>
      <c r="F82" t="s">
        <v>3357</v>
      </c>
      <c r="G82" t="s">
        <v>3532</v>
      </c>
    </row>
    <row r="83" spans="1:7" ht="11.25" customHeight="1">
      <c r="A83" t="s">
        <v>14</v>
      </c>
      <c r="B83" t="s">
        <v>3516</v>
      </c>
      <c r="C83" t="s">
        <v>3517</v>
      </c>
      <c r="D83" t="s">
        <v>3533</v>
      </c>
      <c r="E83" t="s">
        <v>3534</v>
      </c>
      <c r="F83" t="s">
        <v>3357</v>
      </c>
      <c r="G83" t="s">
        <v>3535</v>
      </c>
    </row>
    <row r="84" spans="1:7" ht="11.25" customHeight="1">
      <c r="A84" t="s">
        <v>14</v>
      </c>
      <c r="B84" t="s">
        <v>3516</v>
      </c>
      <c r="C84" t="s">
        <v>3517</v>
      </c>
      <c r="D84" t="s">
        <v>3536</v>
      </c>
      <c r="E84" t="s">
        <v>3537</v>
      </c>
      <c r="F84" t="s">
        <v>3357</v>
      </c>
      <c r="G84" t="s">
        <v>3538</v>
      </c>
    </row>
    <row r="85" spans="1:7" ht="11.25" customHeight="1">
      <c r="A85" t="s">
        <v>14</v>
      </c>
      <c r="B85" t="s">
        <v>3516</v>
      </c>
      <c r="C85" t="s">
        <v>3517</v>
      </c>
      <c r="D85" t="s">
        <v>3539</v>
      </c>
      <c r="E85" t="s">
        <v>3540</v>
      </c>
      <c r="F85" t="s">
        <v>3357</v>
      </c>
      <c r="G85" t="s">
        <v>3541</v>
      </c>
    </row>
    <row r="86" spans="1:7" ht="11.25" customHeight="1">
      <c r="A86" t="s">
        <v>14</v>
      </c>
      <c r="B86" t="s">
        <v>3516</v>
      </c>
      <c r="C86" t="s">
        <v>3517</v>
      </c>
      <c r="D86" t="s">
        <v>3542</v>
      </c>
      <c r="E86" t="s">
        <v>3543</v>
      </c>
      <c r="F86" t="s">
        <v>3357</v>
      </c>
      <c r="G86" t="s">
        <v>3544</v>
      </c>
    </row>
    <row r="87" spans="1:7" ht="11.25" customHeight="1">
      <c r="A87" t="s">
        <v>14</v>
      </c>
      <c r="B87" t="s">
        <v>3516</v>
      </c>
      <c r="C87" t="s">
        <v>3517</v>
      </c>
      <c r="D87" t="s">
        <v>3545</v>
      </c>
      <c r="E87" t="s">
        <v>3546</v>
      </c>
      <c r="F87" t="s">
        <v>3357</v>
      </c>
      <c r="G87" t="s">
        <v>3547</v>
      </c>
    </row>
    <row r="88" spans="1:7" ht="11.25" customHeight="1">
      <c r="A88" t="s">
        <v>14</v>
      </c>
      <c r="B88" t="s">
        <v>3516</v>
      </c>
      <c r="C88" t="s">
        <v>3517</v>
      </c>
      <c r="D88" t="s">
        <v>3548</v>
      </c>
      <c r="E88" t="s">
        <v>3549</v>
      </c>
      <c r="F88" t="s">
        <v>3357</v>
      </c>
      <c r="G88" t="s">
        <v>3550</v>
      </c>
    </row>
    <row r="89" spans="1:7" ht="11.25" customHeight="1">
      <c r="A89" t="s">
        <v>14</v>
      </c>
      <c r="B89" t="s">
        <v>3516</v>
      </c>
      <c r="C89" t="s">
        <v>3517</v>
      </c>
      <c r="D89" t="s">
        <v>3551</v>
      </c>
      <c r="E89" t="s">
        <v>3552</v>
      </c>
      <c r="F89" t="s">
        <v>3357</v>
      </c>
      <c r="G89" t="s">
        <v>3553</v>
      </c>
    </row>
    <row r="90" spans="1:7" ht="11.25" customHeight="1">
      <c r="A90" t="s">
        <v>14</v>
      </c>
      <c r="B90" t="s">
        <v>3516</v>
      </c>
      <c r="C90" t="s">
        <v>3517</v>
      </c>
      <c r="D90" t="s">
        <v>3554</v>
      </c>
      <c r="E90" t="s">
        <v>3555</v>
      </c>
      <c r="F90" t="s">
        <v>3357</v>
      </c>
      <c r="G90" t="s">
        <v>3556</v>
      </c>
    </row>
    <row r="91" spans="1:7" ht="11.25" customHeight="1">
      <c r="A91" t="s">
        <v>14</v>
      </c>
      <c r="B91" t="s">
        <v>3516</v>
      </c>
      <c r="C91" t="s">
        <v>3517</v>
      </c>
      <c r="D91" t="s">
        <v>3557</v>
      </c>
      <c r="E91" t="s">
        <v>3558</v>
      </c>
      <c r="F91" t="s">
        <v>3357</v>
      </c>
      <c r="G91" t="s">
        <v>3559</v>
      </c>
    </row>
    <row r="92" spans="1:7" ht="11.25" customHeight="1">
      <c r="A92" t="s">
        <v>14</v>
      </c>
      <c r="B92" t="s">
        <v>3560</v>
      </c>
      <c r="C92" t="s">
        <v>3561</v>
      </c>
      <c r="D92" t="s">
        <v>3560</v>
      </c>
      <c r="E92" t="s">
        <v>3561</v>
      </c>
      <c r="F92" t="s">
        <v>3440</v>
      </c>
      <c r="G92" t="s">
        <v>3562</v>
      </c>
    </row>
    <row r="93" spans="1:7" ht="11.25" customHeight="1">
      <c r="A93" t="s">
        <v>14</v>
      </c>
      <c r="B93" t="s">
        <v>3563</v>
      </c>
      <c r="C93" t="s">
        <v>3564</v>
      </c>
      <c r="D93" t="s">
        <v>3563</v>
      </c>
      <c r="E93" t="s">
        <v>3564</v>
      </c>
      <c r="F93" t="s">
        <v>3440</v>
      </c>
      <c r="G93" t="s">
        <v>3565</v>
      </c>
    </row>
    <row r="94" spans="1:7" ht="11.25" customHeight="1">
      <c r="A94" t="s">
        <v>14</v>
      </c>
      <c r="B94" t="s">
        <v>3566</v>
      </c>
      <c r="C94" t="s">
        <v>3567</v>
      </c>
      <c r="D94" t="s">
        <v>3566</v>
      </c>
      <c r="E94" t="s">
        <v>3567</v>
      </c>
      <c r="F94" t="s">
        <v>3440</v>
      </c>
      <c r="G94" t="s">
        <v>3568</v>
      </c>
    </row>
    <row r="95" spans="1:7" ht="11.25" customHeight="1">
      <c r="A95" t="s">
        <v>14</v>
      </c>
      <c r="B95" t="s">
        <v>3569</v>
      </c>
      <c r="C95" t="s">
        <v>3570</v>
      </c>
      <c r="D95" t="s">
        <v>3569</v>
      </c>
      <c r="E95" t="s">
        <v>3570</v>
      </c>
      <c r="F95" t="s">
        <v>3440</v>
      </c>
      <c r="G95" t="s">
        <v>3571</v>
      </c>
    </row>
    <row r="96" spans="1:7" ht="11.25" customHeight="1">
      <c r="A96" t="s">
        <v>14</v>
      </c>
      <c r="B96" t="s">
        <v>3572</v>
      </c>
      <c r="C96" t="s">
        <v>3573</v>
      </c>
      <c r="D96" t="s">
        <v>3572</v>
      </c>
      <c r="E96" t="s">
        <v>3573</v>
      </c>
      <c r="F96" t="s">
        <v>3440</v>
      </c>
      <c r="G96" t="s">
        <v>3574</v>
      </c>
    </row>
    <row r="97" spans="1:7" ht="11.25" customHeight="1">
      <c r="A97" t="s">
        <v>14</v>
      </c>
      <c r="B97" t="s">
        <v>3575</v>
      </c>
      <c r="C97" t="s">
        <v>3576</v>
      </c>
      <c r="D97" t="s">
        <v>3575</v>
      </c>
      <c r="E97" t="s">
        <v>3576</v>
      </c>
      <c r="F97" t="s">
        <v>3440</v>
      </c>
      <c r="G97" t="s">
        <v>3577</v>
      </c>
    </row>
    <row r="98" spans="1:7" ht="11.25" customHeight="1">
      <c r="A98" t="s">
        <v>14</v>
      </c>
      <c r="B98" t="s">
        <v>3578</v>
      </c>
      <c r="C98" t="s">
        <v>3579</v>
      </c>
      <c r="D98" t="s">
        <v>3578</v>
      </c>
      <c r="E98" t="s">
        <v>3579</v>
      </c>
      <c r="F98" t="s">
        <v>3351</v>
      </c>
      <c r="G98" t="s">
        <v>3580</v>
      </c>
    </row>
    <row r="99" spans="1:7" ht="11.25" customHeight="1">
      <c r="A99" t="s">
        <v>14</v>
      </c>
      <c r="B99" t="s">
        <v>3581</v>
      </c>
      <c r="C99" t="s">
        <v>3582</v>
      </c>
      <c r="D99" t="s">
        <v>3581</v>
      </c>
      <c r="E99" t="s">
        <v>3582</v>
      </c>
      <c r="F99" t="s">
        <v>3354</v>
      </c>
      <c r="G99" t="s">
        <v>3583</v>
      </c>
    </row>
    <row r="100" spans="1:7" ht="11.25" customHeight="1">
      <c r="A100" t="s">
        <v>14</v>
      </c>
      <c r="B100" t="s">
        <v>3581</v>
      </c>
      <c r="C100" t="s">
        <v>3582</v>
      </c>
      <c r="D100" t="s">
        <v>3584</v>
      </c>
      <c r="E100" t="s">
        <v>3585</v>
      </c>
      <c r="F100" t="s">
        <v>3357</v>
      </c>
      <c r="G100" t="s">
        <v>3586</v>
      </c>
    </row>
    <row r="101" spans="1:7" ht="11.25" customHeight="1">
      <c r="A101" t="s">
        <v>14</v>
      </c>
      <c r="B101" t="s">
        <v>3581</v>
      </c>
      <c r="C101" t="s">
        <v>3582</v>
      </c>
      <c r="D101" t="s">
        <v>3587</v>
      </c>
      <c r="E101" t="s">
        <v>3588</v>
      </c>
      <c r="F101" t="s">
        <v>3357</v>
      </c>
      <c r="G101" t="s">
        <v>3589</v>
      </c>
    </row>
    <row r="102" spans="1:7" ht="11.25" customHeight="1">
      <c r="A102" t="s">
        <v>14</v>
      </c>
      <c r="B102" t="s">
        <v>3581</v>
      </c>
      <c r="C102" t="s">
        <v>3582</v>
      </c>
      <c r="D102" t="s">
        <v>3590</v>
      </c>
      <c r="E102" t="s">
        <v>3591</v>
      </c>
      <c r="F102" t="s">
        <v>3357</v>
      </c>
      <c r="G102" t="s">
        <v>3592</v>
      </c>
    </row>
    <row r="103" spans="1:7" ht="11.25" customHeight="1">
      <c r="A103" t="s">
        <v>14</v>
      </c>
      <c r="B103" t="s">
        <v>3581</v>
      </c>
      <c r="C103" t="s">
        <v>3582</v>
      </c>
      <c r="D103" t="s">
        <v>3593</v>
      </c>
      <c r="E103" t="s">
        <v>3594</v>
      </c>
      <c r="F103" t="s">
        <v>3357</v>
      </c>
      <c r="G103" t="s">
        <v>3595</v>
      </c>
    </row>
    <row r="104" spans="1:7" ht="11.25" customHeight="1">
      <c r="A104" t="s">
        <v>14</v>
      </c>
      <c r="B104" t="s">
        <v>3581</v>
      </c>
      <c r="C104" t="s">
        <v>3582</v>
      </c>
      <c r="D104" t="s">
        <v>3596</v>
      </c>
      <c r="E104" t="s">
        <v>3597</v>
      </c>
      <c r="F104" t="s">
        <v>3357</v>
      </c>
      <c r="G104" t="s">
        <v>3598</v>
      </c>
    </row>
    <row r="105" spans="1:7" ht="11.25" customHeight="1">
      <c r="A105" t="s">
        <v>14</v>
      </c>
      <c r="B105" t="s">
        <v>3581</v>
      </c>
      <c r="C105" t="s">
        <v>3582</v>
      </c>
      <c r="D105" t="s">
        <v>3599</v>
      </c>
      <c r="E105" t="s">
        <v>3600</v>
      </c>
      <c r="F105" t="s">
        <v>3357</v>
      </c>
      <c r="G105" t="s">
        <v>3601</v>
      </c>
    </row>
    <row r="106" spans="1:7" ht="11.25" customHeight="1">
      <c r="A106" t="s">
        <v>14</v>
      </c>
      <c r="B106" t="s">
        <v>3581</v>
      </c>
      <c r="C106" t="s">
        <v>3582</v>
      </c>
      <c r="D106" t="s">
        <v>3602</v>
      </c>
      <c r="E106" t="s">
        <v>3603</v>
      </c>
      <c r="F106" t="s">
        <v>3357</v>
      </c>
      <c r="G106" t="s">
        <v>3604</v>
      </c>
    </row>
    <row r="107" spans="1:7" ht="11.25" customHeight="1">
      <c r="A107" t="s">
        <v>14</v>
      </c>
      <c r="B107" t="s">
        <v>3581</v>
      </c>
      <c r="C107" t="s">
        <v>3582</v>
      </c>
      <c r="D107" t="s">
        <v>3605</v>
      </c>
      <c r="E107" t="s">
        <v>3606</v>
      </c>
      <c r="F107" t="s">
        <v>3357</v>
      </c>
      <c r="G107" t="s">
        <v>3607</v>
      </c>
    </row>
    <row r="108" spans="1:7" ht="11.25" customHeight="1">
      <c r="A108" t="s">
        <v>14</v>
      </c>
      <c r="B108" t="s">
        <v>3608</v>
      </c>
      <c r="C108" t="s">
        <v>3609</v>
      </c>
      <c r="D108" t="s">
        <v>3608</v>
      </c>
      <c r="E108" t="s">
        <v>3609</v>
      </c>
      <c r="F108" t="s">
        <v>3351</v>
      </c>
      <c r="G108" t="s">
        <v>3610</v>
      </c>
    </row>
    <row r="109" spans="1:7" ht="11.25" customHeight="1">
      <c r="A109" t="s">
        <v>14</v>
      </c>
      <c r="B109" t="s">
        <v>3611</v>
      </c>
      <c r="C109" t="s">
        <v>3612</v>
      </c>
      <c r="D109" t="s">
        <v>3613</v>
      </c>
      <c r="E109" t="s">
        <v>3614</v>
      </c>
      <c r="F109" t="s">
        <v>3453</v>
      </c>
      <c r="G109" t="s">
        <v>3615</v>
      </c>
    </row>
    <row r="110" spans="1:7" ht="11.25" customHeight="1">
      <c r="A110" t="s">
        <v>14</v>
      </c>
      <c r="B110" t="s">
        <v>3611</v>
      </c>
      <c r="C110" t="s">
        <v>3612</v>
      </c>
      <c r="D110" t="s">
        <v>3611</v>
      </c>
      <c r="E110" t="s">
        <v>3612</v>
      </c>
      <c r="F110" t="s">
        <v>3354</v>
      </c>
      <c r="G110" t="s">
        <v>3616</v>
      </c>
    </row>
    <row r="111" spans="1:7" ht="11.25" customHeight="1">
      <c r="A111" t="s">
        <v>14</v>
      </c>
      <c r="B111" t="s">
        <v>3611</v>
      </c>
      <c r="C111" t="s">
        <v>3612</v>
      </c>
      <c r="D111" t="s">
        <v>3617</v>
      </c>
      <c r="E111" t="s">
        <v>3618</v>
      </c>
      <c r="F111" t="s">
        <v>3357</v>
      </c>
      <c r="G111" t="s">
        <v>3619</v>
      </c>
    </row>
    <row r="112" spans="1:7" ht="11.25" customHeight="1">
      <c r="A112" t="s">
        <v>14</v>
      </c>
      <c r="B112" t="s">
        <v>3611</v>
      </c>
      <c r="C112" t="s">
        <v>3612</v>
      </c>
      <c r="D112" t="s">
        <v>3620</v>
      </c>
      <c r="E112" t="s">
        <v>3621</v>
      </c>
      <c r="F112" t="s">
        <v>3357</v>
      </c>
      <c r="G112" t="s">
        <v>3622</v>
      </c>
    </row>
    <row r="113" spans="1:7" ht="11.25" customHeight="1">
      <c r="A113" t="s">
        <v>14</v>
      </c>
      <c r="B113" t="s">
        <v>3611</v>
      </c>
      <c r="C113" t="s">
        <v>3612</v>
      </c>
      <c r="D113" t="s">
        <v>3623</v>
      </c>
      <c r="E113" t="s">
        <v>3624</v>
      </c>
      <c r="F113" t="s">
        <v>3357</v>
      </c>
      <c r="G113" t="s">
        <v>3625</v>
      </c>
    </row>
    <row r="114" spans="1:7" ht="11.25" customHeight="1">
      <c r="A114" t="s">
        <v>14</v>
      </c>
      <c r="B114" t="s">
        <v>3611</v>
      </c>
      <c r="C114" t="s">
        <v>3612</v>
      </c>
      <c r="D114" t="s">
        <v>3626</v>
      </c>
      <c r="E114" t="s">
        <v>3627</v>
      </c>
      <c r="F114" t="s">
        <v>3357</v>
      </c>
      <c r="G114" t="s">
        <v>3628</v>
      </c>
    </row>
    <row r="115" spans="1:7" ht="11.25" customHeight="1">
      <c r="A115" t="s">
        <v>14</v>
      </c>
      <c r="B115" t="s">
        <v>3611</v>
      </c>
      <c r="C115" t="s">
        <v>3612</v>
      </c>
      <c r="D115" t="s">
        <v>3629</v>
      </c>
      <c r="E115" t="s">
        <v>3630</v>
      </c>
      <c r="F115" t="s">
        <v>3357</v>
      </c>
      <c r="G115" t="s">
        <v>3631</v>
      </c>
    </row>
    <row r="116" spans="1:7" ht="11.25" customHeight="1">
      <c r="A116" t="s">
        <v>14</v>
      </c>
      <c r="B116" t="s">
        <v>3611</v>
      </c>
      <c r="C116" t="s">
        <v>3612</v>
      </c>
      <c r="D116" t="s">
        <v>3632</v>
      </c>
      <c r="E116" t="s">
        <v>3633</v>
      </c>
      <c r="F116" t="s">
        <v>3634</v>
      </c>
      <c r="G116" t="s">
        <v>3635</v>
      </c>
    </row>
    <row r="117" spans="1:7" ht="11.25" customHeight="1">
      <c r="A117" t="s">
        <v>14</v>
      </c>
      <c r="B117" t="s">
        <v>3611</v>
      </c>
      <c r="C117" t="s">
        <v>3612</v>
      </c>
      <c r="D117" t="s">
        <v>3636</v>
      </c>
      <c r="E117" t="s">
        <v>3637</v>
      </c>
      <c r="F117" t="s">
        <v>3634</v>
      </c>
      <c r="G117" t="s">
        <v>3638</v>
      </c>
    </row>
    <row r="118" spans="1:7" ht="11.25" customHeight="1">
      <c r="A118" t="s">
        <v>14</v>
      </c>
      <c r="B118" t="s">
        <v>3611</v>
      </c>
      <c r="C118" t="s">
        <v>3612</v>
      </c>
      <c r="D118" t="s">
        <v>3639</v>
      </c>
      <c r="E118" t="s">
        <v>3640</v>
      </c>
      <c r="F118" t="s">
        <v>3357</v>
      </c>
      <c r="G118" t="s">
        <v>3641</v>
      </c>
    </row>
    <row r="119" spans="1:7" ht="11.25" customHeight="1">
      <c r="A119" t="s">
        <v>14</v>
      </c>
      <c r="B119" t="s">
        <v>3611</v>
      </c>
      <c r="C119" t="s">
        <v>3612</v>
      </c>
      <c r="D119" t="s">
        <v>3642</v>
      </c>
      <c r="E119" t="s">
        <v>3643</v>
      </c>
      <c r="F119" t="s">
        <v>3357</v>
      </c>
      <c r="G119" t="s">
        <v>3644</v>
      </c>
    </row>
    <row r="120" spans="1:7" ht="11.25" customHeight="1">
      <c r="A120" t="s">
        <v>14</v>
      </c>
      <c r="B120" t="s">
        <v>3611</v>
      </c>
      <c r="C120" t="s">
        <v>3612</v>
      </c>
      <c r="D120" t="s">
        <v>3645</v>
      </c>
      <c r="E120" t="s">
        <v>3646</v>
      </c>
      <c r="F120" t="s">
        <v>3357</v>
      </c>
      <c r="G120" t="s">
        <v>3647</v>
      </c>
    </row>
    <row r="121" spans="1:7" ht="11.25" customHeight="1">
      <c r="A121" t="s">
        <v>14</v>
      </c>
      <c r="B121" t="s">
        <v>3611</v>
      </c>
      <c r="C121" t="s">
        <v>3612</v>
      </c>
      <c r="D121" t="s">
        <v>3648</v>
      </c>
      <c r="E121" t="s">
        <v>3649</v>
      </c>
      <c r="F121" t="s">
        <v>3357</v>
      </c>
      <c r="G121" t="s">
        <v>3650</v>
      </c>
    </row>
    <row r="122" spans="1:7" ht="11.25" customHeight="1">
      <c r="A122" t="s">
        <v>14</v>
      </c>
      <c r="B122" t="s">
        <v>3611</v>
      </c>
      <c r="C122" t="s">
        <v>3612</v>
      </c>
      <c r="D122" t="s">
        <v>3651</v>
      </c>
      <c r="E122" t="s">
        <v>3652</v>
      </c>
      <c r="F122" t="s">
        <v>3357</v>
      </c>
      <c r="G122" t="s">
        <v>3653</v>
      </c>
    </row>
    <row r="123" spans="1:7" ht="11.25" customHeight="1">
      <c r="A123" t="s">
        <v>14</v>
      </c>
      <c r="B123" t="s">
        <v>3611</v>
      </c>
      <c r="C123" t="s">
        <v>3612</v>
      </c>
      <c r="D123" t="s">
        <v>3654</v>
      </c>
      <c r="E123" t="s">
        <v>3655</v>
      </c>
      <c r="F123" t="s">
        <v>3357</v>
      </c>
      <c r="G123" t="s">
        <v>3656</v>
      </c>
    </row>
    <row r="124" spans="1:7" ht="11.25" customHeight="1">
      <c r="A124" t="s">
        <v>14</v>
      </c>
      <c r="B124" t="s">
        <v>3611</v>
      </c>
      <c r="C124" t="s">
        <v>3612</v>
      </c>
      <c r="D124" t="s">
        <v>3657</v>
      </c>
      <c r="E124" t="s">
        <v>3658</v>
      </c>
      <c r="F124" t="s">
        <v>3357</v>
      </c>
      <c r="G124" t="s">
        <v>3659</v>
      </c>
    </row>
    <row r="125" spans="1:7" ht="11.25" customHeight="1">
      <c r="A125" t="s">
        <v>14</v>
      </c>
      <c r="B125" t="s">
        <v>3660</v>
      </c>
      <c r="C125" t="s">
        <v>3661</v>
      </c>
      <c r="D125" t="s">
        <v>3660</v>
      </c>
      <c r="E125" t="s">
        <v>3661</v>
      </c>
      <c r="F125" t="s">
        <v>3351</v>
      </c>
      <c r="G125" t="s">
        <v>3662</v>
      </c>
    </row>
    <row r="126" spans="1:7" ht="11.25" customHeight="1">
      <c r="A126" t="s">
        <v>14</v>
      </c>
      <c r="B126" t="s">
        <v>3663</v>
      </c>
      <c r="C126" t="s">
        <v>3664</v>
      </c>
      <c r="D126" t="s">
        <v>3665</v>
      </c>
      <c r="E126" t="s">
        <v>3666</v>
      </c>
      <c r="F126" t="s">
        <v>3357</v>
      </c>
      <c r="G126" t="s">
        <v>3667</v>
      </c>
    </row>
    <row r="127" spans="1:7" ht="11.25" customHeight="1">
      <c r="A127" t="s">
        <v>14</v>
      </c>
      <c r="B127" t="s">
        <v>3663</v>
      </c>
      <c r="C127" t="s">
        <v>3664</v>
      </c>
      <c r="D127" t="s">
        <v>3668</v>
      </c>
      <c r="E127" t="s">
        <v>3669</v>
      </c>
      <c r="F127" t="s">
        <v>3357</v>
      </c>
      <c r="G127" t="s">
        <v>3670</v>
      </c>
    </row>
    <row r="128" spans="1:7" ht="11.25" customHeight="1">
      <c r="A128" t="s">
        <v>14</v>
      </c>
      <c r="B128" t="s">
        <v>3663</v>
      </c>
      <c r="C128" t="s">
        <v>3664</v>
      </c>
      <c r="D128" t="s">
        <v>3671</v>
      </c>
      <c r="E128" t="s">
        <v>3672</v>
      </c>
      <c r="F128" t="s">
        <v>3453</v>
      </c>
      <c r="G128" t="s">
        <v>3673</v>
      </c>
    </row>
    <row r="129" spans="1:7" ht="11.25" customHeight="1">
      <c r="A129" t="s">
        <v>14</v>
      </c>
      <c r="B129" t="s">
        <v>3663</v>
      </c>
      <c r="C129" t="s">
        <v>3664</v>
      </c>
      <c r="D129" t="s">
        <v>3674</v>
      </c>
      <c r="E129" t="s">
        <v>3675</v>
      </c>
      <c r="F129" t="s">
        <v>3357</v>
      </c>
      <c r="G129" t="s">
        <v>3676</v>
      </c>
    </row>
    <row r="130" spans="1:7" ht="11.25" customHeight="1">
      <c r="A130" t="s">
        <v>14</v>
      </c>
      <c r="B130" t="s">
        <v>3663</v>
      </c>
      <c r="C130" t="s">
        <v>3664</v>
      </c>
      <c r="D130" t="s">
        <v>3677</v>
      </c>
      <c r="E130" t="s">
        <v>3678</v>
      </c>
      <c r="F130" t="s">
        <v>3357</v>
      </c>
      <c r="G130" t="s">
        <v>3679</v>
      </c>
    </row>
    <row r="131" spans="1:7" ht="11.25" customHeight="1">
      <c r="A131" t="s">
        <v>14</v>
      </c>
      <c r="B131" t="s">
        <v>3663</v>
      </c>
      <c r="C131" t="s">
        <v>3664</v>
      </c>
      <c r="D131" t="s">
        <v>3663</v>
      </c>
      <c r="E131" t="s">
        <v>3664</v>
      </c>
      <c r="F131" t="s">
        <v>3354</v>
      </c>
      <c r="G131" t="s">
        <v>3680</v>
      </c>
    </row>
    <row r="132" spans="1:7" ht="11.25" customHeight="1">
      <c r="A132" t="s">
        <v>14</v>
      </c>
      <c r="B132" t="s">
        <v>3663</v>
      </c>
      <c r="C132" t="s">
        <v>3664</v>
      </c>
      <c r="D132" t="s">
        <v>3681</v>
      </c>
      <c r="E132" t="s">
        <v>3682</v>
      </c>
      <c r="F132" t="s">
        <v>3357</v>
      </c>
      <c r="G132" t="s">
        <v>3683</v>
      </c>
    </row>
    <row r="133" spans="1:7" ht="11.25" customHeight="1">
      <c r="A133" t="s">
        <v>14</v>
      </c>
      <c r="B133" t="s">
        <v>3663</v>
      </c>
      <c r="C133" t="s">
        <v>3664</v>
      </c>
      <c r="D133" t="s">
        <v>3684</v>
      </c>
      <c r="E133" t="s">
        <v>3685</v>
      </c>
      <c r="F133" t="s">
        <v>3357</v>
      </c>
      <c r="G133" t="s">
        <v>3686</v>
      </c>
    </row>
    <row r="134" spans="1:7" ht="11.25" customHeight="1">
      <c r="A134" t="s">
        <v>14</v>
      </c>
      <c r="B134" t="s">
        <v>3663</v>
      </c>
      <c r="C134" t="s">
        <v>3664</v>
      </c>
      <c r="D134" t="s">
        <v>3687</v>
      </c>
      <c r="E134" t="s">
        <v>3688</v>
      </c>
      <c r="F134" t="s">
        <v>3357</v>
      </c>
      <c r="G134" t="s">
        <v>3689</v>
      </c>
    </row>
    <row r="135" spans="1:7" ht="11.25" customHeight="1">
      <c r="A135" t="s">
        <v>14</v>
      </c>
      <c r="B135" t="s">
        <v>3663</v>
      </c>
      <c r="C135" t="s">
        <v>3664</v>
      </c>
      <c r="D135" t="s">
        <v>3690</v>
      </c>
      <c r="E135" t="s">
        <v>3691</v>
      </c>
      <c r="F135" t="s">
        <v>3357</v>
      </c>
      <c r="G135" t="s">
        <v>3692</v>
      </c>
    </row>
    <row r="136" spans="1:7" ht="11.25" customHeight="1">
      <c r="A136" t="s">
        <v>14</v>
      </c>
      <c r="B136" t="s">
        <v>3663</v>
      </c>
      <c r="C136" t="s">
        <v>3664</v>
      </c>
      <c r="D136" t="s">
        <v>3693</v>
      </c>
      <c r="E136" t="s">
        <v>3694</v>
      </c>
      <c r="F136" t="s">
        <v>3357</v>
      </c>
      <c r="G136" t="s">
        <v>3695</v>
      </c>
    </row>
    <row r="137" spans="1:7" ht="11.25" customHeight="1">
      <c r="A137" t="s">
        <v>14</v>
      </c>
      <c r="B137" t="s">
        <v>3663</v>
      </c>
      <c r="C137" t="s">
        <v>3664</v>
      </c>
      <c r="D137" t="s">
        <v>3696</v>
      </c>
      <c r="E137" t="s">
        <v>3697</v>
      </c>
      <c r="F137" t="s">
        <v>3357</v>
      </c>
      <c r="G137" t="s">
        <v>3698</v>
      </c>
    </row>
    <row r="138" spans="1:7" ht="11.25" customHeight="1">
      <c r="A138" t="s">
        <v>14</v>
      </c>
      <c r="B138" t="s">
        <v>3663</v>
      </c>
      <c r="C138" t="s">
        <v>3664</v>
      </c>
      <c r="D138" t="s">
        <v>3699</v>
      </c>
      <c r="E138" t="s">
        <v>3700</v>
      </c>
      <c r="F138" t="s">
        <v>3357</v>
      </c>
      <c r="G138" t="s">
        <v>3701</v>
      </c>
    </row>
    <row r="139" spans="1:7" ht="11.25" customHeight="1">
      <c r="A139" t="s">
        <v>14</v>
      </c>
      <c r="B139" t="s">
        <v>3663</v>
      </c>
      <c r="C139" t="s">
        <v>3664</v>
      </c>
      <c r="D139" t="s">
        <v>3702</v>
      </c>
      <c r="E139" t="s">
        <v>3703</v>
      </c>
      <c r="F139" t="s">
        <v>3357</v>
      </c>
      <c r="G139" t="s">
        <v>3704</v>
      </c>
    </row>
    <row r="140" spans="1:7" ht="11.25" customHeight="1">
      <c r="A140" t="s">
        <v>14</v>
      </c>
      <c r="B140" t="s">
        <v>3663</v>
      </c>
      <c r="C140" t="s">
        <v>3664</v>
      </c>
      <c r="D140" t="s">
        <v>3705</v>
      </c>
      <c r="E140" t="s">
        <v>3706</v>
      </c>
      <c r="F140" t="s">
        <v>3357</v>
      </c>
      <c r="G140" t="s">
        <v>3707</v>
      </c>
    </row>
    <row r="141" spans="1:7" ht="11.25" customHeight="1">
      <c r="A141" t="s">
        <v>14</v>
      </c>
      <c r="B141" t="s">
        <v>3663</v>
      </c>
      <c r="C141" t="s">
        <v>3664</v>
      </c>
      <c r="D141" t="s">
        <v>3708</v>
      </c>
      <c r="E141" t="s">
        <v>3709</v>
      </c>
      <c r="F141" t="s">
        <v>3357</v>
      </c>
      <c r="G141" t="s">
        <v>3710</v>
      </c>
    </row>
    <row r="142" spans="1:7" ht="11.25" customHeight="1">
      <c r="A142" t="s">
        <v>14</v>
      </c>
      <c r="B142" t="s">
        <v>3663</v>
      </c>
      <c r="C142" t="s">
        <v>3664</v>
      </c>
      <c r="D142" t="s">
        <v>3711</v>
      </c>
      <c r="E142" t="s">
        <v>3712</v>
      </c>
      <c r="F142" t="s">
        <v>3357</v>
      </c>
      <c r="G142" t="s">
        <v>3713</v>
      </c>
    </row>
    <row r="143" spans="1:7" ht="11.25" customHeight="1">
      <c r="A143" t="s">
        <v>14</v>
      </c>
      <c r="B143" t="s">
        <v>3714</v>
      </c>
      <c r="C143" t="s">
        <v>3715</v>
      </c>
      <c r="D143" t="s">
        <v>3714</v>
      </c>
      <c r="E143" t="s">
        <v>3715</v>
      </c>
      <c r="F143" t="s">
        <v>3351</v>
      </c>
      <c r="G143" t="s">
        <v>3716</v>
      </c>
    </row>
    <row r="144" spans="1:7" ht="11.25" customHeight="1">
      <c r="A144" t="s">
        <v>14</v>
      </c>
      <c r="B144" t="s">
        <v>3717</v>
      </c>
      <c r="C144" t="s">
        <v>3718</v>
      </c>
      <c r="D144" t="s">
        <v>3719</v>
      </c>
      <c r="E144" t="s">
        <v>3720</v>
      </c>
      <c r="F144" t="s">
        <v>3357</v>
      </c>
      <c r="G144" t="s">
        <v>3721</v>
      </c>
    </row>
    <row r="145" spans="1:7" ht="11.25" customHeight="1">
      <c r="A145" t="s">
        <v>14</v>
      </c>
      <c r="B145" t="s">
        <v>3717</v>
      </c>
      <c r="C145" t="s">
        <v>3718</v>
      </c>
      <c r="D145" t="s">
        <v>3722</v>
      </c>
      <c r="E145" t="s">
        <v>3723</v>
      </c>
      <c r="F145" t="s">
        <v>3453</v>
      </c>
      <c r="G145" t="s">
        <v>3724</v>
      </c>
    </row>
    <row r="146" spans="1:7" ht="11.25" customHeight="1">
      <c r="A146" t="s">
        <v>14</v>
      </c>
      <c r="B146" t="s">
        <v>3717</v>
      </c>
      <c r="C146" t="s">
        <v>3718</v>
      </c>
      <c r="D146" t="s">
        <v>3725</v>
      </c>
      <c r="E146" t="s">
        <v>3726</v>
      </c>
      <c r="F146" t="s">
        <v>3357</v>
      </c>
      <c r="G146" t="s">
        <v>3727</v>
      </c>
    </row>
    <row r="147" spans="1:7" ht="11.25" customHeight="1">
      <c r="A147" t="s">
        <v>14</v>
      </c>
      <c r="B147" t="s">
        <v>3717</v>
      </c>
      <c r="C147" t="s">
        <v>3718</v>
      </c>
      <c r="D147" t="s">
        <v>3717</v>
      </c>
      <c r="E147" t="s">
        <v>3718</v>
      </c>
      <c r="F147" t="s">
        <v>3354</v>
      </c>
      <c r="G147" t="s">
        <v>3728</v>
      </c>
    </row>
    <row r="148" spans="1:7" ht="11.25" customHeight="1">
      <c r="A148" t="s">
        <v>14</v>
      </c>
      <c r="B148" t="s">
        <v>3717</v>
      </c>
      <c r="C148" t="s">
        <v>3718</v>
      </c>
      <c r="D148" t="s">
        <v>3729</v>
      </c>
      <c r="E148" t="s">
        <v>3730</v>
      </c>
      <c r="F148" t="s">
        <v>3357</v>
      </c>
      <c r="G148" t="s">
        <v>3731</v>
      </c>
    </row>
    <row r="149" spans="1:7" ht="11.25" customHeight="1">
      <c r="A149" t="s">
        <v>14</v>
      </c>
      <c r="B149" t="s">
        <v>3717</v>
      </c>
      <c r="C149" t="s">
        <v>3718</v>
      </c>
      <c r="D149" t="s">
        <v>3732</v>
      </c>
      <c r="E149" t="s">
        <v>3733</v>
      </c>
      <c r="F149" t="s">
        <v>3357</v>
      </c>
      <c r="G149" t="s">
        <v>3734</v>
      </c>
    </row>
    <row r="150" spans="1:7" ht="11.25" customHeight="1">
      <c r="A150" t="s">
        <v>14</v>
      </c>
      <c r="B150" t="s">
        <v>3717</v>
      </c>
      <c r="C150" t="s">
        <v>3718</v>
      </c>
      <c r="D150" t="s">
        <v>3486</v>
      </c>
      <c r="E150" t="s">
        <v>3735</v>
      </c>
      <c r="F150" t="s">
        <v>3357</v>
      </c>
      <c r="G150" t="s">
        <v>3736</v>
      </c>
    </row>
    <row r="151" spans="1:7" ht="11.25" customHeight="1">
      <c r="A151" t="s">
        <v>14</v>
      </c>
      <c r="B151" t="s">
        <v>3717</v>
      </c>
      <c r="C151" t="s">
        <v>3718</v>
      </c>
      <c r="D151" t="s">
        <v>3737</v>
      </c>
      <c r="E151" t="s">
        <v>3738</v>
      </c>
      <c r="F151" t="s">
        <v>3357</v>
      </c>
      <c r="G151" t="s">
        <v>3739</v>
      </c>
    </row>
    <row r="152" spans="1:7" ht="11.25" customHeight="1">
      <c r="A152" t="s">
        <v>14</v>
      </c>
      <c r="B152" t="s">
        <v>3717</v>
      </c>
      <c r="C152" t="s">
        <v>3718</v>
      </c>
      <c r="D152" t="s">
        <v>3740</v>
      </c>
      <c r="E152" t="s">
        <v>3741</v>
      </c>
      <c r="F152" t="s">
        <v>3357</v>
      </c>
      <c r="G152" t="s">
        <v>3742</v>
      </c>
    </row>
    <row r="153" spans="1:7" ht="11.25" customHeight="1">
      <c r="A153" t="s">
        <v>14</v>
      </c>
      <c r="B153" t="s">
        <v>3717</v>
      </c>
      <c r="C153" t="s">
        <v>3718</v>
      </c>
      <c r="D153" t="s">
        <v>3743</v>
      </c>
      <c r="E153" t="s">
        <v>3744</v>
      </c>
      <c r="F153" t="s">
        <v>3357</v>
      </c>
      <c r="G153" t="s">
        <v>3745</v>
      </c>
    </row>
    <row r="154" spans="1:7" ht="11.25" customHeight="1">
      <c r="A154" t="s">
        <v>14</v>
      </c>
      <c r="B154" t="s">
        <v>3717</v>
      </c>
      <c r="C154" t="s">
        <v>3718</v>
      </c>
      <c r="D154" t="s">
        <v>3746</v>
      </c>
      <c r="E154" t="s">
        <v>3747</v>
      </c>
      <c r="F154" t="s">
        <v>3357</v>
      </c>
      <c r="G154" t="s">
        <v>3748</v>
      </c>
    </row>
    <row r="155" spans="1:7" ht="11.25" customHeight="1">
      <c r="A155" t="s">
        <v>14</v>
      </c>
      <c r="B155" t="s">
        <v>3749</v>
      </c>
      <c r="C155" t="s">
        <v>3750</v>
      </c>
      <c r="D155" t="s">
        <v>3749</v>
      </c>
      <c r="E155" t="s">
        <v>3750</v>
      </c>
      <c r="F155" t="s">
        <v>3351</v>
      </c>
      <c r="G155" t="s">
        <v>3751</v>
      </c>
    </row>
    <row r="156" spans="1:7" ht="11.25" customHeight="1">
      <c r="A156" t="s">
        <v>14</v>
      </c>
      <c r="B156" t="s">
        <v>3752</v>
      </c>
      <c r="C156" t="s">
        <v>3753</v>
      </c>
      <c r="D156" t="s">
        <v>3754</v>
      </c>
      <c r="E156" t="s">
        <v>3755</v>
      </c>
      <c r="F156" t="s">
        <v>3357</v>
      </c>
      <c r="G156" t="s">
        <v>3756</v>
      </c>
    </row>
    <row r="157" spans="1:7" ht="11.25" customHeight="1">
      <c r="A157" t="s">
        <v>14</v>
      </c>
      <c r="B157" t="s">
        <v>3752</v>
      </c>
      <c r="C157" t="s">
        <v>3753</v>
      </c>
      <c r="D157" t="s">
        <v>3757</v>
      </c>
      <c r="E157" t="s">
        <v>3758</v>
      </c>
      <c r="F157" t="s">
        <v>3357</v>
      </c>
      <c r="G157" t="s">
        <v>3759</v>
      </c>
    </row>
    <row r="158" spans="1:7" ht="11.25" customHeight="1">
      <c r="A158" t="s">
        <v>14</v>
      </c>
      <c r="B158" t="s">
        <v>3752</v>
      </c>
      <c r="C158" t="s">
        <v>3753</v>
      </c>
      <c r="D158" t="s">
        <v>3760</v>
      </c>
      <c r="E158" t="s">
        <v>3761</v>
      </c>
      <c r="F158" t="s">
        <v>3357</v>
      </c>
      <c r="G158" t="s">
        <v>3762</v>
      </c>
    </row>
    <row r="159" spans="1:7" ht="11.25" customHeight="1">
      <c r="A159" t="s">
        <v>14</v>
      </c>
      <c r="B159" t="s">
        <v>3752</v>
      </c>
      <c r="C159" t="s">
        <v>3753</v>
      </c>
      <c r="D159" t="s">
        <v>3763</v>
      </c>
      <c r="E159" t="s">
        <v>3764</v>
      </c>
      <c r="F159" t="s">
        <v>3357</v>
      </c>
      <c r="G159" t="s">
        <v>3765</v>
      </c>
    </row>
    <row r="160" spans="1:7" ht="11.25" customHeight="1">
      <c r="A160" t="s">
        <v>14</v>
      </c>
      <c r="B160" t="s">
        <v>3752</v>
      </c>
      <c r="C160" t="s">
        <v>3753</v>
      </c>
      <c r="D160" t="s">
        <v>3766</v>
      </c>
      <c r="E160" t="s">
        <v>3767</v>
      </c>
      <c r="F160" t="s">
        <v>3357</v>
      </c>
      <c r="G160" t="s">
        <v>3768</v>
      </c>
    </row>
    <row r="161" spans="1:7" ht="11.25" customHeight="1">
      <c r="A161" t="s">
        <v>14</v>
      </c>
      <c r="B161" t="s">
        <v>3752</v>
      </c>
      <c r="C161" t="s">
        <v>3753</v>
      </c>
      <c r="D161" t="s">
        <v>3769</v>
      </c>
      <c r="E161" t="s">
        <v>3770</v>
      </c>
      <c r="F161" t="s">
        <v>3357</v>
      </c>
      <c r="G161" t="s">
        <v>3771</v>
      </c>
    </row>
    <row r="162" spans="1:7" ht="11.25" customHeight="1">
      <c r="A162" t="s">
        <v>14</v>
      </c>
      <c r="B162" t="s">
        <v>3752</v>
      </c>
      <c r="C162" t="s">
        <v>3753</v>
      </c>
      <c r="D162" t="s">
        <v>3772</v>
      </c>
      <c r="E162" t="s">
        <v>3773</v>
      </c>
      <c r="F162" t="s">
        <v>3357</v>
      </c>
      <c r="G162" t="s">
        <v>3774</v>
      </c>
    </row>
    <row r="163" spans="1:7" ht="11.25" customHeight="1">
      <c r="A163" t="s">
        <v>14</v>
      </c>
      <c r="B163" t="s">
        <v>3752</v>
      </c>
      <c r="C163" t="s">
        <v>3753</v>
      </c>
      <c r="D163" t="s">
        <v>3775</v>
      </c>
      <c r="E163" t="s">
        <v>3776</v>
      </c>
      <c r="F163" t="s">
        <v>3357</v>
      </c>
      <c r="G163" t="s">
        <v>3777</v>
      </c>
    </row>
    <row r="164" spans="1:7" ht="11.25" customHeight="1">
      <c r="A164" t="s">
        <v>14</v>
      </c>
      <c r="B164" t="s">
        <v>3752</v>
      </c>
      <c r="C164" t="s">
        <v>3753</v>
      </c>
      <c r="D164" t="s">
        <v>3752</v>
      </c>
      <c r="E164" t="s">
        <v>3753</v>
      </c>
      <c r="F164" t="s">
        <v>3354</v>
      </c>
      <c r="G164" t="s">
        <v>3778</v>
      </c>
    </row>
    <row r="165" spans="1:7" ht="11.25" customHeight="1">
      <c r="A165" t="s">
        <v>14</v>
      </c>
      <c r="B165" t="s">
        <v>3752</v>
      </c>
      <c r="C165" t="s">
        <v>3753</v>
      </c>
      <c r="D165" t="s">
        <v>3779</v>
      </c>
      <c r="E165" t="s">
        <v>3780</v>
      </c>
      <c r="F165" t="s">
        <v>3357</v>
      </c>
      <c r="G165" t="s">
        <v>3781</v>
      </c>
    </row>
    <row r="166" spans="1:7" ht="11.25" customHeight="1">
      <c r="A166" t="s">
        <v>14</v>
      </c>
      <c r="B166" t="s">
        <v>3752</v>
      </c>
      <c r="C166" t="s">
        <v>3753</v>
      </c>
      <c r="D166" t="s">
        <v>3782</v>
      </c>
      <c r="E166" t="s">
        <v>3783</v>
      </c>
      <c r="F166" t="s">
        <v>3357</v>
      </c>
      <c r="G166" t="s">
        <v>3784</v>
      </c>
    </row>
    <row r="167" spans="1:7" ht="11.25" customHeight="1">
      <c r="A167" t="s">
        <v>14</v>
      </c>
      <c r="B167" t="s">
        <v>3752</v>
      </c>
      <c r="C167" t="s">
        <v>3753</v>
      </c>
      <c r="D167" t="s">
        <v>3785</v>
      </c>
      <c r="E167" t="s">
        <v>3786</v>
      </c>
      <c r="F167" t="s">
        <v>3357</v>
      </c>
      <c r="G167" t="s">
        <v>3787</v>
      </c>
    </row>
    <row r="168" spans="1:7" ht="11.25" customHeight="1">
      <c r="A168" t="s">
        <v>14</v>
      </c>
      <c r="B168" t="s">
        <v>3752</v>
      </c>
      <c r="C168" t="s">
        <v>3753</v>
      </c>
      <c r="D168" t="s">
        <v>3788</v>
      </c>
      <c r="E168" t="s">
        <v>3789</v>
      </c>
      <c r="F168" t="s">
        <v>3357</v>
      </c>
      <c r="G168" t="s">
        <v>3790</v>
      </c>
    </row>
    <row r="169" spans="1:7" ht="11.25" customHeight="1">
      <c r="A169" t="s">
        <v>14</v>
      </c>
      <c r="B169" t="s">
        <v>3752</v>
      </c>
      <c r="C169" t="s">
        <v>3753</v>
      </c>
      <c r="D169" t="s">
        <v>3791</v>
      </c>
      <c r="E169" t="s">
        <v>3792</v>
      </c>
      <c r="F169" t="s">
        <v>3357</v>
      </c>
      <c r="G169" t="s">
        <v>3793</v>
      </c>
    </row>
    <row r="170" spans="1:7" ht="11.25" customHeight="1">
      <c r="A170" t="s">
        <v>14</v>
      </c>
      <c r="B170" t="s">
        <v>3752</v>
      </c>
      <c r="C170" t="s">
        <v>3753</v>
      </c>
      <c r="D170" t="s">
        <v>3794</v>
      </c>
      <c r="E170" t="s">
        <v>3795</v>
      </c>
      <c r="F170" t="s">
        <v>3357</v>
      </c>
      <c r="G170" t="s">
        <v>3796</v>
      </c>
    </row>
    <row r="171" spans="1:7" ht="11.25" customHeight="1">
      <c r="A171" t="s">
        <v>14</v>
      </c>
      <c r="B171" t="s">
        <v>3752</v>
      </c>
      <c r="C171" t="s">
        <v>3753</v>
      </c>
      <c r="D171" t="s">
        <v>3797</v>
      </c>
      <c r="E171" t="s">
        <v>3798</v>
      </c>
      <c r="F171" t="s">
        <v>3357</v>
      </c>
      <c r="G171" t="s">
        <v>3799</v>
      </c>
    </row>
    <row r="172" spans="1:7" ht="11.25" customHeight="1">
      <c r="A172" t="s">
        <v>14</v>
      </c>
      <c r="B172" t="s">
        <v>3800</v>
      </c>
      <c r="C172" t="s">
        <v>3801</v>
      </c>
      <c r="D172" t="s">
        <v>3802</v>
      </c>
      <c r="E172" t="s">
        <v>3803</v>
      </c>
      <c r="F172" t="s">
        <v>3357</v>
      </c>
      <c r="G172" t="s">
        <v>3804</v>
      </c>
    </row>
    <row r="173" spans="1:7" ht="11.25" customHeight="1">
      <c r="A173" t="s">
        <v>14</v>
      </c>
      <c r="B173" t="s">
        <v>3800</v>
      </c>
      <c r="C173" t="s">
        <v>3801</v>
      </c>
      <c r="D173" t="s">
        <v>3800</v>
      </c>
      <c r="E173" t="s">
        <v>3801</v>
      </c>
      <c r="F173" t="s">
        <v>3354</v>
      </c>
      <c r="G173" t="s">
        <v>3805</v>
      </c>
    </row>
    <row r="174" spans="1:7" ht="11.25" customHeight="1">
      <c r="A174" t="s">
        <v>14</v>
      </c>
      <c r="B174" t="s">
        <v>3800</v>
      </c>
      <c r="C174" t="s">
        <v>3801</v>
      </c>
      <c r="D174" t="s">
        <v>3806</v>
      </c>
      <c r="E174" t="s">
        <v>3807</v>
      </c>
      <c r="F174" t="s">
        <v>3357</v>
      </c>
      <c r="G174" t="s">
        <v>3808</v>
      </c>
    </row>
    <row r="175" spans="1:7" ht="11.25" customHeight="1">
      <c r="A175" t="s">
        <v>14</v>
      </c>
      <c r="B175" t="s">
        <v>3800</v>
      </c>
      <c r="C175" t="s">
        <v>3801</v>
      </c>
      <c r="D175" t="s">
        <v>3809</v>
      </c>
      <c r="E175" t="s">
        <v>3810</v>
      </c>
      <c r="F175" t="s">
        <v>3357</v>
      </c>
      <c r="G175" t="s">
        <v>3811</v>
      </c>
    </row>
    <row r="176" spans="1:7" ht="11.25" customHeight="1">
      <c r="A176" t="s">
        <v>14</v>
      </c>
      <c r="B176" t="s">
        <v>3800</v>
      </c>
      <c r="C176" t="s">
        <v>3801</v>
      </c>
      <c r="D176" t="s">
        <v>3812</v>
      </c>
      <c r="E176" t="s">
        <v>3813</v>
      </c>
      <c r="F176" t="s">
        <v>3357</v>
      </c>
      <c r="G176" t="s">
        <v>3814</v>
      </c>
    </row>
    <row r="177" spans="1:7" ht="11.25" customHeight="1">
      <c r="A177" t="s">
        <v>14</v>
      </c>
      <c r="B177" t="s">
        <v>3800</v>
      </c>
      <c r="C177" t="s">
        <v>3801</v>
      </c>
      <c r="D177" t="s">
        <v>3815</v>
      </c>
      <c r="E177" t="s">
        <v>3816</v>
      </c>
      <c r="F177" t="s">
        <v>3357</v>
      </c>
      <c r="G177" t="s">
        <v>3817</v>
      </c>
    </row>
    <row r="178" spans="1:7" ht="11.25" customHeight="1">
      <c r="A178" t="s">
        <v>14</v>
      </c>
      <c r="B178" t="s">
        <v>3800</v>
      </c>
      <c r="C178" t="s">
        <v>3801</v>
      </c>
      <c r="D178" t="s">
        <v>3818</v>
      </c>
      <c r="E178" t="s">
        <v>3819</v>
      </c>
      <c r="F178" t="s">
        <v>3357</v>
      </c>
      <c r="G178" t="s">
        <v>3820</v>
      </c>
    </row>
    <row r="179" spans="1:7" ht="11.25" customHeight="1">
      <c r="A179" t="s">
        <v>14</v>
      </c>
      <c r="B179" t="s">
        <v>3800</v>
      </c>
      <c r="C179" t="s">
        <v>3801</v>
      </c>
      <c r="D179" t="s">
        <v>3821</v>
      </c>
      <c r="E179" t="s">
        <v>3822</v>
      </c>
      <c r="F179" t="s">
        <v>3357</v>
      </c>
      <c r="G179" t="s">
        <v>3823</v>
      </c>
    </row>
    <row r="180" spans="1:7" ht="11.25" customHeight="1">
      <c r="A180" t="s">
        <v>14</v>
      </c>
      <c r="B180" t="s">
        <v>3800</v>
      </c>
      <c r="C180" t="s">
        <v>3801</v>
      </c>
      <c r="D180" t="s">
        <v>3824</v>
      </c>
      <c r="E180" t="s">
        <v>3825</v>
      </c>
      <c r="F180" t="s">
        <v>3357</v>
      </c>
      <c r="G180" t="s">
        <v>3826</v>
      </c>
    </row>
    <row r="181" spans="1:7" ht="11.25" customHeight="1">
      <c r="A181" t="s">
        <v>14</v>
      </c>
      <c r="B181" t="s">
        <v>3800</v>
      </c>
      <c r="C181" t="s">
        <v>3801</v>
      </c>
      <c r="D181" t="s">
        <v>3827</v>
      </c>
      <c r="E181" t="s">
        <v>3828</v>
      </c>
      <c r="F181" t="s">
        <v>3357</v>
      </c>
      <c r="G181" t="s">
        <v>3829</v>
      </c>
    </row>
    <row r="182" spans="1:7" ht="11.25" customHeight="1">
      <c r="A182" t="s">
        <v>14</v>
      </c>
      <c r="B182" t="s">
        <v>3800</v>
      </c>
      <c r="C182" t="s">
        <v>3801</v>
      </c>
      <c r="D182" t="s">
        <v>3830</v>
      </c>
      <c r="E182" t="s">
        <v>3831</v>
      </c>
      <c r="F182" t="s">
        <v>3357</v>
      </c>
      <c r="G182" t="s">
        <v>3832</v>
      </c>
    </row>
    <row r="183" spans="1:7" ht="11.25" customHeight="1">
      <c r="A183" t="s">
        <v>14</v>
      </c>
      <c r="B183" t="s">
        <v>3800</v>
      </c>
      <c r="C183" t="s">
        <v>3801</v>
      </c>
      <c r="D183" t="s">
        <v>3833</v>
      </c>
      <c r="E183" t="s">
        <v>3834</v>
      </c>
      <c r="F183" t="s">
        <v>3357</v>
      </c>
      <c r="G183" t="s">
        <v>3835</v>
      </c>
    </row>
    <row r="184" spans="1:7" ht="11.25" customHeight="1">
      <c r="A184" t="s">
        <v>14</v>
      </c>
      <c r="B184" t="s">
        <v>3836</v>
      </c>
      <c r="C184" t="s">
        <v>3837</v>
      </c>
      <c r="D184" t="s">
        <v>3838</v>
      </c>
      <c r="E184" t="s">
        <v>3839</v>
      </c>
      <c r="F184" t="s">
        <v>3357</v>
      </c>
      <c r="G184" t="s">
        <v>3840</v>
      </c>
    </row>
    <row r="185" spans="1:7" ht="11.25" customHeight="1">
      <c r="A185" t="s">
        <v>14</v>
      </c>
      <c r="B185" t="s">
        <v>3836</v>
      </c>
      <c r="C185" t="s">
        <v>3837</v>
      </c>
      <c r="D185" t="s">
        <v>3841</v>
      </c>
      <c r="E185" t="s">
        <v>3842</v>
      </c>
      <c r="F185" t="s">
        <v>3357</v>
      </c>
      <c r="G185" t="s">
        <v>3843</v>
      </c>
    </row>
    <row r="186" spans="1:7" ht="11.25" customHeight="1">
      <c r="A186" t="s">
        <v>14</v>
      </c>
      <c r="B186" t="s">
        <v>3836</v>
      </c>
      <c r="C186" t="s">
        <v>3837</v>
      </c>
      <c r="D186" t="s">
        <v>3844</v>
      </c>
      <c r="E186" t="s">
        <v>3845</v>
      </c>
      <c r="F186" t="s">
        <v>3357</v>
      </c>
      <c r="G186" t="s">
        <v>3846</v>
      </c>
    </row>
    <row r="187" spans="1:7" ht="11.25" customHeight="1">
      <c r="A187" t="s">
        <v>14</v>
      </c>
      <c r="B187" t="s">
        <v>3836</v>
      </c>
      <c r="C187" t="s">
        <v>3837</v>
      </c>
      <c r="D187" t="s">
        <v>3836</v>
      </c>
      <c r="E187" t="s">
        <v>3837</v>
      </c>
      <c r="F187" t="s">
        <v>3354</v>
      </c>
      <c r="G187" t="s">
        <v>3847</v>
      </c>
    </row>
    <row r="188" spans="1:7" ht="11.25" customHeight="1">
      <c r="A188" t="s">
        <v>14</v>
      </c>
      <c r="B188" t="s">
        <v>3836</v>
      </c>
      <c r="C188" t="s">
        <v>3837</v>
      </c>
      <c r="D188" t="s">
        <v>3848</v>
      </c>
      <c r="E188" t="s">
        <v>3849</v>
      </c>
      <c r="F188" t="s">
        <v>3357</v>
      </c>
      <c r="G188" t="s">
        <v>3850</v>
      </c>
    </row>
    <row r="189" spans="1:7" ht="11.25" customHeight="1">
      <c r="A189" t="s">
        <v>14</v>
      </c>
      <c r="B189" t="s">
        <v>3836</v>
      </c>
      <c r="C189" t="s">
        <v>3837</v>
      </c>
      <c r="D189" t="s">
        <v>3851</v>
      </c>
      <c r="E189" t="s">
        <v>3852</v>
      </c>
      <c r="F189" t="s">
        <v>3357</v>
      </c>
      <c r="G189" t="s">
        <v>3853</v>
      </c>
    </row>
    <row r="190" spans="1:7" ht="11.25" customHeight="1">
      <c r="A190" t="s">
        <v>14</v>
      </c>
      <c r="B190" t="s">
        <v>3836</v>
      </c>
      <c r="C190" t="s">
        <v>3837</v>
      </c>
      <c r="D190" t="s">
        <v>3854</v>
      </c>
      <c r="E190" t="s">
        <v>3855</v>
      </c>
      <c r="F190" t="s">
        <v>3357</v>
      </c>
      <c r="G190" t="s">
        <v>3856</v>
      </c>
    </row>
    <row r="191" spans="1:7" ht="11.25" customHeight="1">
      <c r="A191" t="s">
        <v>14</v>
      </c>
      <c r="B191" t="s">
        <v>3836</v>
      </c>
      <c r="C191" t="s">
        <v>3837</v>
      </c>
      <c r="D191" t="s">
        <v>3857</v>
      </c>
      <c r="E191" t="s">
        <v>3858</v>
      </c>
      <c r="F191" t="s">
        <v>3357</v>
      </c>
      <c r="G191" t="s">
        <v>3859</v>
      </c>
    </row>
    <row r="192" spans="1:7" ht="11.25" customHeight="1">
      <c r="A192" t="s">
        <v>14</v>
      </c>
      <c r="B192" t="s">
        <v>3836</v>
      </c>
      <c r="C192" t="s">
        <v>3837</v>
      </c>
      <c r="D192" t="s">
        <v>3860</v>
      </c>
      <c r="E192" t="s">
        <v>3861</v>
      </c>
      <c r="F192" t="s">
        <v>3357</v>
      </c>
      <c r="G192" t="s">
        <v>3862</v>
      </c>
    </row>
    <row r="193" spans="1:7" ht="11.25" customHeight="1">
      <c r="A193" t="s">
        <v>14</v>
      </c>
      <c r="B193" t="s">
        <v>3836</v>
      </c>
      <c r="C193" t="s">
        <v>3837</v>
      </c>
      <c r="D193" t="s">
        <v>3863</v>
      </c>
      <c r="E193" t="s">
        <v>3864</v>
      </c>
      <c r="F193" t="s">
        <v>3357</v>
      </c>
      <c r="G193" t="s">
        <v>3865</v>
      </c>
    </row>
    <row r="194" spans="1:7" ht="11.25" customHeight="1">
      <c r="A194" t="s">
        <v>14</v>
      </c>
      <c r="B194" t="s">
        <v>3836</v>
      </c>
      <c r="C194" t="s">
        <v>3837</v>
      </c>
      <c r="D194" t="s">
        <v>3866</v>
      </c>
      <c r="E194" t="s">
        <v>3867</v>
      </c>
      <c r="F194" t="s">
        <v>3357</v>
      </c>
      <c r="G194" t="s">
        <v>3868</v>
      </c>
    </row>
    <row r="195" spans="1:7" ht="11.25" customHeight="1">
      <c r="A195" t="s">
        <v>14</v>
      </c>
      <c r="B195" t="s">
        <v>3836</v>
      </c>
      <c r="C195" t="s">
        <v>3837</v>
      </c>
      <c r="D195" t="s">
        <v>3869</v>
      </c>
      <c r="E195" t="s">
        <v>3870</v>
      </c>
      <c r="F195" t="s">
        <v>3357</v>
      </c>
      <c r="G195" t="s">
        <v>3871</v>
      </c>
    </row>
    <row r="196" spans="1:7" ht="11.25" customHeight="1">
      <c r="A196" t="s">
        <v>14</v>
      </c>
      <c r="B196" t="s">
        <v>3836</v>
      </c>
      <c r="C196" t="s">
        <v>3837</v>
      </c>
      <c r="D196" t="s">
        <v>3872</v>
      </c>
      <c r="E196" t="s">
        <v>3873</v>
      </c>
      <c r="F196" t="s">
        <v>3357</v>
      </c>
      <c r="G196" t="s">
        <v>3874</v>
      </c>
    </row>
    <row r="197" spans="1:7" ht="11.25" customHeight="1">
      <c r="A197" t="s">
        <v>14</v>
      </c>
      <c r="B197" t="s">
        <v>193</v>
      </c>
      <c r="C197" t="s">
        <v>194</v>
      </c>
      <c r="D197" t="s">
        <v>193</v>
      </c>
      <c r="E197" t="s">
        <v>194</v>
      </c>
      <c r="F197" t="s">
        <v>3351</v>
      </c>
      <c r="G197" t="s">
        <v>192</v>
      </c>
    </row>
    <row r="198" spans="1:7" ht="11.25" customHeight="1">
      <c r="A198" t="s">
        <v>14</v>
      </c>
      <c r="B198" t="s">
        <v>3875</v>
      </c>
      <c r="C198" t="s">
        <v>3876</v>
      </c>
      <c r="D198" t="s">
        <v>3877</v>
      </c>
      <c r="E198" t="s">
        <v>3878</v>
      </c>
      <c r="F198" t="s">
        <v>3357</v>
      </c>
      <c r="G198" t="s">
        <v>3879</v>
      </c>
    </row>
    <row r="199" spans="1:7" ht="11.25" customHeight="1">
      <c r="A199" t="s">
        <v>14</v>
      </c>
      <c r="B199" t="s">
        <v>3875</v>
      </c>
      <c r="C199" t="s">
        <v>3876</v>
      </c>
      <c r="D199" t="s">
        <v>3880</v>
      </c>
      <c r="E199" t="s">
        <v>3881</v>
      </c>
      <c r="F199" t="s">
        <v>3357</v>
      </c>
      <c r="G199" t="s">
        <v>3882</v>
      </c>
    </row>
    <row r="200" spans="1:7" ht="11.25" customHeight="1">
      <c r="A200" t="s">
        <v>14</v>
      </c>
      <c r="B200" t="s">
        <v>3875</v>
      </c>
      <c r="C200" t="s">
        <v>3876</v>
      </c>
      <c r="D200" t="s">
        <v>3883</v>
      </c>
      <c r="E200" t="s">
        <v>3884</v>
      </c>
      <c r="F200" t="s">
        <v>3357</v>
      </c>
      <c r="G200" t="s">
        <v>3885</v>
      </c>
    </row>
    <row r="201" spans="1:7" ht="11.25" customHeight="1">
      <c r="A201" t="s">
        <v>14</v>
      </c>
      <c r="B201" t="s">
        <v>3875</v>
      </c>
      <c r="C201" t="s">
        <v>3876</v>
      </c>
      <c r="D201" t="s">
        <v>3886</v>
      </c>
      <c r="E201" t="s">
        <v>3887</v>
      </c>
      <c r="F201" t="s">
        <v>3357</v>
      </c>
      <c r="G201" t="s">
        <v>3888</v>
      </c>
    </row>
    <row r="202" spans="1:7" ht="11.25" customHeight="1">
      <c r="A202" t="s">
        <v>14</v>
      </c>
      <c r="B202" t="s">
        <v>3875</v>
      </c>
      <c r="C202" t="s">
        <v>3876</v>
      </c>
      <c r="D202" t="s">
        <v>3875</v>
      </c>
      <c r="E202" t="s">
        <v>3876</v>
      </c>
      <c r="F202" t="s">
        <v>3354</v>
      </c>
      <c r="G202" t="s">
        <v>3889</v>
      </c>
    </row>
    <row r="203" spans="1:7" ht="11.25" customHeight="1">
      <c r="A203" t="s">
        <v>14</v>
      </c>
      <c r="B203" t="s">
        <v>3875</v>
      </c>
      <c r="C203" t="s">
        <v>3876</v>
      </c>
      <c r="D203" t="s">
        <v>3890</v>
      </c>
      <c r="E203" t="s">
        <v>3891</v>
      </c>
      <c r="F203" t="s">
        <v>3357</v>
      </c>
      <c r="G203" t="s">
        <v>3892</v>
      </c>
    </row>
    <row r="204" spans="1:7" ht="11.25" customHeight="1">
      <c r="A204" t="s">
        <v>14</v>
      </c>
      <c r="B204" t="s">
        <v>3875</v>
      </c>
      <c r="C204" t="s">
        <v>3876</v>
      </c>
      <c r="D204" t="s">
        <v>3893</v>
      </c>
      <c r="E204" t="s">
        <v>3894</v>
      </c>
      <c r="F204" t="s">
        <v>3357</v>
      </c>
      <c r="G204" t="s">
        <v>3895</v>
      </c>
    </row>
    <row r="205" spans="1:7" ht="11.25" customHeight="1">
      <c r="A205" t="s">
        <v>14</v>
      </c>
      <c r="B205" t="s">
        <v>3875</v>
      </c>
      <c r="C205" t="s">
        <v>3876</v>
      </c>
      <c r="D205" t="s">
        <v>3896</v>
      </c>
      <c r="E205" t="s">
        <v>3897</v>
      </c>
      <c r="F205" t="s">
        <v>3357</v>
      </c>
      <c r="G205" t="s">
        <v>3898</v>
      </c>
    </row>
    <row r="206" spans="1:7" ht="11.25" customHeight="1">
      <c r="A206" t="s">
        <v>14</v>
      </c>
      <c r="B206" t="s">
        <v>3875</v>
      </c>
      <c r="C206" t="s">
        <v>3876</v>
      </c>
      <c r="D206" t="s">
        <v>3899</v>
      </c>
      <c r="E206" t="s">
        <v>3900</v>
      </c>
      <c r="F206" t="s">
        <v>3357</v>
      </c>
      <c r="G206" t="s">
        <v>3901</v>
      </c>
    </row>
    <row r="207" spans="1:7" ht="11.25" customHeight="1">
      <c r="A207" t="s">
        <v>14</v>
      </c>
      <c r="B207" t="s">
        <v>3875</v>
      </c>
      <c r="C207" t="s">
        <v>3876</v>
      </c>
      <c r="D207" t="s">
        <v>3902</v>
      </c>
      <c r="E207" t="s">
        <v>3903</v>
      </c>
      <c r="F207" t="s">
        <v>3357</v>
      </c>
      <c r="G207" t="s">
        <v>3904</v>
      </c>
    </row>
    <row r="208" spans="1:7" ht="11.25" customHeight="1">
      <c r="A208" t="s">
        <v>14</v>
      </c>
      <c r="B208" t="s">
        <v>3875</v>
      </c>
      <c r="C208" t="s">
        <v>3876</v>
      </c>
      <c r="D208" t="s">
        <v>3905</v>
      </c>
      <c r="E208" t="s">
        <v>3906</v>
      </c>
      <c r="F208" t="s">
        <v>3357</v>
      </c>
      <c r="G208" t="s">
        <v>3907</v>
      </c>
    </row>
    <row r="209" spans="1:7" ht="11.25" customHeight="1">
      <c r="A209" t="s">
        <v>14</v>
      </c>
      <c r="B209" t="s">
        <v>3875</v>
      </c>
      <c r="C209" t="s">
        <v>3876</v>
      </c>
      <c r="D209" t="s">
        <v>3908</v>
      </c>
      <c r="E209" t="s">
        <v>3909</v>
      </c>
      <c r="F209" t="s">
        <v>3357</v>
      </c>
      <c r="G209" t="s">
        <v>3910</v>
      </c>
    </row>
    <row r="210" spans="1:7" ht="11.25" customHeight="1">
      <c r="A210" t="s">
        <v>14</v>
      </c>
      <c r="B210" t="s">
        <v>3911</v>
      </c>
      <c r="C210" t="s">
        <v>3912</v>
      </c>
      <c r="D210" t="s">
        <v>3911</v>
      </c>
      <c r="E210" t="s">
        <v>3912</v>
      </c>
      <c r="F210" t="s">
        <v>3440</v>
      </c>
      <c r="G210" t="s">
        <v>3913</v>
      </c>
    </row>
    <row r="211" spans="1:7" ht="11.25" customHeight="1">
      <c r="A211" t="s">
        <v>14</v>
      </c>
      <c r="B211" t="s">
        <v>3914</v>
      </c>
      <c r="C211" t="s">
        <v>3915</v>
      </c>
      <c r="D211" t="s">
        <v>3914</v>
      </c>
      <c r="E211" t="s">
        <v>3915</v>
      </c>
      <c r="F211" t="s">
        <v>3351</v>
      </c>
      <c r="G211" t="s">
        <v>3916</v>
      </c>
    </row>
    <row r="212" spans="1:7" ht="11.25" customHeight="1">
      <c r="A212" t="s">
        <v>14</v>
      </c>
      <c r="B212" t="s">
        <v>3917</v>
      </c>
      <c r="C212" t="s">
        <v>3918</v>
      </c>
      <c r="D212" t="s">
        <v>3919</v>
      </c>
      <c r="E212" t="s">
        <v>3920</v>
      </c>
      <c r="F212" t="s">
        <v>3453</v>
      </c>
      <c r="G212" t="s">
        <v>3921</v>
      </c>
    </row>
    <row r="213" spans="1:7" ht="11.25" customHeight="1">
      <c r="A213" t="s">
        <v>14</v>
      </c>
      <c r="B213" t="s">
        <v>3917</v>
      </c>
      <c r="C213" t="s">
        <v>3918</v>
      </c>
      <c r="D213" t="s">
        <v>3922</v>
      </c>
      <c r="E213" t="s">
        <v>3923</v>
      </c>
      <c r="F213" t="s">
        <v>3357</v>
      </c>
      <c r="G213" t="s">
        <v>3924</v>
      </c>
    </row>
    <row r="214" spans="1:7" ht="11.25" customHeight="1">
      <c r="A214" t="s">
        <v>14</v>
      </c>
      <c r="B214" t="s">
        <v>3917</v>
      </c>
      <c r="C214" t="s">
        <v>3918</v>
      </c>
      <c r="D214" t="s">
        <v>3925</v>
      </c>
      <c r="E214" t="s">
        <v>3926</v>
      </c>
      <c r="F214" t="s">
        <v>3357</v>
      </c>
      <c r="G214" t="s">
        <v>3927</v>
      </c>
    </row>
    <row r="215" spans="1:7" ht="11.25" customHeight="1">
      <c r="A215" t="s">
        <v>14</v>
      </c>
      <c r="B215" t="s">
        <v>3917</v>
      </c>
      <c r="C215" t="s">
        <v>3918</v>
      </c>
      <c r="D215" t="s">
        <v>3928</v>
      </c>
      <c r="E215" t="s">
        <v>3929</v>
      </c>
      <c r="F215" t="s">
        <v>3357</v>
      </c>
      <c r="G215" t="s">
        <v>3930</v>
      </c>
    </row>
    <row r="216" spans="1:7" ht="11.25" customHeight="1">
      <c r="A216" t="s">
        <v>14</v>
      </c>
      <c r="B216" t="s">
        <v>3917</v>
      </c>
      <c r="C216" t="s">
        <v>3918</v>
      </c>
      <c r="D216" t="s">
        <v>3931</v>
      </c>
      <c r="E216" t="s">
        <v>3932</v>
      </c>
      <c r="F216" t="s">
        <v>3357</v>
      </c>
      <c r="G216" t="s">
        <v>3933</v>
      </c>
    </row>
    <row r="217" spans="1:7" ht="11.25" customHeight="1">
      <c r="A217" t="s">
        <v>14</v>
      </c>
      <c r="B217" t="s">
        <v>3917</v>
      </c>
      <c r="C217" t="s">
        <v>3918</v>
      </c>
      <c r="D217" t="s">
        <v>3917</v>
      </c>
      <c r="E217" t="s">
        <v>3918</v>
      </c>
      <c r="F217" t="s">
        <v>3354</v>
      </c>
      <c r="G217" t="s">
        <v>3934</v>
      </c>
    </row>
    <row r="218" spans="1:7" ht="11.25" customHeight="1">
      <c r="A218" t="s">
        <v>14</v>
      </c>
      <c r="B218" t="s">
        <v>3917</v>
      </c>
      <c r="C218" t="s">
        <v>3918</v>
      </c>
      <c r="D218" t="s">
        <v>3935</v>
      </c>
      <c r="E218" t="s">
        <v>3936</v>
      </c>
      <c r="F218" t="s">
        <v>3357</v>
      </c>
      <c r="G218" t="s">
        <v>3937</v>
      </c>
    </row>
    <row r="219" spans="1:7" ht="11.25" customHeight="1">
      <c r="A219" t="s">
        <v>14</v>
      </c>
      <c r="B219" t="s">
        <v>3917</v>
      </c>
      <c r="C219" t="s">
        <v>3918</v>
      </c>
      <c r="D219" t="s">
        <v>3699</v>
      </c>
      <c r="E219" t="s">
        <v>3938</v>
      </c>
      <c r="F219" t="s">
        <v>3357</v>
      </c>
      <c r="G219" t="s">
        <v>3939</v>
      </c>
    </row>
    <row r="220" spans="1:7" ht="11.25" customHeight="1">
      <c r="A220" t="s">
        <v>14</v>
      </c>
      <c r="B220" t="s">
        <v>3917</v>
      </c>
      <c r="C220" t="s">
        <v>3918</v>
      </c>
      <c r="D220" t="s">
        <v>3940</v>
      </c>
      <c r="E220" t="s">
        <v>3941</v>
      </c>
      <c r="F220" t="s">
        <v>3357</v>
      </c>
      <c r="G220" t="s">
        <v>3942</v>
      </c>
    </row>
    <row r="221" spans="1:7" ht="11.25" customHeight="1">
      <c r="A221" t="s">
        <v>14</v>
      </c>
      <c r="B221" t="s">
        <v>3917</v>
      </c>
      <c r="C221" t="s">
        <v>3918</v>
      </c>
      <c r="D221" t="s">
        <v>3943</v>
      </c>
      <c r="E221" t="s">
        <v>3944</v>
      </c>
      <c r="F221" t="s">
        <v>3357</v>
      </c>
      <c r="G221" t="s">
        <v>3945</v>
      </c>
    </row>
    <row r="222" spans="1:7" ht="11.25" customHeight="1">
      <c r="A222" t="s">
        <v>14</v>
      </c>
      <c r="B222" t="s">
        <v>3917</v>
      </c>
      <c r="C222" t="s">
        <v>3918</v>
      </c>
      <c r="D222" t="s">
        <v>3946</v>
      </c>
      <c r="E222" t="s">
        <v>3947</v>
      </c>
      <c r="F222" t="s">
        <v>3634</v>
      </c>
      <c r="G222" t="s">
        <v>3948</v>
      </c>
    </row>
    <row r="223" spans="1:7" ht="11.25" customHeight="1">
      <c r="A223" t="s">
        <v>14</v>
      </c>
      <c r="B223" t="s">
        <v>3917</v>
      </c>
      <c r="C223" t="s">
        <v>3918</v>
      </c>
      <c r="D223" t="s">
        <v>3949</v>
      </c>
      <c r="E223" t="s">
        <v>3950</v>
      </c>
      <c r="F223" t="s">
        <v>3357</v>
      </c>
      <c r="G223" t="s">
        <v>3951</v>
      </c>
    </row>
    <row r="224" spans="1:7" ht="11.25" customHeight="1">
      <c r="A224" t="s">
        <v>14</v>
      </c>
      <c r="B224" t="s">
        <v>3917</v>
      </c>
      <c r="C224" t="s">
        <v>3918</v>
      </c>
      <c r="D224" t="s">
        <v>3952</v>
      </c>
      <c r="E224" t="s">
        <v>3953</v>
      </c>
      <c r="F224" t="s">
        <v>3357</v>
      </c>
      <c r="G224" t="s">
        <v>3954</v>
      </c>
    </row>
    <row r="225" spans="1:7" ht="11.25" customHeight="1">
      <c r="A225" t="s">
        <v>14</v>
      </c>
      <c r="B225" t="s">
        <v>3917</v>
      </c>
      <c r="C225" t="s">
        <v>3918</v>
      </c>
      <c r="D225" t="s">
        <v>3955</v>
      </c>
      <c r="E225" t="s">
        <v>3956</v>
      </c>
      <c r="F225" t="s">
        <v>3357</v>
      </c>
      <c r="G225" t="s">
        <v>3957</v>
      </c>
    </row>
    <row r="226" spans="1:7" ht="11.25" customHeight="1">
      <c r="A226" t="s">
        <v>14</v>
      </c>
      <c r="B226" t="s">
        <v>3917</v>
      </c>
      <c r="C226" t="s">
        <v>3918</v>
      </c>
      <c r="D226" t="s">
        <v>3958</v>
      </c>
      <c r="E226" t="s">
        <v>3959</v>
      </c>
      <c r="F226" t="s">
        <v>3357</v>
      </c>
      <c r="G226" t="s">
        <v>3960</v>
      </c>
    </row>
    <row r="227" spans="1:7" ht="11.25" customHeight="1">
      <c r="A227" t="s">
        <v>14</v>
      </c>
      <c r="B227" t="s">
        <v>3917</v>
      </c>
      <c r="C227" t="s">
        <v>3918</v>
      </c>
      <c r="D227" t="s">
        <v>3551</v>
      </c>
      <c r="E227" t="s">
        <v>3961</v>
      </c>
      <c r="F227" t="s">
        <v>3357</v>
      </c>
      <c r="G227" t="s">
        <v>3962</v>
      </c>
    </row>
    <row r="228" spans="1:7" ht="11.25" customHeight="1">
      <c r="A228" t="s">
        <v>14</v>
      </c>
      <c r="B228" t="s">
        <v>3963</v>
      </c>
      <c r="C228" t="s">
        <v>3964</v>
      </c>
      <c r="D228" t="s">
        <v>3963</v>
      </c>
      <c r="E228" t="s">
        <v>3964</v>
      </c>
      <c r="F228" t="s">
        <v>3351</v>
      </c>
      <c r="G228" t="s">
        <v>3965</v>
      </c>
    </row>
    <row r="229" spans="1:7" ht="11.25" customHeight="1">
      <c r="A229" t="s">
        <v>14</v>
      </c>
      <c r="B229" t="s">
        <v>3966</v>
      </c>
      <c r="C229" t="s">
        <v>3967</v>
      </c>
      <c r="D229" t="s">
        <v>3968</v>
      </c>
      <c r="E229" t="s">
        <v>3969</v>
      </c>
      <c r="F229" t="s">
        <v>3453</v>
      </c>
      <c r="G229" t="s">
        <v>3970</v>
      </c>
    </row>
    <row r="230" spans="1:7" ht="11.25" customHeight="1">
      <c r="A230" t="s">
        <v>14</v>
      </c>
      <c r="B230" t="s">
        <v>3966</v>
      </c>
      <c r="C230" t="s">
        <v>3967</v>
      </c>
      <c r="D230" t="s">
        <v>3971</v>
      </c>
      <c r="E230" t="s">
        <v>3972</v>
      </c>
      <c r="F230" t="s">
        <v>3357</v>
      </c>
      <c r="G230" t="s">
        <v>3973</v>
      </c>
    </row>
    <row r="231" spans="1:7" ht="11.25" customHeight="1">
      <c r="A231" t="s">
        <v>14</v>
      </c>
      <c r="B231" t="s">
        <v>3966</v>
      </c>
      <c r="C231" t="s">
        <v>3967</v>
      </c>
      <c r="D231" t="s">
        <v>3974</v>
      </c>
      <c r="E231" t="s">
        <v>3975</v>
      </c>
      <c r="F231" t="s">
        <v>3357</v>
      </c>
      <c r="G231" t="s">
        <v>3976</v>
      </c>
    </row>
    <row r="232" spans="1:7" ht="11.25" customHeight="1">
      <c r="A232" t="s">
        <v>14</v>
      </c>
      <c r="B232" t="s">
        <v>3966</v>
      </c>
      <c r="C232" t="s">
        <v>3967</v>
      </c>
      <c r="D232" t="s">
        <v>3977</v>
      </c>
      <c r="E232" t="s">
        <v>3978</v>
      </c>
      <c r="F232" t="s">
        <v>3357</v>
      </c>
      <c r="G232" t="s">
        <v>3979</v>
      </c>
    </row>
    <row r="233" spans="1:7" ht="11.25" customHeight="1">
      <c r="A233" t="s">
        <v>14</v>
      </c>
      <c r="B233" t="s">
        <v>3966</v>
      </c>
      <c r="C233" t="s">
        <v>3967</v>
      </c>
      <c r="D233" t="s">
        <v>3980</v>
      </c>
      <c r="E233" t="s">
        <v>3981</v>
      </c>
      <c r="F233" t="s">
        <v>3357</v>
      </c>
      <c r="G233" t="s">
        <v>3982</v>
      </c>
    </row>
    <row r="234" spans="1:7" ht="11.25" customHeight="1">
      <c r="A234" t="s">
        <v>14</v>
      </c>
      <c r="B234" t="s">
        <v>3966</v>
      </c>
      <c r="C234" t="s">
        <v>3967</v>
      </c>
      <c r="D234" t="s">
        <v>3983</v>
      </c>
      <c r="E234" t="s">
        <v>3984</v>
      </c>
      <c r="F234" t="s">
        <v>3357</v>
      </c>
      <c r="G234" t="s">
        <v>3985</v>
      </c>
    </row>
    <row r="235" spans="1:7" ht="11.25" customHeight="1">
      <c r="A235" t="s">
        <v>14</v>
      </c>
      <c r="B235" t="s">
        <v>3966</v>
      </c>
      <c r="C235" t="s">
        <v>3967</v>
      </c>
      <c r="D235" t="s">
        <v>3986</v>
      </c>
      <c r="E235" t="s">
        <v>3987</v>
      </c>
      <c r="F235" t="s">
        <v>3357</v>
      </c>
      <c r="G235" t="s">
        <v>3988</v>
      </c>
    </row>
    <row r="236" spans="1:7" ht="11.25" customHeight="1">
      <c r="A236" t="s">
        <v>14</v>
      </c>
      <c r="B236" t="s">
        <v>3966</v>
      </c>
      <c r="C236" t="s">
        <v>3967</v>
      </c>
      <c r="D236" t="s">
        <v>3966</v>
      </c>
      <c r="E236" t="s">
        <v>3967</v>
      </c>
      <c r="F236" t="s">
        <v>3354</v>
      </c>
      <c r="G236" t="s">
        <v>3989</v>
      </c>
    </row>
    <row r="237" spans="1:7" ht="11.25" customHeight="1">
      <c r="A237" t="s">
        <v>14</v>
      </c>
      <c r="B237" t="s">
        <v>3966</v>
      </c>
      <c r="C237" t="s">
        <v>3967</v>
      </c>
      <c r="D237" t="s">
        <v>3990</v>
      </c>
      <c r="E237" t="s">
        <v>3991</v>
      </c>
      <c r="F237" t="s">
        <v>3357</v>
      </c>
      <c r="G237" t="s">
        <v>3992</v>
      </c>
    </row>
    <row r="238" spans="1:7" ht="11.25" customHeight="1">
      <c r="A238" t="s">
        <v>14</v>
      </c>
      <c r="B238" t="s">
        <v>3966</v>
      </c>
      <c r="C238" t="s">
        <v>3967</v>
      </c>
      <c r="D238" t="s">
        <v>3993</v>
      </c>
      <c r="E238" t="s">
        <v>3994</v>
      </c>
      <c r="F238" t="s">
        <v>3357</v>
      </c>
      <c r="G238" t="s">
        <v>3995</v>
      </c>
    </row>
    <row r="239" spans="1:7" ht="11.25" customHeight="1">
      <c r="A239" t="s">
        <v>14</v>
      </c>
      <c r="B239" t="s">
        <v>3966</v>
      </c>
      <c r="C239" t="s">
        <v>3967</v>
      </c>
      <c r="D239" t="s">
        <v>3996</v>
      </c>
      <c r="E239" t="s">
        <v>3997</v>
      </c>
      <c r="F239" t="s">
        <v>3634</v>
      </c>
      <c r="G239" t="s">
        <v>3998</v>
      </c>
    </row>
    <row r="240" spans="1:7" ht="11.25" customHeight="1">
      <c r="A240" t="s">
        <v>14</v>
      </c>
      <c r="B240" t="s">
        <v>3966</v>
      </c>
      <c r="C240" t="s">
        <v>3967</v>
      </c>
      <c r="D240" t="s">
        <v>3999</v>
      </c>
      <c r="E240" t="s">
        <v>4000</v>
      </c>
      <c r="F240" t="s">
        <v>3357</v>
      </c>
      <c r="G240" t="s">
        <v>4001</v>
      </c>
    </row>
    <row r="241" spans="1:7" ht="11.25" customHeight="1">
      <c r="A241" t="s">
        <v>14</v>
      </c>
      <c r="B241" t="s">
        <v>3966</v>
      </c>
      <c r="C241" t="s">
        <v>3967</v>
      </c>
      <c r="D241" t="s">
        <v>4002</v>
      </c>
      <c r="E241" t="s">
        <v>4003</v>
      </c>
      <c r="F241" t="s">
        <v>3357</v>
      </c>
      <c r="G241" t="s">
        <v>4004</v>
      </c>
    </row>
    <row r="242" spans="1:7" ht="11.25" customHeight="1">
      <c r="A242" t="s">
        <v>14</v>
      </c>
      <c r="B242" t="s">
        <v>4005</v>
      </c>
      <c r="C242" t="s">
        <v>4006</v>
      </c>
      <c r="D242" t="s">
        <v>4005</v>
      </c>
      <c r="E242" t="s">
        <v>4006</v>
      </c>
      <c r="F242" t="s">
        <v>3351</v>
      </c>
      <c r="G242" t="s">
        <v>4007</v>
      </c>
    </row>
    <row r="243" spans="1:7" ht="11.25" customHeight="1">
      <c r="A243" t="s">
        <v>14</v>
      </c>
      <c r="B243" t="s">
        <v>4008</v>
      </c>
      <c r="C243" t="s">
        <v>4009</v>
      </c>
      <c r="D243" t="s">
        <v>4010</v>
      </c>
      <c r="E243" t="s">
        <v>4011</v>
      </c>
      <c r="F243" t="s">
        <v>3453</v>
      </c>
      <c r="G243" t="s">
        <v>4012</v>
      </c>
    </row>
    <row r="244" spans="1:7" ht="11.25" customHeight="1">
      <c r="A244" t="s">
        <v>14</v>
      </c>
      <c r="B244" t="s">
        <v>4008</v>
      </c>
      <c r="C244" t="s">
        <v>4009</v>
      </c>
      <c r="D244" t="s">
        <v>4013</v>
      </c>
      <c r="E244" t="s">
        <v>4014</v>
      </c>
      <c r="F244" t="s">
        <v>3357</v>
      </c>
      <c r="G244" t="s">
        <v>4015</v>
      </c>
    </row>
    <row r="245" spans="1:7" ht="11.25" customHeight="1">
      <c r="A245" t="s">
        <v>14</v>
      </c>
      <c r="B245" t="s">
        <v>4008</v>
      </c>
      <c r="C245" t="s">
        <v>4009</v>
      </c>
      <c r="D245" t="s">
        <v>4016</v>
      </c>
      <c r="E245" t="s">
        <v>4017</v>
      </c>
      <c r="F245" t="s">
        <v>3357</v>
      </c>
      <c r="G245" t="s">
        <v>4018</v>
      </c>
    </row>
    <row r="246" spans="1:7" ht="11.25" customHeight="1">
      <c r="A246" t="s">
        <v>14</v>
      </c>
      <c r="B246" t="s">
        <v>4008</v>
      </c>
      <c r="C246" t="s">
        <v>4009</v>
      </c>
      <c r="D246" t="s">
        <v>4019</v>
      </c>
      <c r="E246" t="s">
        <v>4020</v>
      </c>
      <c r="F246" t="s">
        <v>3357</v>
      </c>
      <c r="G246" t="s">
        <v>4021</v>
      </c>
    </row>
    <row r="247" spans="1:7" ht="11.25" customHeight="1">
      <c r="A247" t="s">
        <v>14</v>
      </c>
      <c r="B247" t="s">
        <v>4008</v>
      </c>
      <c r="C247" t="s">
        <v>4009</v>
      </c>
      <c r="D247" t="s">
        <v>4022</v>
      </c>
      <c r="E247" t="s">
        <v>4023</v>
      </c>
      <c r="F247" t="s">
        <v>3357</v>
      </c>
      <c r="G247" t="s">
        <v>4024</v>
      </c>
    </row>
    <row r="248" spans="1:7" ht="11.25" customHeight="1">
      <c r="A248" t="s">
        <v>14</v>
      </c>
      <c r="B248" t="s">
        <v>4008</v>
      </c>
      <c r="C248" t="s">
        <v>4009</v>
      </c>
      <c r="D248" t="s">
        <v>4008</v>
      </c>
      <c r="E248" t="s">
        <v>4009</v>
      </c>
      <c r="F248" t="s">
        <v>3354</v>
      </c>
      <c r="G248" t="s">
        <v>4025</v>
      </c>
    </row>
    <row r="249" spans="1:7" ht="11.25" customHeight="1">
      <c r="A249" t="s">
        <v>14</v>
      </c>
      <c r="B249" t="s">
        <v>4008</v>
      </c>
      <c r="C249" t="s">
        <v>4009</v>
      </c>
      <c r="D249" t="s">
        <v>4026</v>
      </c>
      <c r="E249" t="s">
        <v>4027</v>
      </c>
      <c r="F249" t="s">
        <v>3357</v>
      </c>
      <c r="G249" t="s">
        <v>4028</v>
      </c>
    </row>
    <row r="250" spans="1:7" ht="11.25" customHeight="1">
      <c r="A250" t="s">
        <v>14</v>
      </c>
      <c r="B250" t="s">
        <v>4008</v>
      </c>
      <c r="C250" t="s">
        <v>4009</v>
      </c>
      <c r="D250" t="s">
        <v>4029</v>
      </c>
      <c r="E250" t="s">
        <v>4030</v>
      </c>
      <c r="F250" t="s">
        <v>3357</v>
      </c>
      <c r="G250" t="s">
        <v>4031</v>
      </c>
    </row>
    <row r="251" spans="1:7" ht="11.25" customHeight="1">
      <c r="A251" t="s">
        <v>14</v>
      </c>
      <c r="B251" t="s">
        <v>4008</v>
      </c>
      <c r="C251" t="s">
        <v>4009</v>
      </c>
      <c r="D251" t="s">
        <v>4032</v>
      </c>
      <c r="E251" t="s">
        <v>4033</v>
      </c>
      <c r="F251" t="s">
        <v>3357</v>
      </c>
      <c r="G251" t="s">
        <v>4034</v>
      </c>
    </row>
    <row r="252" spans="1:7" ht="11.25" customHeight="1">
      <c r="A252" t="s">
        <v>14</v>
      </c>
      <c r="B252" t="s">
        <v>4008</v>
      </c>
      <c r="C252" t="s">
        <v>4009</v>
      </c>
      <c r="D252" t="s">
        <v>4035</v>
      </c>
      <c r="E252" t="s">
        <v>4036</v>
      </c>
      <c r="F252" t="s">
        <v>3357</v>
      </c>
      <c r="G252" t="s">
        <v>4037</v>
      </c>
    </row>
    <row r="253" spans="1:7" ht="11.25" customHeight="1">
      <c r="A253" t="s">
        <v>14</v>
      </c>
      <c r="B253" t="s">
        <v>4008</v>
      </c>
      <c r="C253" t="s">
        <v>4009</v>
      </c>
      <c r="D253" t="s">
        <v>4038</v>
      </c>
      <c r="E253" t="s">
        <v>4039</v>
      </c>
      <c r="F253" t="s">
        <v>3357</v>
      </c>
      <c r="G253" t="s">
        <v>4040</v>
      </c>
    </row>
    <row r="254" spans="1:7" ht="11.25" customHeight="1">
      <c r="A254" t="s">
        <v>14</v>
      </c>
      <c r="B254" t="s">
        <v>4008</v>
      </c>
      <c r="C254" t="s">
        <v>4009</v>
      </c>
      <c r="D254" t="s">
        <v>4041</v>
      </c>
      <c r="E254" t="s">
        <v>4042</v>
      </c>
      <c r="F254" t="s">
        <v>3357</v>
      </c>
      <c r="G254" t="s">
        <v>4043</v>
      </c>
    </row>
    <row r="255" spans="1:7" ht="11.25" customHeight="1">
      <c r="A255" t="s">
        <v>14</v>
      </c>
      <c r="B255" t="s">
        <v>4008</v>
      </c>
      <c r="C255" t="s">
        <v>4009</v>
      </c>
      <c r="D255" t="s">
        <v>4044</v>
      </c>
      <c r="E255" t="s">
        <v>4045</v>
      </c>
      <c r="F255" t="s">
        <v>3357</v>
      </c>
      <c r="G255" t="s">
        <v>4046</v>
      </c>
    </row>
    <row r="256" spans="1:7" ht="11.25" customHeight="1">
      <c r="A256" t="s">
        <v>14</v>
      </c>
      <c r="B256" t="s">
        <v>4047</v>
      </c>
      <c r="C256" t="s">
        <v>4048</v>
      </c>
      <c r="D256" t="s">
        <v>4049</v>
      </c>
      <c r="E256" t="s">
        <v>4050</v>
      </c>
      <c r="F256" t="s">
        <v>3357</v>
      </c>
      <c r="G256" t="s">
        <v>4051</v>
      </c>
    </row>
    <row r="257" spans="1:7" ht="11.25" customHeight="1">
      <c r="A257" t="s">
        <v>14</v>
      </c>
      <c r="B257" t="s">
        <v>4047</v>
      </c>
      <c r="C257" t="s">
        <v>4048</v>
      </c>
      <c r="D257" t="s">
        <v>4052</v>
      </c>
      <c r="E257" t="s">
        <v>4053</v>
      </c>
      <c r="F257" t="s">
        <v>3357</v>
      </c>
      <c r="G257" t="s">
        <v>4054</v>
      </c>
    </row>
    <row r="258" spans="1:7" ht="11.25" customHeight="1">
      <c r="A258" t="s">
        <v>14</v>
      </c>
      <c r="B258" t="s">
        <v>4047</v>
      </c>
      <c r="C258" t="s">
        <v>4048</v>
      </c>
      <c r="D258" t="s">
        <v>4047</v>
      </c>
      <c r="E258" t="s">
        <v>4048</v>
      </c>
      <c r="F258" t="s">
        <v>3354</v>
      </c>
      <c r="G258" t="s">
        <v>4055</v>
      </c>
    </row>
    <row r="259" spans="1:7" ht="11.25" customHeight="1">
      <c r="A259" t="s">
        <v>14</v>
      </c>
      <c r="B259" t="s">
        <v>4047</v>
      </c>
      <c r="C259" t="s">
        <v>4048</v>
      </c>
      <c r="D259" t="s">
        <v>4056</v>
      </c>
      <c r="E259" t="s">
        <v>4057</v>
      </c>
      <c r="F259" t="s">
        <v>3357</v>
      </c>
      <c r="G259" t="s">
        <v>4058</v>
      </c>
    </row>
    <row r="260" spans="1:7" ht="11.25" customHeight="1">
      <c r="A260" t="s">
        <v>14</v>
      </c>
      <c r="B260" t="s">
        <v>4047</v>
      </c>
      <c r="C260" t="s">
        <v>4048</v>
      </c>
      <c r="D260" t="s">
        <v>4059</v>
      </c>
      <c r="E260" t="s">
        <v>4060</v>
      </c>
      <c r="F260" t="s">
        <v>3357</v>
      </c>
      <c r="G260" t="s">
        <v>4061</v>
      </c>
    </row>
    <row r="261" spans="1:7" ht="11.25" customHeight="1">
      <c r="A261" t="s">
        <v>14</v>
      </c>
      <c r="B261" t="s">
        <v>4047</v>
      </c>
      <c r="C261" t="s">
        <v>4048</v>
      </c>
      <c r="D261" t="s">
        <v>4062</v>
      </c>
      <c r="E261" t="s">
        <v>4063</v>
      </c>
      <c r="F261" t="s">
        <v>3357</v>
      </c>
      <c r="G261" t="s">
        <v>4064</v>
      </c>
    </row>
    <row r="262" spans="1:7" ht="11.25" customHeight="1">
      <c r="A262" t="s">
        <v>14</v>
      </c>
      <c r="B262" t="s">
        <v>4047</v>
      </c>
      <c r="C262" t="s">
        <v>4048</v>
      </c>
      <c r="D262" t="s">
        <v>4065</v>
      </c>
      <c r="E262" t="s">
        <v>4066</v>
      </c>
      <c r="F262" t="s">
        <v>3357</v>
      </c>
      <c r="G262" t="s">
        <v>4067</v>
      </c>
    </row>
    <row r="263" spans="1:7" ht="11.25" customHeight="1">
      <c r="A263" t="s">
        <v>14</v>
      </c>
      <c r="B263" t="s">
        <v>4047</v>
      </c>
      <c r="C263" t="s">
        <v>4048</v>
      </c>
      <c r="D263" t="s">
        <v>4068</v>
      </c>
      <c r="E263" t="s">
        <v>4069</v>
      </c>
      <c r="F263" t="s">
        <v>3357</v>
      </c>
      <c r="G263" t="s">
        <v>4070</v>
      </c>
    </row>
    <row r="264" spans="1:7" ht="11.25" customHeight="1">
      <c r="A264" t="s">
        <v>14</v>
      </c>
      <c r="B264" t="s">
        <v>4047</v>
      </c>
      <c r="C264" t="s">
        <v>4048</v>
      </c>
      <c r="D264" t="s">
        <v>4071</v>
      </c>
      <c r="E264" t="s">
        <v>4072</v>
      </c>
      <c r="F264" t="s">
        <v>3357</v>
      </c>
      <c r="G264" t="s">
        <v>4073</v>
      </c>
    </row>
    <row r="265" spans="1:7" ht="11.25" customHeight="1">
      <c r="A265" t="s">
        <v>14</v>
      </c>
      <c r="B265" t="s">
        <v>4074</v>
      </c>
      <c r="C265" t="s">
        <v>4075</v>
      </c>
      <c r="D265" t="s">
        <v>4074</v>
      </c>
      <c r="E265" t="s">
        <v>4075</v>
      </c>
      <c r="F265" t="s">
        <v>3351</v>
      </c>
      <c r="G265" t="s">
        <v>4076</v>
      </c>
    </row>
    <row r="266" spans="1:7" ht="11.25" customHeight="1">
      <c r="A266" t="s">
        <v>14</v>
      </c>
      <c r="B266" t="s">
        <v>4077</v>
      </c>
      <c r="C266" t="s">
        <v>4078</v>
      </c>
      <c r="D266" t="s">
        <v>4079</v>
      </c>
      <c r="E266" t="s">
        <v>4080</v>
      </c>
      <c r="F266" t="s">
        <v>3357</v>
      </c>
      <c r="G266" t="s">
        <v>4081</v>
      </c>
    </row>
    <row r="267" spans="1:7" ht="11.25" customHeight="1">
      <c r="A267" t="s">
        <v>14</v>
      </c>
      <c r="B267" t="s">
        <v>4077</v>
      </c>
      <c r="C267" t="s">
        <v>4078</v>
      </c>
      <c r="D267" t="s">
        <v>4082</v>
      </c>
      <c r="E267" t="s">
        <v>4083</v>
      </c>
      <c r="F267" t="s">
        <v>3453</v>
      </c>
      <c r="G267" t="s">
        <v>4084</v>
      </c>
    </row>
    <row r="268" spans="1:7" ht="11.25" customHeight="1">
      <c r="A268" t="s">
        <v>14</v>
      </c>
      <c r="B268" t="s">
        <v>4077</v>
      </c>
      <c r="C268" t="s">
        <v>4078</v>
      </c>
      <c r="D268" t="s">
        <v>4085</v>
      </c>
      <c r="E268" t="s">
        <v>4086</v>
      </c>
      <c r="F268" t="s">
        <v>3357</v>
      </c>
      <c r="G268" t="s">
        <v>4087</v>
      </c>
    </row>
    <row r="269" spans="1:7" ht="11.25" customHeight="1">
      <c r="A269" t="s">
        <v>14</v>
      </c>
      <c r="B269" t="s">
        <v>4077</v>
      </c>
      <c r="C269" t="s">
        <v>4078</v>
      </c>
      <c r="D269" t="s">
        <v>4088</v>
      </c>
      <c r="E269" t="s">
        <v>4089</v>
      </c>
      <c r="F269" t="s">
        <v>3357</v>
      </c>
      <c r="G269" t="s">
        <v>4090</v>
      </c>
    </row>
    <row r="270" spans="1:7" ht="11.25" customHeight="1">
      <c r="A270" t="s">
        <v>14</v>
      </c>
      <c r="B270" t="s">
        <v>4077</v>
      </c>
      <c r="C270" t="s">
        <v>4078</v>
      </c>
      <c r="D270" t="s">
        <v>4077</v>
      </c>
      <c r="E270" t="s">
        <v>4078</v>
      </c>
      <c r="F270" t="s">
        <v>3354</v>
      </c>
      <c r="G270" t="s">
        <v>4091</v>
      </c>
    </row>
    <row r="271" spans="1:7" ht="11.25" customHeight="1">
      <c r="A271" t="s">
        <v>14</v>
      </c>
      <c r="B271" t="s">
        <v>4077</v>
      </c>
      <c r="C271" t="s">
        <v>4078</v>
      </c>
      <c r="D271" t="s">
        <v>4092</v>
      </c>
      <c r="E271" t="s">
        <v>4093</v>
      </c>
      <c r="F271" t="s">
        <v>3357</v>
      </c>
      <c r="G271" t="s">
        <v>4094</v>
      </c>
    </row>
    <row r="272" spans="1:7" ht="11.25" customHeight="1">
      <c r="A272" t="s">
        <v>14</v>
      </c>
      <c r="B272" t="s">
        <v>4077</v>
      </c>
      <c r="C272" t="s">
        <v>4078</v>
      </c>
      <c r="D272" t="s">
        <v>4095</v>
      </c>
      <c r="E272" t="s">
        <v>4096</v>
      </c>
      <c r="F272" t="s">
        <v>3357</v>
      </c>
      <c r="G272" t="s">
        <v>4097</v>
      </c>
    </row>
    <row r="273" spans="1:7" ht="11.25" customHeight="1">
      <c r="A273" t="s">
        <v>14</v>
      </c>
      <c r="B273" t="s">
        <v>4077</v>
      </c>
      <c r="C273" t="s">
        <v>4078</v>
      </c>
      <c r="D273" t="s">
        <v>4098</v>
      </c>
      <c r="E273" t="s">
        <v>4099</v>
      </c>
      <c r="F273" t="s">
        <v>3357</v>
      </c>
      <c r="G273" t="s">
        <v>4100</v>
      </c>
    </row>
    <row r="274" spans="1:7" ht="11.25" customHeight="1">
      <c r="A274" t="s">
        <v>14</v>
      </c>
      <c r="B274" t="s">
        <v>4077</v>
      </c>
      <c r="C274" t="s">
        <v>4078</v>
      </c>
      <c r="D274" t="s">
        <v>4101</v>
      </c>
      <c r="E274" t="s">
        <v>4102</v>
      </c>
      <c r="F274" t="s">
        <v>3357</v>
      </c>
      <c r="G274" t="s">
        <v>4103</v>
      </c>
    </row>
    <row r="275" spans="1:7" ht="11.25" customHeight="1">
      <c r="A275" t="s">
        <v>14</v>
      </c>
      <c r="B275" t="s">
        <v>4077</v>
      </c>
      <c r="C275" t="s">
        <v>4078</v>
      </c>
      <c r="D275" t="s">
        <v>4104</v>
      </c>
      <c r="E275" t="s">
        <v>4105</v>
      </c>
      <c r="F275" t="s">
        <v>3357</v>
      </c>
      <c r="G275" t="s">
        <v>4106</v>
      </c>
    </row>
    <row r="276" spans="1:7" ht="11.25" customHeight="1">
      <c r="A276" t="s">
        <v>14</v>
      </c>
      <c r="B276" t="s">
        <v>4077</v>
      </c>
      <c r="C276" t="s">
        <v>4078</v>
      </c>
      <c r="D276" t="s">
        <v>4107</v>
      </c>
      <c r="E276" t="s">
        <v>4108</v>
      </c>
      <c r="F276" t="s">
        <v>3357</v>
      </c>
      <c r="G276" t="s">
        <v>4109</v>
      </c>
    </row>
    <row r="277" spans="1:7" ht="11.25" customHeight="1">
      <c r="A277" t="s">
        <v>14</v>
      </c>
      <c r="B277" t="s">
        <v>4077</v>
      </c>
      <c r="C277" t="s">
        <v>4078</v>
      </c>
      <c r="D277" t="s">
        <v>4110</v>
      </c>
      <c r="E277" t="s">
        <v>4111</v>
      </c>
      <c r="F277" t="s">
        <v>3357</v>
      </c>
      <c r="G277" t="s">
        <v>4112</v>
      </c>
    </row>
    <row r="278" spans="1:7" ht="11.25" customHeight="1">
      <c r="A278" t="s">
        <v>14</v>
      </c>
      <c r="B278" t="s">
        <v>4077</v>
      </c>
      <c r="C278" t="s">
        <v>4078</v>
      </c>
      <c r="D278" t="s">
        <v>4113</v>
      </c>
      <c r="E278" t="s">
        <v>4114</v>
      </c>
      <c r="F278" t="s">
        <v>3357</v>
      </c>
      <c r="G278" t="s">
        <v>4115</v>
      </c>
    </row>
    <row r="279" spans="1:7" ht="11.25" customHeight="1">
      <c r="A279" t="s">
        <v>14</v>
      </c>
      <c r="B279" t="s">
        <v>4077</v>
      </c>
      <c r="C279" t="s">
        <v>4078</v>
      </c>
      <c r="D279" t="s">
        <v>4116</v>
      </c>
      <c r="E279" t="s">
        <v>4117</v>
      </c>
      <c r="F279" t="s">
        <v>3357</v>
      </c>
      <c r="G279" t="s">
        <v>4118</v>
      </c>
    </row>
    <row r="280" spans="1:7" ht="11.25" customHeight="1">
      <c r="A280" t="s">
        <v>14</v>
      </c>
      <c r="B280" t="s">
        <v>4119</v>
      </c>
      <c r="C280" t="s">
        <v>4120</v>
      </c>
      <c r="D280" t="s">
        <v>4121</v>
      </c>
      <c r="E280" t="s">
        <v>4122</v>
      </c>
      <c r="F280" t="s">
        <v>3357</v>
      </c>
      <c r="G280" t="s">
        <v>4123</v>
      </c>
    </row>
    <row r="281" spans="1:7" ht="11.25" customHeight="1">
      <c r="A281" t="s">
        <v>14</v>
      </c>
      <c r="B281" t="s">
        <v>4119</v>
      </c>
      <c r="C281" t="s">
        <v>4120</v>
      </c>
      <c r="D281" t="s">
        <v>4124</v>
      </c>
      <c r="E281" t="s">
        <v>4125</v>
      </c>
      <c r="F281" t="s">
        <v>3357</v>
      </c>
      <c r="G281" t="s">
        <v>4126</v>
      </c>
    </row>
    <row r="282" spans="1:7" ht="11.25" customHeight="1">
      <c r="A282" t="s">
        <v>14</v>
      </c>
      <c r="B282" t="s">
        <v>4119</v>
      </c>
      <c r="C282" t="s">
        <v>4120</v>
      </c>
      <c r="D282" t="s">
        <v>4127</v>
      </c>
      <c r="E282" t="s">
        <v>4128</v>
      </c>
      <c r="F282" t="s">
        <v>3357</v>
      </c>
      <c r="G282" t="s">
        <v>4129</v>
      </c>
    </row>
    <row r="283" spans="1:7" ht="11.25" customHeight="1">
      <c r="A283" t="s">
        <v>14</v>
      </c>
      <c r="B283" t="s">
        <v>4119</v>
      </c>
      <c r="C283" t="s">
        <v>4120</v>
      </c>
      <c r="D283" t="s">
        <v>4130</v>
      </c>
      <c r="E283" t="s">
        <v>4131</v>
      </c>
      <c r="F283" t="s">
        <v>3357</v>
      </c>
      <c r="G283" t="s">
        <v>4132</v>
      </c>
    </row>
    <row r="284" spans="1:7" ht="11.25" customHeight="1">
      <c r="A284" t="s">
        <v>14</v>
      </c>
      <c r="B284" t="s">
        <v>4119</v>
      </c>
      <c r="C284" t="s">
        <v>4120</v>
      </c>
      <c r="D284" t="s">
        <v>4133</v>
      </c>
      <c r="E284" t="s">
        <v>4134</v>
      </c>
      <c r="F284" t="s">
        <v>3357</v>
      </c>
      <c r="G284" t="s">
        <v>4135</v>
      </c>
    </row>
    <row r="285" spans="1:7" ht="11.25" customHeight="1">
      <c r="A285" t="s">
        <v>14</v>
      </c>
      <c r="B285" t="s">
        <v>4119</v>
      </c>
      <c r="C285" t="s">
        <v>4120</v>
      </c>
      <c r="D285" t="s">
        <v>4136</v>
      </c>
      <c r="E285" t="s">
        <v>4137</v>
      </c>
      <c r="F285" t="s">
        <v>3357</v>
      </c>
      <c r="G285" t="s">
        <v>4138</v>
      </c>
    </row>
    <row r="286" spans="1:7" ht="11.25" customHeight="1">
      <c r="A286" t="s">
        <v>14</v>
      </c>
      <c r="B286" t="s">
        <v>4119</v>
      </c>
      <c r="C286" t="s">
        <v>4120</v>
      </c>
      <c r="D286" t="s">
        <v>4119</v>
      </c>
      <c r="E286" t="s">
        <v>4120</v>
      </c>
      <c r="F286" t="s">
        <v>3354</v>
      </c>
      <c r="G286" t="s">
        <v>4139</v>
      </c>
    </row>
    <row r="287" spans="1:7" ht="11.25" customHeight="1">
      <c r="A287" t="s">
        <v>14</v>
      </c>
      <c r="B287" t="s">
        <v>4119</v>
      </c>
      <c r="C287" t="s">
        <v>4120</v>
      </c>
      <c r="D287" t="s">
        <v>4140</v>
      </c>
      <c r="E287" t="s">
        <v>4141</v>
      </c>
      <c r="F287" t="s">
        <v>3357</v>
      </c>
      <c r="G287" t="s">
        <v>4142</v>
      </c>
    </row>
    <row r="288" spans="1:7" ht="11.25" customHeight="1">
      <c r="A288" t="s">
        <v>14</v>
      </c>
      <c r="B288" t="s">
        <v>4119</v>
      </c>
      <c r="C288" t="s">
        <v>4120</v>
      </c>
      <c r="D288" t="s">
        <v>4143</v>
      </c>
      <c r="E288" t="s">
        <v>4144</v>
      </c>
      <c r="F288" t="s">
        <v>3357</v>
      </c>
      <c r="G288" t="s">
        <v>4145</v>
      </c>
    </row>
    <row r="289" spans="1:7" ht="11.25" customHeight="1">
      <c r="A289" t="s">
        <v>14</v>
      </c>
      <c r="B289" t="s">
        <v>4119</v>
      </c>
      <c r="C289" t="s">
        <v>4120</v>
      </c>
      <c r="D289" t="s">
        <v>4146</v>
      </c>
      <c r="E289" t="s">
        <v>4147</v>
      </c>
      <c r="F289" t="s">
        <v>3357</v>
      </c>
      <c r="G289" t="s">
        <v>4148</v>
      </c>
    </row>
    <row r="290" spans="1:7" ht="11.25" customHeight="1">
      <c r="A290" t="s">
        <v>14</v>
      </c>
      <c r="B290" t="s">
        <v>4119</v>
      </c>
      <c r="C290" t="s">
        <v>4120</v>
      </c>
      <c r="D290" t="s">
        <v>4149</v>
      </c>
      <c r="E290" t="s">
        <v>4150</v>
      </c>
      <c r="F290" t="s">
        <v>3357</v>
      </c>
      <c r="G290" t="s">
        <v>4151</v>
      </c>
    </row>
    <row r="291" spans="1:7" ht="11.25" customHeight="1">
      <c r="A291" t="s">
        <v>14</v>
      </c>
      <c r="B291" t="s">
        <v>4119</v>
      </c>
      <c r="C291" t="s">
        <v>4120</v>
      </c>
      <c r="D291" t="s">
        <v>4152</v>
      </c>
      <c r="E291" t="s">
        <v>4153</v>
      </c>
      <c r="F291" t="s">
        <v>3357</v>
      </c>
      <c r="G291" t="s">
        <v>4154</v>
      </c>
    </row>
    <row r="292" spans="1:7" ht="11.25" customHeight="1">
      <c r="A292" t="s">
        <v>14</v>
      </c>
      <c r="B292" t="s">
        <v>4119</v>
      </c>
      <c r="C292" t="s">
        <v>4120</v>
      </c>
      <c r="D292" t="s">
        <v>4155</v>
      </c>
      <c r="E292" t="s">
        <v>4156</v>
      </c>
      <c r="F292" t="s">
        <v>3357</v>
      </c>
      <c r="G292" t="s">
        <v>4157</v>
      </c>
    </row>
    <row r="293" spans="1:7" ht="11.25" customHeight="1">
      <c r="A293" t="s">
        <v>14</v>
      </c>
      <c r="B293" t="s">
        <v>4119</v>
      </c>
      <c r="C293" t="s">
        <v>4120</v>
      </c>
      <c r="D293" t="s">
        <v>4158</v>
      </c>
      <c r="E293" t="s">
        <v>4159</v>
      </c>
      <c r="F293" t="s">
        <v>3357</v>
      </c>
      <c r="G293" t="s">
        <v>4160</v>
      </c>
    </row>
    <row r="294" spans="1:7" ht="11.25" customHeight="1">
      <c r="A294" t="s">
        <v>14</v>
      </c>
      <c r="B294" t="s">
        <v>4119</v>
      </c>
      <c r="C294" t="s">
        <v>4120</v>
      </c>
      <c r="D294" t="s">
        <v>4161</v>
      </c>
      <c r="E294" t="s">
        <v>4162</v>
      </c>
      <c r="F294" t="s">
        <v>3357</v>
      </c>
      <c r="G294" t="s">
        <v>4163</v>
      </c>
    </row>
    <row r="295" spans="1:7" ht="11.25" customHeight="1">
      <c r="A295" t="s">
        <v>14</v>
      </c>
      <c r="B295" t="s">
        <v>4119</v>
      </c>
      <c r="C295" t="s">
        <v>4120</v>
      </c>
      <c r="D295" t="s">
        <v>4164</v>
      </c>
      <c r="E295" t="s">
        <v>4165</v>
      </c>
      <c r="F295" t="s">
        <v>3357</v>
      </c>
      <c r="G295" t="s">
        <v>4166</v>
      </c>
    </row>
    <row r="296" spans="1:7" ht="11.25" customHeight="1">
      <c r="A296" t="s">
        <v>14</v>
      </c>
      <c r="B296" t="s">
        <v>4167</v>
      </c>
      <c r="C296" t="s">
        <v>4168</v>
      </c>
      <c r="D296" t="s">
        <v>4167</v>
      </c>
      <c r="E296" t="s">
        <v>4168</v>
      </c>
      <c r="F296" t="s">
        <v>3440</v>
      </c>
      <c r="G296" t="s">
        <v>4169</v>
      </c>
    </row>
    <row r="297" spans="1:7" ht="11.25" customHeight="1">
      <c r="A297" t="s">
        <v>14</v>
      </c>
      <c r="B297" t="s">
        <v>4170</v>
      </c>
      <c r="C297" t="s">
        <v>4171</v>
      </c>
      <c r="D297" t="s">
        <v>4170</v>
      </c>
      <c r="E297" t="s">
        <v>4171</v>
      </c>
      <c r="F297" t="s">
        <v>3351</v>
      </c>
      <c r="G297" t="s">
        <v>4172</v>
      </c>
    </row>
    <row r="298" spans="1:7" ht="11.25" customHeight="1">
      <c r="A298" t="s">
        <v>14</v>
      </c>
      <c r="B298" t="s">
        <v>4173</v>
      </c>
      <c r="C298" t="s">
        <v>4174</v>
      </c>
      <c r="D298" t="s">
        <v>4175</v>
      </c>
      <c r="E298" t="s">
        <v>4176</v>
      </c>
      <c r="F298" t="s">
        <v>3357</v>
      </c>
      <c r="G298" t="s">
        <v>4177</v>
      </c>
    </row>
    <row r="299" spans="1:7" ht="11.25" customHeight="1">
      <c r="A299" t="s">
        <v>14</v>
      </c>
      <c r="B299" t="s">
        <v>4173</v>
      </c>
      <c r="C299" t="s">
        <v>4174</v>
      </c>
      <c r="D299" t="s">
        <v>4178</v>
      </c>
      <c r="E299" t="s">
        <v>4179</v>
      </c>
      <c r="F299" t="s">
        <v>3453</v>
      </c>
      <c r="G299" t="s">
        <v>4180</v>
      </c>
    </row>
    <row r="300" spans="1:7" ht="11.25" customHeight="1">
      <c r="A300" t="s">
        <v>14</v>
      </c>
      <c r="B300" t="s">
        <v>4173</v>
      </c>
      <c r="C300" t="s">
        <v>4174</v>
      </c>
      <c r="D300" t="s">
        <v>4181</v>
      </c>
      <c r="E300" t="s">
        <v>4182</v>
      </c>
      <c r="F300" t="s">
        <v>3357</v>
      </c>
      <c r="G300" t="s">
        <v>4183</v>
      </c>
    </row>
    <row r="301" spans="1:7" ht="11.25" customHeight="1">
      <c r="A301" t="s">
        <v>14</v>
      </c>
      <c r="B301" t="s">
        <v>4173</v>
      </c>
      <c r="C301" t="s">
        <v>4174</v>
      </c>
      <c r="D301" t="s">
        <v>4184</v>
      </c>
      <c r="E301" t="s">
        <v>4185</v>
      </c>
      <c r="F301" t="s">
        <v>3357</v>
      </c>
      <c r="G301" t="s">
        <v>4186</v>
      </c>
    </row>
    <row r="302" spans="1:7" ht="11.25" customHeight="1">
      <c r="A302" t="s">
        <v>14</v>
      </c>
      <c r="B302" t="s">
        <v>4173</v>
      </c>
      <c r="C302" t="s">
        <v>4174</v>
      </c>
      <c r="D302" t="s">
        <v>4187</v>
      </c>
      <c r="E302" t="s">
        <v>4188</v>
      </c>
      <c r="F302" t="s">
        <v>3357</v>
      </c>
      <c r="G302" t="s">
        <v>4189</v>
      </c>
    </row>
    <row r="303" spans="1:7" ht="11.25" customHeight="1">
      <c r="A303" t="s">
        <v>14</v>
      </c>
      <c r="B303" t="s">
        <v>4173</v>
      </c>
      <c r="C303" t="s">
        <v>4174</v>
      </c>
      <c r="D303" t="s">
        <v>4190</v>
      </c>
      <c r="E303" t="s">
        <v>4191</v>
      </c>
      <c r="F303" t="s">
        <v>3357</v>
      </c>
      <c r="G303" t="s">
        <v>4192</v>
      </c>
    </row>
    <row r="304" spans="1:7" ht="11.25" customHeight="1">
      <c r="A304" t="s">
        <v>14</v>
      </c>
      <c r="B304" t="s">
        <v>4173</v>
      </c>
      <c r="C304" t="s">
        <v>4174</v>
      </c>
      <c r="D304" t="s">
        <v>4173</v>
      </c>
      <c r="E304" t="s">
        <v>4174</v>
      </c>
      <c r="F304" t="s">
        <v>3354</v>
      </c>
      <c r="G304" t="s">
        <v>4193</v>
      </c>
    </row>
    <row r="305" spans="1:7" ht="11.25" customHeight="1">
      <c r="A305" t="s">
        <v>14</v>
      </c>
      <c r="B305" t="s">
        <v>4173</v>
      </c>
      <c r="C305" t="s">
        <v>4174</v>
      </c>
      <c r="D305" t="s">
        <v>4194</v>
      </c>
      <c r="E305" t="s">
        <v>4195</v>
      </c>
      <c r="F305" t="s">
        <v>3357</v>
      </c>
      <c r="G305" t="s">
        <v>4196</v>
      </c>
    </row>
    <row r="306" spans="1:7" ht="11.25" customHeight="1">
      <c r="A306" t="s">
        <v>14</v>
      </c>
      <c r="B306" t="s">
        <v>4197</v>
      </c>
      <c r="C306" t="s">
        <v>4198</v>
      </c>
      <c r="D306" t="s">
        <v>4199</v>
      </c>
      <c r="E306" t="s">
        <v>4200</v>
      </c>
      <c r="F306" t="s">
        <v>3357</v>
      </c>
      <c r="G306" t="s">
        <v>4201</v>
      </c>
    </row>
    <row r="307" spans="1:7" ht="11.25" customHeight="1">
      <c r="A307" t="s">
        <v>14</v>
      </c>
      <c r="B307" t="s">
        <v>4197</v>
      </c>
      <c r="C307" t="s">
        <v>4198</v>
      </c>
      <c r="D307" t="s">
        <v>4202</v>
      </c>
      <c r="E307" t="s">
        <v>4203</v>
      </c>
      <c r="F307" t="s">
        <v>3357</v>
      </c>
      <c r="G307" t="s">
        <v>4204</v>
      </c>
    </row>
    <row r="308" spans="1:7" ht="11.25" customHeight="1">
      <c r="A308" t="s">
        <v>14</v>
      </c>
      <c r="B308" t="s">
        <v>4197</v>
      </c>
      <c r="C308" t="s">
        <v>4198</v>
      </c>
      <c r="D308" t="s">
        <v>4205</v>
      </c>
      <c r="E308" t="s">
        <v>4206</v>
      </c>
      <c r="F308" t="s">
        <v>3357</v>
      </c>
      <c r="G308" t="s">
        <v>4207</v>
      </c>
    </row>
    <row r="309" spans="1:7" ht="11.25" customHeight="1">
      <c r="A309" t="s">
        <v>14</v>
      </c>
      <c r="B309" t="s">
        <v>4197</v>
      </c>
      <c r="C309" t="s">
        <v>4198</v>
      </c>
      <c r="D309" t="s">
        <v>4208</v>
      </c>
      <c r="E309" t="s">
        <v>4209</v>
      </c>
      <c r="F309" t="s">
        <v>3357</v>
      </c>
      <c r="G309" t="s">
        <v>4210</v>
      </c>
    </row>
    <row r="310" spans="1:7" ht="11.25" customHeight="1">
      <c r="A310" t="s">
        <v>14</v>
      </c>
      <c r="B310" t="s">
        <v>4197</v>
      </c>
      <c r="C310" t="s">
        <v>4198</v>
      </c>
      <c r="D310" t="s">
        <v>4211</v>
      </c>
      <c r="E310" t="s">
        <v>4212</v>
      </c>
      <c r="F310" t="s">
        <v>3357</v>
      </c>
      <c r="G310" t="s">
        <v>4213</v>
      </c>
    </row>
    <row r="311" spans="1:7" ht="11.25" customHeight="1">
      <c r="A311" t="s">
        <v>14</v>
      </c>
      <c r="B311" t="s">
        <v>4197</v>
      </c>
      <c r="C311" t="s">
        <v>4198</v>
      </c>
      <c r="D311" t="s">
        <v>4214</v>
      </c>
      <c r="E311" t="s">
        <v>4215</v>
      </c>
      <c r="F311" t="s">
        <v>3357</v>
      </c>
      <c r="G311" t="s">
        <v>4216</v>
      </c>
    </row>
    <row r="312" spans="1:7" ht="11.25" customHeight="1">
      <c r="A312" t="s">
        <v>14</v>
      </c>
      <c r="B312" t="s">
        <v>4197</v>
      </c>
      <c r="C312" t="s">
        <v>4198</v>
      </c>
      <c r="D312" t="s">
        <v>4197</v>
      </c>
      <c r="E312" t="s">
        <v>4198</v>
      </c>
      <c r="F312" t="s">
        <v>3354</v>
      </c>
      <c r="G312" t="s">
        <v>4217</v>
      </c>
    </row>
    <row r="313" spans="1:7" ht="11.25" customHeight="1">
      <c r="A313" t="s">
        <v>14</v>
      </c>
      <c r="B313" t="s">
        <v>4197</v>
      </c>
      <c r="C313" t="s">
        <v>4198</v>
      </c>
      <c r="D313" t="s">
        <v>4218</v>
      </c>
      <c r="E313" t="s">
        <v>4219</v>
      </c>
      <c r="F313" t="s">
        <v>3357</v>
      </c>
      <c r="G313" t="s">
        <v>4220</v>
      </c>
    </row>
    <row r="314" spans="1:7" ht="11.25" customHeight="1">
      <c r="A314" t="s">
        <v>14</v>
      </c>
      <c r="B314" t="s">
        <v>4221</v>
      </c>
      <c r="C314" t="s">
        <v>4222</v>
      </c>
      <c r="D314" t="s">
        <v>4223</v>
      </c>
      <c r="E314" t="s">
        <v>4224</v>
      </c>
      <c r="F314" t="s">
        <v>3357</v>
      </c>
      <c r="G314" t="s">
        <v>4225</v>
      </c>
    </row>
    <row r="315" spans="1:7" ht="11.25" customHeight="1">
      <c r="A315" t="s">
        <v>14</v>
      </c>
      <c r="B315" t="s">
        <v>4221</v>
      </c>
      <c r="C315" t="s">
        <v>4222</v>
      </c>
      <c r="D315" t="s">
        <v>4226</v>
      </c>
      <c r="E315" t="s">
        <v>4227</v>
      </c>
      <c r="F315" t="s">
        <v>3357</v>
      </c>
      <c r="G315" t="s">
        <v>4228</v>
      </c>
    </row>
    <row r="316" spans="1:7" ht="11.25" customHeight="1">
      <c r="A316" t="s">
        <v>14</v>
      </c>
      <c r="B316" t="s">
        <v>4221</v>
      </c>
      <c r="C316" t="s">
        <v>4222</v>
      </c>
      <c r="D316" t="s">
        <v>4229</v>
      </c>
      <c r="E316" t="s">
        <v>4230</v>
      </c>
      <c r="F316" t="s">
        <v>3357</v>
      </c>
      <c r="G316" t="s">
        <v>4231</v>
      </c>
    </row>
    <row r="317" spans="1:7" ht="11.25" customHeight="1">
      <c r="A317" t="s">
        <v>14</v>
      </c>
      <c r="B317" t="s">
        <v>4221</v>
      </c>
      <c r="C317" t="s">
        <v>4222</v>
      </c>
      <c r="D317" t="s">
        <v>4232</v>
      </c>
      <c r="E317" t="s">
        <v>4233</v>
      </c>
      <c r="F317" t="s">
        <v>3357</v>
      </c>
      <c r="G317" t="s">
        <v>4234</v>
      </c>
    </row>
    <row r="318" spans="1:7" ht="11.25" customHeight="1">
      <c r="A318" t="s">
        <v>14</v>
      </c>
      <c r="B318" t="s">
        <v>4221</v>
      </c>
      <c r="C318" t="s">
        <v>4222</v>
      </c>
      <c r="D318" t="s">
        <v>4235</v>
      </c>
      <c r="E318" t="s">
        <v>4236</v>
      </c>
      <c r="F318" t="s">
        <v>3357</v>
      </c>
      <c r="G318" t="s">
        <v>4237</v>
      </c>
    </row>
    <row r="319" spans="1:7" ht="11.25" customHeight="1">
      <c r="A319" t="s">
        <v>14</v>
      </c>
      <c r="B319" t="s">
        <v>4221</v>
      </c>
      <c r="C319" t="s">
        <v>4222</v>
      </c>
      <c r="D319" t="s">
        <v>4221</v>
      </c>
      <c r="E319" t="s">
        <v>4222</v>
      </c>
      <c r="F319" t="s">
        <v>3354</v>
      </c>
      <c r="G319" t="s">
        <v>4238</v>
      </c>
    </row>
    <row r="320" spans="1:7" ht="11.25" customHeight="1">
      <c r="A320" t="s">
        <v>14</v>
      </c>
      <c r="B320" t="s">
        <v>4221</v>
      </c>
      <c r="C320" t="s">
        <v>4222</v>
      </c>
      <c r="D320" t="s">
        <v>4239</v>
      </c>
      <c r="E320" t="s">
        <v>4240</v>
      </c>
      <c r="F320" t="s">
        <v>3357</v>
      </c>
      <c r="G320" t="s">
        <v>4241</v>
      </c>
    </row>
    <row r="321" spans="1:7" ht="11.25" customHeight="1">
      <c r="A321" t="s">
        <v>14</v>
      </c>
      <c r="B321" t="s">
        <v>4242</v>
      </c>
      <c r="C321" t="s">
        <v>4243</v>
      </c>
      <c r="D321" t="s">
        <v>4242</v>
      </c>
      <c r="E321" t="s">
        <v>4243</v>
      </c>
      <c r="F321" t="s">
        <v>3351</v>
      </c>
      <c r="G321" t="s">
        <v>4244</v>
      </c>
    </row>
    <row r="322" spans="1:7" ht="11.25" customHeight="1">
      <c r="A322" t="s">
        <v>14</v>
      </c>
      <c r="B322" t="s">
        <v>4245</v>
      </c>
      <c r="C322" t="s">
        <v>4246</v>
      </c>
      <c r="D322" t="s">
        <v>3883</v>
      </c>
      <c r="E322" t="s">
        <v>4247</v>
      </c>
      <c r="F322" t="s">
        <v>3357</v>
      </c>
      <c r="G322" t="s">
        <v>4248</v>
      </c>
    </row>
    <row r="323" spans="1:7" ht="11.25" customHeight="1">
      <c r="A323" t="s">
        <v>14</v>
      </c>
      <c r="B323" t="s">
        <v>4245</v>
      </c>
      <c r="C323" t="s">
        <v>4246</v>
      </c>
      <c r="D323" t="s">
        <v>4249</v>
      </c>
      <c r="E323" t="s">
        <v>4250</v>
      </c>
      <c r="F323" t="s">
        <v>3357</v>
      </c>
      <c r="G323" t="s">
        <v>4251</v>
      </c>
    </row>
    <row r="324" spans="1:7" ht="11.25" customHeight="1">
      <c r="A324" t="s">
        <v>14</v>
      </c>
      <c r="B324" t="s">
        <v>4245</v>
      </c>
      <c r="C324" t="s">
        <v>4246</v>
      </c>
      <c r="D324" t="s">
        <v>4252</v>
      </c>
      <c r="E324" t="s">
        <v>4253</v>
      </c>
      <c r="F324" t="s">
        <v>3357</v>
      </c>
      <c r="G324" t="s">
        <v>4254</v>
      </c>
    </row>
    <row r="325" spans="1:7" ht="11.25" customHeight="1">
      <c r="A325" t="s">
        <v>14</v>
      </c>
      <c r="B325" t="s">
        <v>4245</v>
      </c>
      <c r="C325" t="s">
        <v>4246</v>
      </c>
      <c r="D325" t="s">
        <v>4255</v>
      </c>
      <c r="E325" t="s">
        <v>4256</v>
      </c>
      <c r="F325" t="s">
        <v>3357</v>
      </c>
      <c r="G325" t="s">
        <v>4257</v>
      </c>
    </row>
    <row r="326" spans="1:7" ht="11.25" customHeight="1">
      <c r="A326" t="s">
        <v>14</v>
      </c>
      <c r="B326" t="s">
        <v>4245</v>
      </c>
      <c r="C326" t="s">
        <v>4246</v>
      </c>
      <c r="D326" t="s">
        <v>4258</v>
      </c>
      <c r="E326" t="s">
        <v>4259</v>
      </c>
      <c r="F326" t="s">
        <v>3357</v>
      </c>
      <c r="G326" t="s">
        <v>4260</v>
      </c>
    </row>
    <row r="327" spans="1:7" ht="11.25" customHeight="1">
      <c r="A327" t="s">
        <v>14</v>
      </c>
      <c r="B327" t="s">
        <v>4245</v>
      </c>
      <c r="C327" t="s">
        <v>4246</v>
      </c>
      <c r="D327" t="s">
        <v>4261</v>
      </c>
      <c r="E327" t="s">
        <v>4262</v>
      </c>
      <c r="F327" t="s">
        <v>3357</v>
      </c>
      <c r="G327" t="s">
        <v>4263</v>
      </c>
    </row>
    <row r="328" spans="1:7" ht="11.25" customHeight="1">
      <c r="A328" t="s">
        <v>14</v>
      </c>
      <c r="B328" t="s">
        <v>4245</v>
      </c>
      <c r="C328" t="s">
        <v>4246</v>
      </c>
      <c r="D328" t="s">
        <v>4264</v>
      </c>
      <c r="E328" t="s">
        <v>4265</v>
      </c>
      <c r="F328" t="s">
        <v>3357</v>
      </c>
      <c r="G328" t="s">
        <v>4266</v>
      </c>
    </row>
    <row r="329" spans="1:7" ht="11.25" customHeight="1">
      <c r="A329" t="s">
        <v>14</v>
      </c>
      <c r="B329" t="s">
        <v>4245</v>
      </c>
      <c r="C329" t="s">
        <v>4246</v>
      </c>
      <c r="D329" t="s">
        <v>4267</v>
      </c>
      <c r="E329" t="s">
        <v>4268</v>
      </c>
      <c r="F329" t="s">
        <v>3357</v>
      </c>
      <c r="G329" t="s">
        <v>4269</v>
      </c>
    </row>
    <row r="330" spans="1:7" ht="11.25" customHeight="1">
      <c r="A330" t="s">
        <v>14</v>
      </c>
      <c r="B330" t="s">
        <v>4245</v>
      </c>
      <c r="C330" t="s">
        <v>4246</v>
      </c>
      <c r="D330" t="s">
        <v>4270</v>
      </c>
      <c r="E330" t="s">
        <v>4271</v>
      </c>
      <c r="F330" t="s">
        <v>3357</v>
      </c>
      <c r="G330" t="s">
        <v>4272</v>
      </c>
    </row>
    <row r="331" spans="1:7" ht="11.25" customHeight="1">
      <c r="A331" t="s">
        <v>14</v>
      </c>
      <c r="B331" t="s">
        <v>4245</v>
      </c>
      <c r="C331" t="s">
        <v>4246</v>
      </c>
      <c r="D331" t="s">
        <v>4273</v>
      </c>
      <c r="E331" t="s">
        <v>4274</v>
      </c>
      <c r="F331" t="s">
        <v>3357</v>
      </c>
      <c r="G331" t="s">
        <v>4275</v>
      </c>
    </row>
    <row r="332" spans="1:7" ht="11.25" customHeight="1">
      <c r="A332" t="s">
        <v>14</v>
      </c>
      <c r="B332" t="s">
        <v>4245</v>
      </c>
      <c r="C332" t="s">
        <v>4246</v>
      </c>
      <c r="D332" t="s">
        <v>4276</v>
      </c>
      <c r="E332" t="s">
        <v>4277</v>
      </c>
      <c r="F332" t="s">
        <v>3357</v>
      </c>
      <c r="G332" t="s">
        <v>4278</v>
      </c>
    </row>
    <row r="333" spans="1:7" ht="11.25" customHeight="1">
      <c r="A333" t="s">
        <v>14</v>
      </c>
      <c r="B333" t="s">
        <v>4245</v>
      </c>
      <c r="C333" t="s">
        <v>4246</v>
      </c>
      <c r="D333" t="s">
        <v>4245</v>
      </c>
      <c r="E333" t="s">
        <v>4246</v>
      </c>
      <c r="F333" t="s">
        <v>3354</v>
      </c>
      <c r="G333" t="s">
        <v>4279</v>
      </c>
    </row>
    <row r="334" spans="1:7" ht="11.25" customHeight="1">
      <c r="A334" t="s">
        <v>14</v>
      </c>
      <c r="B334" t="s">
        <v>4280</v>
      </c>
      <c r="C334" t="s">
        <v>4281</v>
      </c>
      <c r="D334" t="s">
        <v>4282</v>
      </c>
      <c r="E334" t="s">
        <v>4283</v>
      </c>
      <c r="F334" t="s">
        <v>3357</v>
      </c>
      <c r="G334" t="s">
        <v>4284</v>
      </c>
    </row>
    <row r="335" spans="1:7" ht="11.25" customHeight="1">
      <c r="A335" t="s">
        <v>14</v>
      </c>
      <c r="B335" t="s">
        <v>4280</v>
      </c>
      <c r="C335" t="s">
        <v>4281</v>
      </c>
      <c r="D335" t="s">
        <v>4285</v>
      </c>
      <c r="E335" t="s">
        <v>4286</v>
      </c>
      <c r="F335" t="s">
        <v>3453</v>
      </c>
      <c r="G335" t="s">
        <v>4287</v>
      </c>
    </row>
    <row r="336" spans="1:7" ht="11.25" customHeight="1">
      <c r="A336" t="s">
        <v>14</v>
      </c>
      <c r="B336" t="s">
        <v>4280</v>
      </c>
      <c r="C336" t="s">
        <v>4281</v>
      </c>
      <c r="D336" t="s">
        <v>4288</v>
      </c>
      <c r="E336" t="s">
        <v>4289</v>
      </c>
      <c r="F336" t="s">
        <v>3357</v>
      </c>
      <c r="G336" t="s">
        <v>4290</v>
      </c>
    </row>
    <row r="337" spans="1:7" ht="11.25" customHeight="1">
      <c r="A337" t="s">
        <v>14</v>
      </c>
      <c r="B337" t="s">
        <v>4280</v>
      </c>
      <c r="C337" t="s">
        <v>4281</v>
      </c>
      <c r="D337" t="s">
        <v>4291</v>
      </c>
      <c r="E337" t="s">
        <v>4292</v>
      </c>
      <c r="F337" t="s">
        <v>3357</v>
      </c>
      <c r="G337" t="s">
        <v>4293</v>
      </c>
    </row>
    <row r="338" spans="1:7" ht="11.25" customHeight="1">
      <c r="A338" t="s">
        <v>14</v>
      </c>
      <c r="B338" t="s">
        <v>4280</v>
      </c>
      <c r="C338" t="s">
        <v>4281</v>
      </c>
      <c r="D338" t="s">
        <v>3376</v>
      </c>
      <c r="E338" t="s">
        <v>4294</v>
      </c>
      <c r="F338" t="s">
        <v>3357</v>
      </c>
      <c r="G338" t="s">
        <v>4295</v>
      </c>
    </row>
    <row r="339" spans="1:7" ht="11.25" customHeight="1">
      <c r="A339" t="s">
        <v>14</v>
      </c>
      <c r="B339" t="s">
        <v>4280</v>
      </c>
      <c r="C339" t="s">
        <v>4281</v>
      </c>
      <c r="D339" t="s">
        <v>4296</v>
      </c>
      <c r="E339" t="s">
        <v>4297</v>
      </c>
      <c r="F339" t="s">
        <v>3357</v>
      </c>
      <c r="G339" t="s">
        <v>4298</v>
      </c>
    </row>
    <row r="340" spans="1:7" ht="11.25" customHeight="1">
      <c r="A340" t="s">
        <v>14</v>
      </c>
      <c r="B340" t="s">
        <v>4280</v>
      </c>
      <c r="C340" t="s">
        <v>4281</v>
      </c>
      <c r="D340" t="s">
        <v>4299</v>
      </c>
      <c r="E340" t="s">
        <v>4300</v>
      </c>
      <c r="F340" t="s">
        <v>3357</v>
      </c>
      <c r="G340" t="s">
        <v>4301</v>
      </c>
    </row>
    <row r="341" spans="1:7" ht="11.25" customHeight="1">
      <c r="A341" t="s">
        <v>14</v>
      </c>
      <c r="B341" t="s">
        <v>4280</v>
      </c>
      <c r="C341" t="s">
        <v>4281</v>
      </c>
      <c r="D341" t="s">
        <v>4302</v>
      </c>
      <c r="E341" t="s">
        <v>4303</v>
      </c>
      <c r="F341" t="s">
        <v>3357</v>
      </c>
      <c r="G341" t="s">
        <v>4304</v>
      </c>
    </row>
    <row r="342" spans="1:7" ht="11.25" customHeight="1">
      <c r="A342" t="s">
        <v>14</v>
      </c>
      <c r="B342" t="s">
        <v>4280</v>
      </c>
      <c r="C342" t="s">
        <v>4281</v>
      </c>
      <c r="D342" t="s">
        <v>4305</v>
      </c>
      <c r="E342" t="s">
        <v>4306</v>
      </c>
      <c r="F342" t="s">
        <v>3357</v>
      </c>
      <c r="G342" t="s">
        <v>4307</v>
      </c>
    </row>
    <row r="343" spans="1:7" ht="11.25" customHeight="1">
      <c r="A343" t="s">
        <v>14</v>
      </c>
      <c r="B343" t="s">
        <v>4280</v>
      </c>
      <c r="C343" t="s">
        <v>4281</v>
      </c>
      <c r="D343" t="s">
        <v>4308</v>
      </c>
      <c r="E343" t="s">
        <v>4309</v>
      </c>
      <c r="F343" t="s">
        <v>3357</v>
      </c>
      <c r="G343" t="s">
        <v>4310</v>
      </c>
    </row>
    <row r="344" spans="1:7" ht="11.25" customHeight="1">
      <c r="A344" t="s">
        <v>14</v>
      </c>
      <c r="B344" t="s">
        <v>4280</v>
      </c>
      <c r="C344" t="s">
        <v>4281</v>
      </c>
      <c r="D344" t="s">
        <v>4311</v>
      </c>
      <c r="E344" t="s">
        <v>4312</v>
      </c>
      <c r="F344" t="s">
        <v>3357</v>
      </c>
      <c r="G344" t="s">
        <v>4313</v>
      </c>
    </row>
    <row r="345" spans="1:7" ht="11.25" customHeight="1">
      <c r="A345" t="s">
        <v>14</v>
      </c>
      <c r="B345" t="s">
        <v>4280</v>
      </c>
      <c r="C345" t="s">
        <v>4281</v>
      </c>
      <c r="D345" t="s">
        <v>4314</v>
      </c>
      <c r="E345" t="s">
        <v>4315</v>
      </c>
      <c r="F345" t="s">
        <v>3357</v>
      </c>
      <c r="G345" t="s">
        <v>4316</v>
      </c>
    </row>
    <row r="346" spans="1:7" ht="11.25" customHeight="1">
      <c r="A346" t="s">
        <v>14</v>
      </c>
      <c r="B346" t="s">
        <v>4280</v>
      </c>
      <c r="C346" t="s">
        <v>4281</v>
      </c>
      <c r="D346" t="s">
        <v>4280</v>
      </c>
      <c r="E346" t="s">
        <v>4281</v>
      </c>
      <c r="F346" t="s">
        <v>3354</v>
      </c>
      <c r="G346" t="s">
        <v>4317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0"/>
    <col min="2" max="2" width="84.28515625" style="1610" customWidth="1"/>
    <col min="3" max="3" width="9.140625" style="1610"/>
  </cols>
  <sheetData>
    <row r="1" spans="1:3" ht="11.25" customHeight="1">
      <c r="A1" s="749" t="s">
        <v>4378</v>
      </c>
      <c r="B1" s="749" t="s">
        <v>4379</v>
      </c>
      <c r="C1" s="749" t="s">
        <v>1638</v>
      </c>
    </row>
    <row r="2" spans="1:3" ht="11.25" customHeight="1">
      <c r="A2" s="749">
        <v>4189678</v>
      </c>
      <c r="B2" s="749" t="s">
        <v>4380</v>
      </c>
      <c r="C2" s="749" t="s">
        <v>4381</v>
      </c>
    </row>
    <row r="3" spans="1:3" ht="11.25" customHeight="1">
      <c r="A3" s="749">
        <v>4190415</v>
      </c>
      <c r="B3" s="749" t="s">
        <v>4382</v>
      </c>
      <c r="C3" s="749" t="s">
        <v>4381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4383</v>
      </c>
      <c r="B1" s="81" t="s">
        <v>4384</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4385</v>
      </c>
      <c r="B1" t="b">
        <v>1</v>
      </c>
    </row>
    <row r="2" spans="1:2" ht="11.25" customHeight="1">
      <c r="A2" t="s">
        <v>4386</v>
      </c>
      <c r="B2" t="b">
        <v>0</v>
      </c>
    </row>
    <row r="3" spans="1:2" ht="11.25" customHeight="1">
      <c r="A3" t="s">
        <v>4387</v>
      </c>
      <c r="B3" t="b">
        <v>0</v>
      </c>
    </row>
    <row r="4" spans="1:2" ht="11.25" customHeight="1">
      <c r="A4" t="s">
        <v>4388</v>
      </c>
      <c r="B4" t="b">
        <v>1</v>
      </c>
    </row>
    <row r="5" spans="1:2" ht="11.25" customHeight="1">
      <c r="A5" t="s">
        <v>4389</v>
      </c>
      <c r="B5" t="b">
        <v>0</v>
      </c>
    </row>
    <row r="6" spans="1:2" ht="11.25" customHeight="1">
      <c r="A6" t="s">
        <v>4390</v>
      </c>
      <c r="B6" t="b">
        <v>0</v>
      </c>
    </row>
    <row r="7" spans="1:2" ht="11.25" customHeight="1">
      <c r="A7" t="s">
        <v>4391</v>
      </c>
      <c r="B7" t="b">
        <v>0</v>
      </c>
    </row>
    <row r="8" spans="1:2" ht="11.25" customHeight="1">
      <c r="A8" t="s">
        <v>4392</v>
      </c>
      <c r="B8" t="b">
        <v>0</v>
      </c>
    </row>
    <row r="9" spans="1:2" ht="11.25" customHeight="1">
      <c r="A9" t="s">
        <v>4393</v>
      </c>
      <c r="B9" t="b">
        <v>0</v>
      </c>
    </row>
    <row r="10" spans="1:2" ht="11.25" customHeight="1">
      <c r="A10" t="s">
        <v>4394</v>
      </c>
      <c r="B10" t="b">
        <v>0</v>
      </c>
    </row>
    <row r="11" spans="1:2" ht="11.25" customHeight="1">
      <c r="A11" t="s">
        <v>4395</v>
      </c>
      <c r="B11" t="b">
        <v>0</v>
      </c>
    </row>
    <row r="12" spans="1:2" ht="11.25" customHeight="1">
      <c r="A12" t="s">
        <v>4396</v>
      </c>
      <c r="B12" t="b">
        <v>0</v>
      </c>
    </row>
    <row r="13" spans="1:2" ht="11.25" customHeight="1">
      <c r="A13" t="s">
        <v>4397</v>
      </c>
      <c r="B13" t="b">
        <v>0</v>
      </c>
    </row>
    <row r="14" spans="1:2" ht="11.25" customHeight="1">
      <c r="A14" t="s">
        <v>4398</v>
      </c>
      <c r="B14" t="b">
        <v>1</v>
      </c>
    </row>
    <row r="15" spans="1:2" ht="11.25" customHeight="1">
      <c r="A15" t="s">
        <v>4399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3"/>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18" customWidth="1"/>
    <col min="2" max="2" width="21.140625" style="1818" customWidth="1"/>
  </cols>
  <sheetData>
    <row r="1" spans="1:2" ht="11.25" customHeight="1">
      <c r="A1" s="2" t="s">
        <v>4400</v>
      </c>
      <c r="B1" s="2" t="s">
        <v>4401</v>
      </c>
    </row>
    <row r="2" spans="1:2" ht="11.25" customHeight="1">
      <c r="A2" t="s">
        <v>4402</v>
      </c>
      <c r="B2" t="s">
        <v>4403</v>
      </c>
    </row>
    <row r="3" spans="1:2" ht="11.25" customHeight="1">
      <c r="A3" t="s">
        <v>4404</v>
      </c>
      <c r="B3" t="s">
        <v>4405</v>
      </c>
    </row>
    <row r="4" spans="1:2" ht="11.25" customHeight="1">
      <c r="A4" t="s">
        <v>4406</v>
      </c>
      <c r="B4" t="s">
        <v>4407</v>
      </c>
    </row>
    <row r="5" spans="1:2" ht="11.25" customHeight="1">
      <c r="A5" t="s">
        <v>4408</v>
      </c>
      <c r="B5" t="s">
        <v>4409</v>
      </c>
    </row>
    <row r="6" spans="1:2" ht="11.25" customHeight="1">
      <c r="A6" t="s">
        <v>4410</v>
      </c>
      <c r="B6" t="s">
        <v>4411</v>
      </c>
    </row>
    <row r="7" spans="1:2" ht="11.25" customHeight="1">
      <c r="A7" t="s">
        <v>4412</v>
      </c>
      <c r="B7" t="s">
        <v>4413</v>
      </c>
    </row>
    <row r="8" spans="1:2" ht="11.25" customHeight="1">
      <c r="A8" t="s">
        <v>4414</v>
      </c>
      <c r="B8" t="s">
        <v>4415</v>
      </c>
    </row>
    <row r="9" spans="1:2" ht="11.25" customHeight="1">
      <c r="A9" t="s">
        <v>4416</v>
      </c>
      <c r="B9" t="s">
        <v>4417</v>
      </c>
    </row>
    <row r="10" spans="1:2" ht="11.25" customHeight="1">
      <c r="A10" t="s">
        <v>4418</v>
      </c>
      <c r="B10" t="s">
        <v>4419</v>
      </c>
    </row>
    <row r="11" spans="1:2" ht="11.25" customHeight="1">
      <c r="A11" t="s">
        <v>4420</v>
      </c>
      <c r="B11" t="s">
        <v>4421</v>
      </c>
    </row>
    <row r="12" spans="1:2" ht="11.25" customHeight="1">
      <c r="A12" t="s">
        <v>4422</v>
      </c>
      <c r="B12" t="s">
        <v>4423</v>
      </c>
    </row>
    <row r="13" spans="1:2" ht="11.25" customHeight="1">
      <c r="A13" t="s">
        <v>4424</v>
      </c>
      <c r="B13" t="s">
        <v>4425</v>
      </c>
    </row>
    <row r="14" spans="1:2" ht="11.25" customHeight="1">
      <c r="A14" t="s">
        <v>4426</v>
      </c>
      <c r="B14" t="s">
        <v>4427</v>
      </c>
    </row>
    <row r="15" spans="1:2" ht="11.25" customHeight="1">
      <c r="A15" t="s">
        <v>4428</v>
      </c>
      <c r="B15" t="s">
        <v>4429</v>
      </c>
    </row>
    <row r="16" spans="1:2" ht="11.25" customHeight="1">
      <c r="A16" t="s">
        <v>4430</v>
      </c>
      <c r="B16" t="s">
        <v>4431</v>
      </c>
    </row>
    <row r="17" spans="1:2" ht="11.25" customHeight="1">
      <c r="A17" t="s">
        <v>4432</v>
      </c>
      <c r="B17" t="s">
        <v>4433</v>
      </c>
    </row>
    <row r="18" spans="1:2" ht="11.25" customHeight="1">
      <c r="A18" t="s">
        <v>4434</v>
      </c>
      <c r="B18" t="s">
        <v>4435</v>
      </c>
    </row>
    <row r="19" spans="1:2" ht="11.25" customHeight="1">
      <c r="A19" t="s">
        <v>4436</v>
      </c>
      <c r="B19" t="s">
        <v>4437</v>
      </c>
    </row>
    <row r="20" spans="1:2" ht="11.25" customHeight="1">
      <c r="A20" t="s">
        <v>4438</v>
      </c>
      <c r="B20" t="s">
        <v>4439</v>
      </c>
    </row>
    <row r="21" spans="1:2" ht="11.25" customHeight="1">
      <c r="A21" t="s">
        <v>4440</v>
      </c>
      <c r="B21" t="s">
        <v>4441</v>
      </c>
    </row>
    <row r="22" spans="1:2" ht="11.25" customHeight="1">
      <c r="A22" t="s">
        <v>4442</v>
      </c>
      <c r="B22" t="s">
        <v>4443</v>
      </c>
    </row>
    <row r="23" spans="1:2" ht="11.25" customHeight="1">
      <c r="A23" t="s">
        <v>4444</v>
      </c>
      <c r="B23" t="s">
        <v>4445</v>
      </c>
    </row>
    <row r="24" spans="1:2" ht="11.25" customHeight="1">
      <c r="A24" t="s">
        <v>4446</v>
      </c>
      <c r="B24" t="s">
        <v>4447</v>
      </c>
    </row>
    <row r="25" spans="1:2" ht="11.25" customHeight="1">
      <c r="A25" t="s">
        <v>4448</v>
      </c>
      <c r="B25" t="s">
        <v>4449</v>
      </c>
    </row>
    <row r="26" spans="1:2" ht="11.25" customHeight="1">
      <c r="A26" t="s">
        <v>4450</v>
      </c>
      <c r="B26" t="s">
        <v>4451</v>
      </c>
    </row>
    <row r="27" spans="1:2" ht="11.25" customHeight="1">
      <c r="A27" t="s">
        <v>4452</v>
      </c>
      <c r="B27" t="s">
        <v>4453</v>
      </c>
    </row>
    <row r="28" spans="1:2" ht="11.25" customHeight="1">
      <c r="A28" t="s">
        <v>4454</v>
      </c>
      <c r="B28" t="s">
        <v>4455</v>
      </c>
    </row>
    <row r="29" spans="1:2" ht="11.25" customHeight="1">
      <c r="A29" t="s">
        <v>4456</v>
      </c>
      <c r="B29" t="s">
        <v>4457</v>
      </c>
    </row>
    <row r="30" spans="1:2" ht="11.25" customHeight="1">
      <c r="A30" t="s">
        <v>4458</v>
      </c>
      <c r="B30" t="s">
        <v>4459</v>
      </c>
    </row>
    <row r="31" spans="1:2" ht="11.25" customHeight="1">
      <c r="A31" t="s">
        <v>4460</v>
      </c>
      <c r="B31" t="s">
        <v>4461</v>
      </c>
    </row>
    <row r="32" spans="1:2" ht="11.25" customHeight="1">
      <c r="A32" t="s">
        <v>4462</v>
      </c>
      <c r="B32" t="s">
        <v>4463</v>
      </c>
    </row>
    <row r="33" spans="1:2" ht="11.25" customHeight="1">
      <c r="A33" t="s">
        <v>4464</v>
      </c>
      <c r="B33" t="s">
        <v>4465</v>
      </c>
    </row>
    <row r="34" spans="1:2" ht="11.25" customHeight="1">
      <c r="A34" t="s">
        <v>4466</v>
      </c>
      <c r="B34" t="s">
        <v>4467</v>
      </c>
    </row>
    <row r="35" spans="1:2" ht="11.25" customHeight="1">
      <c r="A35" t="s">
        <v>4468</v>
      </c>
      <c r="B35" t="s">
        <v>4469</v>
      </c>
    </row>
    <row r="36" spans="1:2" ht="11.25" customHeight="1">
      <c r="A36" t="s">
        <v>4470</v>
      </c>
      <c r="B36" t="s">
        <v>4471</v>
      </c>
    </row>
    <row r="37" spans="1:2" ht="11.25" customHeight="1">
      <c r="A37" t="s">
        <v>4472</v>
      </c>
      <c r="B37" t="s">
        <v>4473</v>
      </c>
    </row>
    <row r="38" spans="1:2" ht="11.25" customHeight="1">
      <c r="A38" t="s">
        <v>4474</v>
      </c>
      <c r="B38" t="s">
        <v>4475</v>
      </c>
    </row>
    <row r="39" spans="1:2" ht="11.25" customHeight="1">
      <c r="A39" t="s">
        <v>4476</v>
      </c>
      <c r="B39" t="s">
        <v>4477</v>
      </c>
    </row>
    <row r="40" spans="1:2" ht="11.25" customHeight="1">
      <c r="A40" t="s">
        <v>4478</v>
      </c>
      <c r="B40" t="s">
        <v>4479</v>
      </c>
    </row>
    <row r="41" spans="1:2" ht="11.25" customHeight="1">
      <c r="A41" t="s">
        <v>4480</v>
      </c>
      <c r="B41" t="s">
        <v>4481</v>
      </c>
    </row>
    <row r="42" spans="1:2" ht="11.25" customHeight="1">
      <c r="A42" t="s">
        <v>4482</v>
      </c>
      <c r="B42" t="s">
        <v>4483</v>
      </c>
    </row>
    <row r="43" spans="1:2" ht="11.25" customHeight="1">
      <c r="A43" t="s">
        <v>4484</v>
      </c>
      <c r="B43" t="s">
        <v>4485</v>
      </c>
    </row>
    <row r="44" spans="1:2" ht="11.25" customHeight="1">
      <c r="A44" t="s">
        <v>4486</v>
      </c>
      <c r="B44" t="s">
        <v>4487</v>
      </c>
    </row>
    <row r="45" spans="1:2" ht="11.25" customHeight="1">
      <c r="A45" t="s">
        <v>4488</v>
      </c>
      <c r="B45" t="s">
        <v>4489</v>
      </c>
    </row>
    <row r="46" spans="1:2" ht="11.25" customHeight="1">
      <c r="A46" t="s">
        <v>4490</v>
      </c>
      <c r="B46" t="s">
        <v>4491</v>
      </c>
    </row>
    <row r="47" spans="1:2" ht="11.25" customHeight="1">
      <c r="A47" t="s">
        <v>4492</v>
      </c>
      <c r="B47" t="s">
        <v>4493</v>
      </c>
    </row>
    <row r="48" spans="1:2" ht="11.25" customHeight="1">
      <c r="A48" t="s">
        <v>4494</v>
      </c>
      <c r="B48" t="s">
        <v>4495</v>
      </c>
    </row>
    <row r="49" spans="1:2" ht="11.25" customHeight="1">
      <c r="A49" t="s">
        <v>4496</v>
      </c>
      <c r="B49" t="s">
        <v>4497</v>
      </c>
    </row>
    <row r="50" spans="1:2" ht="11.25" customHeight="1">
      <c r="A50" t="s">
        <v>4498</v>
      </c>
      <c r="B50" t="s">
        <v>4499</v>
      </c>
    </row>
    <row r="51" spans="1:2" ht="11.25" customHeight="1">
      <c r="A51" t="s">
        <v>4500</v>
      </c>
      <c r="B51" t="s">
        <v>4501</v>
      </c>
    </row>
    <row r="52" spans="1:2" ht="11.25" customHeight="1">
      <c r="A52" t="s">
        <v>4502</v>
      </c>
      <c r="B52" t="s">
        <v>4503</v>
      </c>
    </row>
    <row r="53" spans="1:2" ht="11.25" customHeight="1">
      <c r="A53" t="s">
        <v>4504</v>
      </c>
      <c r="B53" t="s">
        <v>4505</v>
      </c>
    </row>
    <row r="54" spans="1:2" ht="11.25" customHeight="1">
      <c r="A54" t="s">
        <v>4506</v>
      </c>
      <c r="B54" t="s">
        <v>4507</v>
      </c>
    </row>
    <row r="55" spans="1:2" ht="11.25" customHeight="1">
      <c r="A55" t="s">
        <v>4508</v>
      </c>
      <c r="B55" t="s">
        <v>4509</v>
      </c>
    </row>
    <row r="56" spans="1:2" ht="11.25" customHeight="1">
      <c r="A56" t="s">
        <v>4510</v>
      </c>
      <c r="B56" t="s">
        <v>4511</v>
      </c>
    </row>
    <row r="57" spans="1:2" ht="11.25" customHeight="1">
      <c r="A57" t="s">
        <v>4512</v>
      </c>
      <c r="B57" t="s">
        <v>4513</v>
      </c>
    </row>
    <row r="58" spans="1:2" ht="11.25" customHeight="1">
      <c r="A58" t="s">
        <v>4514</v>
      </c>
      <c r="B58" t="s">
        <v>4515</v>
      </c>
    </row>
    <row r="59" spans="1:2" ht="11.25" customHeight="1">
      <c r="A59" t="s">
        <v>4516</v>
      </c>
      <c r="B59" t="s">
        <v>4517</v>
      </c>
    </row>
    <row r="60" spans="1:2" ht="11.25" customHeight="1">
      <c r="A60" t="s">
        <v>4518</v>
      </c>
      <c r="B60" t="s">
        <v>4519</v>
      </c>
    </row>
    <row r="61" spans="1:2" ht="11.25" customHeight="1">
      <c r="A61"/>
      <c r="B61" t="s">
        <v>4520</v>
      </c>
    </row>
    <row r="62" spans="1:2" ht="11.25" customHeight="1">
      <c r="A62"/>
      <c r="B62" t="s">
        <v>4521</v>
      </c>
    </row>
    <row r="63" spans="1:2" ht="11.25" customHeight="1">
      <c r="A63"/>
      <c r="B63" t="s">
        <v>4522</v>
      </c>
    </row>
    <row r="64" spans="1:2" ht="11.25" customHeight="1">
      <c r="A64"/>
      <c r="B64" t="s">
        <v>4523</v>
      </c>
    </row>
    <row r="65" spans="1:2" ht="11.25" customHeight="1">
      <c r="A65"/>
      <c r="B65" t="s">
        <v>4524</v>
      </c>
    </row>
    <row r="66" spans="1:2" ht="11.25" customHeight="1">
      <c r="A66"/>
      <c r="B66" t="s">
        <v>4525</v>
      </c>
    </row>
    <row r="67" spans="1:2" ht="11.25" customHeight="1">
      <c r="A67"/>
      <c r="B67" t="s">
        <v>4526</v>
      </c>
    </row>
    <row r="68" spans="1:2" ht="11.25" customHeight="1">
      <c r="A68"/>
      <c r="B68" t="s">
        <v>4527</v>
      </c>
    </row>
    <row r="69" spans="1:2" ht="11.25" customHeight="1">
      <c r="A69"/>
      <c r="B69" t="s">
        <v>4528</v>
      </c>
    </row>
    <row r="70" spans="1:2" ht="11.25" customHeight="1">
      <c r="A70"/>
      <c r="B70" t="s">
        <v>4529</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18" customWidth="1"/>
    <col min="2" max="2" width="90.7109375" style="1818" customWidth="1"/>
    <col min="3" max="4" width="9.140625" style="1818"/>
  </cols>
  <sheetData>
    <row r="1" spans="2:4" ht="11.25" customHeight="1">
      <c r="B1" s="22" t="s">
        <v>4530</v>
      </c>
    </row>
    <row r="2" spans="2:4" ht="90" customHeight="1">
      <c r="B2" s="23" t="s">
        <v>4531</v>
      </c>
    </row>
    <row r="3" spans="2:4" ht="67.5" customHeight="1">
      <c r="B3" s="23" t="s">
        <v>4532</v>
      </c>
    </row>
    <row r="4" spans="2:4" ht="33.75" customHeight="1">
      <c r="B4" s="23" t="s">
        <v>4533</v>
      </c>
    </row>
    <row r="5" spans="2:4" ht="11.25" customHeight="1">
      <c r="B5" s="23" t="s">
        <v>4534</v>
      </c>
    </row>
    <row r="6" spans="2:4" ht="22.5" customHeight="1">
      <c r="B6" s="23" t="s">
        <v>4535</v>
      </c>
    </row>
    <row r="7" spans="2:4" ht="22.5" customHeight="1">
      <c r="B7" s="23" t="s">
        <v>4536</v>
      </c>
    </row>
    <row r="8" spans="2:4" ht="22.5" customHeight="1">
      <c r="B8" s="23" t="s">
        <v>4537</v>
      </c>
    </row>
    <row r="9" spans="2:4" ht="22.5" customHeight="1">
      <c r="B9" s="23" t="s">
        <v>4538</v>
      </c>
    </row>
    <row r="10" spans="2:4" ht="56.25" customHeight="1">
      <c r="B10" s="23" t="s">
        <v>4539</v>
      </c>
    </row>
    <row r="11" spans="2:4" ht="12.75" customHeight="1">
      <c r="B11" s="77" t="s">
        <v>4540</v>
      </c>
    </row>
    <row r="12" spans="2:4" ht="11.25" customHeight="1">
      <c r="B12" s="22" t="s">
        <v>4541</v>
      </c>
    </row>
    <row r="13" spans="2:4" ht="22.5" customHeight="1">
      <c r="B13" s="23" t="s">
        <v>4542</v>
      </c>
    </row>
    <row r="14" spans="2:4" ht="67.5" customHeight="1">
      <c r="B14" s="23" t="s">
        <v>4543</v>
      </c>
    </row>
    <row r="15" spans="2:4" ht="22.5" customHeight="1">
      <c r="B15" s="23" t="s">
        <v>4544</v>
      </c>
    </row>
    <row r="16" spans="2:4" ht="11.25" customHeight="1">
      <c r="B16" s="22" t="s">
        <v>4545</v>
      </c>
      <c r="D16" s="29"/>
    </row>
    <row r="17" spans="1:2" ht="33.75" customHeight="1">
      <c r="B17" s="23" t="s">
        <v>4546</v>
      </c>
    </row>
    <row r="18" spans="1:2" ht="33.75" customHeight="1">
      <c r="B18" s="23" t="s">
        <v>4547</v>
      </c>
    </row>
    <row r="19" spans="1:2" ht="11.25" customHeight="1">
      <c r="B19" s="23" t="s">
        <v>4548</v>
      </c>
    </row>
    <row r="20" spans="1:2" ht="33.75" customHeight="1">
      <c r="B20" s="23" t="s">
        <v>4549</v>
      </c>
    </row>
    <row r="21" spans="1:2" ht="11.25" customHeight="1">
      <c r="B21" s="22" t="s">
        <v>4550</v>
      </c>
    </row>
    <row r="22" spans="1:2" ht="11.25" customHeight="1">
      <c r="B22" s="23" t="s">
        <v>4551</v>
      </c>
    </row>
    <row r="24" spans="1:2" ht="22.5" customHeight="1">
      <c r="B24" s="79" t="s">
        <v>4552</v>
      </c>
    </row>
    <row r="26" spans="1:2" ht="11.25" customHeight="1">
      <c r="B26" s="22" t="s">
        <v>4553</v>
      </c>
    </row>
    <row r="27" spans="1:2" ht="22.5" customHeight="1">
      <c r="B27" s="78" t="s">
        <v>861</v>
      </c>
    </row>
    <row r="28" spans="1:2" ht="56.25" customHeight="1">
      <c r="B28" s="78" t="s">
        <v>4554</v>
      </c>
    </row>
    <row r="29" spans="1:2" ht="11.25" customHeight="1">
      <c r="B29" s="127" t="s">
        <v>4555</v>
      </c>
    </row>
    <row r="30" spans="1:2" ht="22.5" customHeight="1">
      <c r="B30" s="78" t="s">
        <v>4556</v>
      </c>
    </row>
    <row r="32" spans="1:2" ht="11.25" customHeight="1">
      <c r="A32"/>
      <c r="B32" s="106" t="s">
        <v>4557</v>
      </c>
    </row>
    <row r="33" spans="1:2" ht="14.25" customHeight="1">
      <c r="A33" s="107">
        <v>1</v>
      </c>
      <c r="B33" s="108" t="s">
        <v>4558</v>
      </c>
    </row>
    <row r="34" spans="1:2" ht="14.25" customHeight="1">
      <c r="A34" s="107">
        <v>2</v>
      </c>
      <c r="B34" s="108" t="s">
        <v>4559</v>
      </c>
    </row>
    <row r="35" spans="1:2" ht="11.25" customHeight="1">
      <c r="B35" s="106" t="s">
        <v>4560</v>
      </c>
    </row>
    <row r="36" spans="1:2" ht="11.25" customHeight="1">
      <c r="B36" s="108" t="s">
        <v>4561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38.140625" style="1555" customWidth="1"/>
    <col min="6" max="7" width="3.7109375" style="1555" customWidth="1"/>
    <col min="8" max="8" width="38.28515625" style="1555" customWidth="1"/>
    <col min="9" max="9" width="35.7109375" style="1555" customWidth="1"/>
    <col min="10" max="10" width="103.7109375" style="1555" customWidth="1"/>
    <col min="11" max="11" width="3.7109375" style="1739" customWidth="1"/>
    <col min="12" max="14" width="10.5703125" style="1562"/>
    <col min="15" max="15" width="13.7109375" style="1562" customWidth="1"/>
    <col min="16" max="16" width="15.42578125" style="1562" customWidth="1"/>
    <col min="17" max="17" width="16.28515625" style="1562" customWidth="1"/>
    <col min="18" max="21" width="10.5703125" style="1562"/>
  </cols>
  <sheetData>
    <row r="1" spans="1:21" ht="14.25" hidden="1" customHeight="1">
      <c r="E1" s="341"/>
      <c r="F1" s="341"/>
      <c r="G1" s="341"/>
      <c r="H1" s="8731" t="s">
        <v>817</v>
      </c>
      <c r="I1" s="8731"/>
    </row>
    <row r="2" spans="1:21" s="1555" customFormat="1" ht="14.25" hidden="1" customHeight="1">
      <c r="C2" s="1539"/>
      <c r="D2" s="8863" t="s">
        <v>95</v>
      </c>
      <c r="E2" s="8865"/>
      <c r="F2" s="1545"/>
      <c r="G2" s="1540" t="s">
        <v>95</v>
      </c>
      <c r="H2" s="1543"/>
      <c r="I2" s="1541"/>
      <c r="L2" s="1542"/>
      <c r="M2" s="1542"/>
      <c r="N2" s="1542"/>
      <c r="O2" s="1542" t="s">
        <v>847</v>
      </c>
      <c r="P2" s="1542"/>
      <c r="Q2" s="1542"/>
      <c r="R2" s="1544" t="s">
        <v>846</v>
      </c>
      <c r="S2" s="1544" t="s">
        <v>846</v>
      </c>
      <c r="T2" s="1542"/>
      <c r="U2" s="1542"/>
    </row>
    <row r="3" spans="1:21" s="1555" customFormat="1" ht="14.25" hidden="1" customHeight="1">
      <c r="C3" s="1539"/>
      <c r="D3" s="8864"/>
      <c r="E3" s="8866"/>
      <c r="F3" s="334"/>
      <c r="G3" s="783"/>
      <c r="H3" s="783" t="s">
        <v>848</v>
      </c>
      <c r="I3" s="229"/>
      <c r="L3" s="1542"/>
      <c r="M3" s="1542"/>
      <c r="N3" s="1542"/>
      <c r="O3" s="1542"/>
      <c r="P3" s="1542"/>
      <c r="Q3" s="1542"/>
      <c r="R3" s="1544"/>
      <c r="S3" s="1544"/>
      <c r="T3" s="1542"/>
      <c r="U3" s="1542"/>
    </row>
    <row r="4" spans="1:21" ht="14.25" hidden="1" customHeight="1"/>
    <row r="5" spans="1:21" s="1534" customFormat="1" ht="6" customHeight="1">
      <c r="C5" s="618"/>
      <c r="D5" s="619"/>
      <c r="E5" s="619"/>
      <c r="F5" s="619"/>
      <c r="G5" s="619"/>
      <c r="H5" s="619" t="s">
        <v>821</v>
      </c>
      <c r="I5" s="619"/>
      <c r="J5" s="619"/>
      <c r="L5" s="1535"/>
      <c r="M5" s="1535"/>
      <c r="N5" s="1535"/>
      <c r="O5" s="1535"/>
      <c r="P5" s="1535"/>
      <c r="Q5" s="1535"/>
      <c r="R5" s="1535"/>
      <c r="S5" s="1535"/>
      <c r="T5" s="1535"/>
      <c r="U5" s="1535"/>
    </row>
    <row r="6" spans="1:21" ht="27.75" customHeight="1">
      <c r="C6" s="1431"/>
      <c r="D6" s="8867" t="s">
        <v>849</v>
      </c>
      <c r="E6" s="8867"/>
      <c r="F6" s="8867"/>
      <c r="G6" s="8867"/>
      <c r="H6" s="8867"/>
      <c r="I6" s="8867"/>
      <c r="J6" s="415"/>
      <c r="K6" s="1536"/>
    </row>
    <row r="7" spans="1:21" ht="17.25" customHeight="1">
      <c r="C7" s="1431"/>
      <c r="D7" s="8814" t="str">
        <f>IF(org=0,"Не определено",org)</f>
        <v>ГУП СК "Ставрополькрайводоканал"</v>
      </c>
      <c r="E7" s="8814"/>
      <c r="F7" s="8814"/>
      <c r="G7" s="8814"/>
      <c r="H7" s="8814"/>
      <c r="I7" s="8814"/>
      <c r="J7" s="415"/>
      <c r="K7" s="1536"/>
    </row>
    <row r="8" spans="1:21" s="1533" customFormat="1" ht="6" customHeight="1">
      <c r="A8" s="1532"/>
      <c r="C8" s="410"/>
      <c r="D8" s="409"/>
      <c r="E8" s="409"/>
      <c r="F8" s="409"/>
      <c r="G8" s="409"/>
      <c r="H8" s="409"/>
      <c r="I8" s="409"/>
      <c r="J8" s="409"/>
      <c r="L8" s="1535"/>
      <c r="M8" s="1535"/>
      <c r="N8" s="1535"/>
      <c r="O8" s="1535"/>
      <c r="P8" s="1535"/>
      <c r="Q8" s="1535"/>
      <c r="R8" s="1535"/>
      <c r="S8" s="1535"/>
      <c r="T8" s="1535"/>
      <c r="U8" s="1535"/>
    </row>
    <row r="9" spans="1:21" s="1533" customFormat="1" ht="6" customHeight="1">
      <c r="A9" s="1532"/>
      <c r="C9" s="410"/>
      <c r="D9" s="409"/>
      <c r="E9" s="409"/>
      <c r="F9" s="409"/>
      <c r="G9" s="409"/>
      <c r="H9" s="409"/>
      <c r="I9" s="409"/>
      <c r="J9" s="409"/>
      <c r="L9" s="1542"/>
      <c r="M9" s="1542"/>
      <c r="N9" s="1542"/>
      <c r="O9" s="1542"/>
      <c r="P9" s="1542"/>
      <c r="Q9" s="1542"/>
      <c r="R9" s="1542"/>
      <c r="S9" s="1542"/>
      <c r="T9" s="1542"/>
      <c r="U9" s="1542"/>
    </row>
    <row r="10" spans="1:21" ht="14.25" customHeight="1">
      <c r="C10" s="1431"/>
      <c r="D10" s="8851" t="s">
        <v>763</v>
      </c>
      <c r="E10" s="8852"/>
      <c r="F10" s="8852"/>
      <c r="G10" s="8852"/>
      <c r="H10" s="8852"/>
      <c r="I10" s="8852"/>
      <c r="J10" s="8786" t="s">
        <v>764</v>
      </c>
    </row>
    <row r="11" spans="1:21" ht="25.5" customHeight="1">
      <c r="C11" s="1431"/>
      <c r="D11" s="8753" t="s">
        <v>84</v>
      </c>
      <c r="E11" s="8786" t="str">
        <f>IF(TEMPLATE_SPHERE&lt;&gt;"HEAT","Регулируемый вид деятельности","Вид регулируемой деятельности")</f>
        <v>Регулируемый вид деятельности</v>
      </c>
      <c r="F11" s="8828" t="s">
        <v>84</v>
      </c>
      <c r="G11" s="8829"/>
      <c r="H11" s="8813" t="s">
        <v>850</v>
      </c>
      <c r="I11" s="8813" t="s">
        <v>851</v>
      </c>
      <c r="J11" s="8786"/>
    </row>
    <row r="12" spans="1:21" ht="14.25" customHeight="1">
      <c r="C12" s="1431"/>
      <c r="D12" s="8753"/>
      <c r="E12" s="8786"/>
      <c r="F12" s="8833"/>
      <c r="G12" s="8834"/>
      <c r="H12" s="8862"/>
      <c r="I12" s="8862"/>
      <c r="J12" s="8786"/>
    </row>
    <row r="13" spans="1:21" s="1561" customFormat="1" ht="11.25" hidden="1" customHeight="1">
      <c r="C13" s="422"/>
      <c r="D13" s="423" t="s">
        <v>841</v>
      </c>
      <c r="E13" s="423"/>
      <c r="F13" s="423"/>
      <c r="G13" s="423"/>
      <c r="H13" s="421"/>
      <c r="I13" s="421"/>
      <c r="J13" s="361"/>
      <c r="L13" s="1535"/>
      <c r="M13" s="1535"/>
      <c r="N13" s="1535"/>
      <c r="O13" s="1535"/>
      <c r="P13" s="1535"/>
      <c r="Q13" s="1535"/>
      <c r="R13" s="1535"/>
      <c r="S13" s="1535"/>
      <c r="T13" s="1535"/>
      <c r="U13" s="1535"/>
    </row>
    <row r="14" spans="1:21" ht="14.25" customHeight="1">
      <c r="A14" s="1530"/>
      <c r="C14" s="1431"/>
      <c r="D14" s="8863" t="s">
        <v>95</v>
      </c>
      <c r="E14" s="8865"/>
      <c r="F14" s="1538"/>
      <c r="G14" s="1537" t="s">
        <v>95</v>
      </c>
      <c r="H14" s="1543"/>
      <c r="I14" s="1541"/>
      <c r="J14" s="8798" t="s">
        <v>852</v>
      </c>
      <c r="K14" s="1530"/>
      <c r="R14" s="424" t="s">
        <v>846</v>
      </c>
      <c r="S14" s="424" t="s">
        <v>846</v>
      </c>
    </row>
    <row r="15" spans="1:21" ht="14.25" customHeight="1">
      <c r="A15" s="1530"/>
      <c r="C15" s="1431"/>
      <c r="D15" s="8864"/>
      <c r="E15" s="8866"/>
      <c r="F15" s="334"/>
      <c r="G15" s="783"/>
      <c r="H15" s="783" t="s">
        <v>848</v>
      </c>
      <c r="I15" s="229"/>
      <c r="J15" s="8799"/>
      <c r="K15" s="1530"/>
      <c r="R15" s="424"/>
      <c r="S15" s="424"/>
    </row>
    <row r="16" spans="1:21" ht="14.25" customHeight="1">
      <c r="A16" s="1530"/>
      <c r="C16" s="1431"/>
      <c r="D16" s="334"/>
      <c r="E16" s="783" t="s">
        <v>209</v>
      </c>
      <c r="F16" s="229"/>
      <c r="G16" s="229"/>
      <c r="H16" s="335"/>
      <c r="I16" s="335"/>
      <c r="J16" s="8800"/>
      <c r="K16" s="1530"/>
    </row>
    <row r="17" spans="11:11" ht="14.25" customHeight="1">
      <c r="K17" s="1530"/>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2142</vt:i4>
      </vt:variant>
    </vt:vector>
  </HeadingPairs>
  <TitlesOfParts>
    <vt:vector size="222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pt_cs_47</vt:lpstr>
      <vt:lpstr>pt_cs_48</vt:lpstr>
      <vt:lpstr>pt_cs_49</vt:lpstr>
      <vt:lpstr>pt_cs_4i</vt:lpstr>
      <vt:lpstr>pt_cs_4p</vt:lpstr>
      <vt:lpstr>pt_cs_5</vt:lpstr>
      <vt:lpstr>pt_cs_50</vt:lpstr>
      <vt:lpstr>pt_cs_51</vt:lpstr>
      <vt:lpstr>pt_cs_52</vt:lpstr>
      <vt:lpstr>pt_cs_53</vt:lpstr>
      <vt:lpstr>pt_cs_54</vt:lpstr>
      <vt:lpstr>pt_cs_55</vt:lpstr>
      <vt:lpstr>pt_cs_56</vt:lpstr>
      <vt:lpstr>pt_cs_57</vt:lpstr>
      <vt:lpstr>pt_cs_58</vt:lpstr>
      <vt:lpstr>pt_cs_59</vt:lpstr>
      <vt:lpstr>pt_cs_6</vt:lpstr>
      <vt:lpstr>pt_cs_60</vt:lpstr>
      <vt:lpstr>pt_cs_61</vt:lpstr>
      <vt:lpstr>pt_cs_62</vt:lpstr>
      <vt:lpstr>pt_cs_63</vt:lpstr>
      <vt:lpstr>pt_cs_64</vt:lpstr>
      <vt:lpstr>pt_cs_65</vt:lpstr>
      <vt:lpstr>pt_cs_66</vt:lpstr>
      <vt:lpstr>pt_cs_67</vt:lpstr>
      <vt:lpstr>pt_cs_68</vt:lpstr>
      <vt:lpstr>pt_cs_69</vt:lpstr>
      <vt:lpstr>pt_cs_7</vt:lpstr>
      <vt:lpstr>pt_cs_70</vt:lpstr>
      <vt:lpstr>pt_cs_71</vt:lpstr>
      <vt:lpstr>pt_cs_72</vt:lpstr>
      <vt:lpstr>pt_cs_73</vt:lpstr>
      <vt:lpstr>pt_cs_74</vt:lpstr>
      <vt:lpstr>pt_cs_75</vt:lpstr>
      <vt:lpstr>pt_cs_76</vt:lpstr>
      <vt:lpstr>pt_cs_77</vt:lpstr>
      <vt:lpstr>pt_cs_78</vt:lpstr>
      <vt:lpstr>pt_cs_79</vt:lpstr>
      <vt:lpstr>pt_cs_8</vt:lpstr>
      <vt:lpstr>pt_cs_80</vt:lpstr>
      <vt:lpstr>pt_cs_81</vt:lpstr>
      <vt:lpstr>pt_cs_82</vt:lpstr>
      <vt:lpstr>pt_cs_83</vt:lpstr>
      <vt:lpstr>pt_cs_84</vt:lpstr>
      <vt:lpstr>pt_cs_85</vt:lpstr>
      <vt:lpstr>pt_cs_86</vt:lpstr>
      <vt:lpstr>pt_cs_87</vt:lpstr>
      <vt:lpstr>pt_cs_88</vt:lpstr>
      <vt:lpstr>pt_cs_89</vt:lpstr>
      <vt:lpstr>pt_cs_9</vt:lpstr>
      <vt:lpstr>pt_cs_90</vt:lpstr>
      <vt:lpstr>pt_cs_91</vt:lpstr>
      <vt:lpstr>pt_cs_92</vt:lpstr>
      <vt:lpstr>pt_cs_93</vt:lpstr>
      <vt:lpstr>pt_cs_94</vt:lpstr>
      <vt:lpstr>pt_cs_95</vt:lpstr>
      <vt:lpstr>pt_cs_96</vt:lpstr>
      <vt:lpstr>pt_cs_97</vt:lpstr>
      <vt:lpstr>pt_cs_98</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pt_ntar_26</vt:lpstr>
      <vt:lpstr>pt_ntar_27</vt:lpstr>
      <vt:lpstr>pt_ntar_28</vt:lpstr>
      <vt:lpstr>pt_ntar_29</vt:lpstr>
      <vt:lpstr>pt_ntar_3</vt:lpstr>
      <vt:lpstr>pt_ntar_30</vt:lpstr>
      <vt:lpstr>pt_ntar_31</vt:lpstr>
      <vt:lpstr>pt_ntar_32</vt:lpstr>
      <vt:lpstr>pt_ntar_33</vt:lpstr>
      <vt:lpstr>pt_ntar_34</vt:lpstr>
      <vt:lpstr>pt_ntar_35</vt:lpstr>
      <vt:lpstr>pt_ntar_36</vt:lpstr>
      <vt:lpstr>pt_ntar_37</vt:lpstr>
      <vt:lpstr>pt_ntar_38</vt:lpstr>
      <vt:lpstr>pt_ntar_39</vt:lpstr>
      <vt:lpstr>pt_ntar_4</vt:lpstr>
      <vt:lpstr>pt_ntar_40</vt:lpstr>
      <vt:lpstr>pt_ntar_41</vt:lpstr>
      <vt:lpstr>pt_ntar_42</vt:lpstr>
      <vt:lpstr>pt_ntar_43</vt:lpstr>
      <vt:lpstr>pt_ntar_44</vt:lpstr>
      <vt:lpstr>pt_ntar_45</vt:lpstr>
      <vt:lpstr>pt_ntar_46</vt:lpstr>
      <vt:lpstr>pt_ntar_47</vt:lpstr>
      <vt:lpstr>pt_ntar_48</vt:lpstr>
      <vt:lpstr>pt_ntar_49</vt:lpstr>
      <vt:lpstr>pt_ntar_4i</vt:lpstr>
      <vt:lpstr>pt_ntar_4p</vt:lpstr>
      <vt:lpstr>pt_ntar_5</vt:lpstr>
      <vt:lpstr>pt_ntar_50</vt:lpstr>
      <vt:lpstr>pt_ntar_51</vt:lpstr>
      <vt:lpstr>pt_ntar_52</vt:lpstr>
      <vt:lpstr>pt_ntar_53</vt:lpstr>
      <vt:lpstr>pt_ntar_54</vt:lpstr>
      <vt:lpstr>pt_ntar_55</vt:lpstr>
      <vt:lpstr>pt_ntar_56</vt:lpstr>
      <vt:lpstr>pt_ntar_57</vt:lpstr>
      <vt:lpstr>pt_ntar_58</vt:lpstr>
      <vt:lpstr>pt_ntar_59</vt:lpstr>
      <vt:lpstr>pt_ntar_6</vt:lpstr>
      <vt:lpstr>pt_ntar_60</vt:lpstr>
      <vt:lpstr>pt_ntar_61</vt:lpstr>
      <vt:lpstr>pt_ntar_62</vt:lpstr>
      <vt:lpstr>pt_ntar_63</vt:lpstr>
      <vt:lpstr>pt_ntar_64</vt:lpstr>
      <vt:lpstr>pt_ntar_65</vt:lpstr>
      <vt:lpstr>pt_ntar_66</vt:lpstr>
      <vt:lpstr>pt_ntar_67</vt:lpstr>
      <vt:lpstr>pt_ntar_68</vt:lpstr>
      <vt:lpstr>pt_ntar_69</vt:lpstr>
      <vt:lpstr>pt_ntar_7</vt:lpstr>
      <vt:lpstr>pt_ntar_70</vt:lpstr>
      <vt:lpstr>pt_ntar_71</vt:lpstr>
      <vt:lpstr>pt_ntar_72</vt:lpstr>
      <vt:lpstr>pt_ntar_73</vt:lpstr>
      <vt:lpstr>pt_ntar_74</vt:lpstr>
      <vt:lpstr>pt_ntar_75</vt:lpstr>
      <vt:lpstr>pt_ntar_76</vt:lpstr>
      <vt:lpstr>pt_ntar_77</vt:lpstr>
      <vt:lpstr>pt_ntar_78</vt:lpstr>
      <vt:lpstr>pt_ntar_79</vt:lpstr>
      <vt:lpstr>pt_ntar_8</vt:lpstr>
      <vt:lpstr>pt_ntar_80</vt:lpstr>
      <vt:lpstr>pt_ntar_81</vt:lpstr>
      <vt:lpstr>pt_ntar_82</vt:lpstr>
      <vt:lpstr>pt_ntar_83</vt:lpstr>
      <vt:lpstr>pt_ntar_84</vt:lpstr>
      <vt:lpstr>pt_ntar_85</vt:lpstr>
      <vt:lpstr>pt_ntar_86</vt:lpstr>
      <vt:lpstr>pt_ntar_87</vt:lpstr>
      <vt:lpstr>pt_ntar_88</vt:lpstr>
      <vt:lpstr>pt_ntar_89</vt:lpstr>
      <vt:lpstr>pt_ntar_9</vt:lpstr>
      <vt:lpstr>pt_ntar_90</vt:lpstr>
      <vt:lpstr>pt_ntar_91</vt:lpstr>
      <vt:lpstr>pt_ntar_92</vt:lpstr>
      <vt:lpstr>pt_ntar_93</vt:lpstr>
      <vt:lpstr>pt_ntar_94</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pt_ter_46</vt:lpstr>
      <vt:lpstr>pt_ter_47</vt:lpstr>
      <vt:lpstr>pt_ter_48</vt:lpstr>
      <vt:lpstr>pt_ter_49</vt:lpstr>
      <vt:lpstr>pt_ter_4i</vt:lpstr>
      <vt:lpstr>pt_ter_4p</vt:lpstr>
      <vt:lpstr>pt_ter_5</vt:lpstr>
      <vt:lpstr>pt_ter_50</vt:lpstr>
      <vt:lpstr>pt_ter_51</vt:lpstr>
      <vt:lpstr>pt_ter_52</vt:lpstr>
      <vt:lpstr>pt_ter_53</vt:lpstr>
      <vt:lpstr>pt_ter_54</vt:lpstr>
      <vt:lpstr>pt_ter_55</vt:lpstr>
      <vt:lpstr>pt_ter_56</vt:lpstr>
      <vt:lpstr>pt_ter_57</vt:lpstr>
      <vt:lpstr>pt_ter_58</vt:lpstr>
      <vt:lpstr>pt_ter_59</vt:lpstr>
      <vt:lpstr>pt_ter_6</vt:lpstr>
      <vt:lpstr>pt_ter_60</vt:lpstr>
      <vt:lpstr>pt_ter_61</vt:lpstr>
      <vt:lpstr>pt_ter_62</vt:lpstr>
      <vt:lpstr>pt_ter_63</vt:lpstr>
      <vt:lpstr>pt_ter_64</vt:lpstr>
      <vt:lpstr>pt_ter_65</vt:lpstr>
      <vt:lpstr>pt_ter_66</vt:lpstr>
      <vt:lpstr>pt_ter_67</vt:lpstr>
      <vt:lpstr>pt_ter_68</vt:lpstr>
      <vt:lpstr>pt_ter_69</vt:lpstr>
      <vt:lpstr>pt_ter_7</vt:lpstr>
      <vt:lpstr>pt_ter_70</vt:lpstr>
      <vt:lpstr>pt_ter_71</vt:lpstr>
      <vt:lpstr>pt_ter_72</vt:lpstr>
      <vt:lpstr>pt_ter_73</vt:lpstr>
      <vt:lpstr>pt_ter_74</vt:lpstr>
      <vt:lpstr>pt_ter_75</vt:lpstr>
      <vt:lpstr>pt_ter_76</vt:lpstr>
      <vt:lpstr>pt_ter_77</vt:lpstr>
      <vt:lpstr>pt_ter_78</vt:lpstr>
      <vt:lpstr>pt_ter_79</vt:lpstr>
      <vt:lpstr>pt_ter_8</vt:lpstr>
      <vt:lpstr>pt_ter_80</vt:lpstr>
      <vt:lpstr>pt_ter_81</vt:lpstr>
      <vt:lpstr>pt_ter_82</vt:lpstr>
      <vt:lpstr>pt_ter_83</vt:lpstr>
      <vt:lpstr>pt_ter_84</vt:lpstr>
      <vt:lpstr>pt_ter_85</vt:lpstr>
      <vt:lpstr>pt_ter_86</vt:lpstr>
      <vt:lpstr>pt_ter_87</vt:lpstr>
      <vt:lpstr>pt_ter_88</vt:lpstr>
      <vt:lpstr>pt_ter_89</vt:lpstr>
      <vt:lpstr>pt_ter_9</vt:lpstr>
      <vt:lpstr>pt_ter_90</vt:lpstr>
      <vt:lpstr>pt_ter_91</vt:lpstr>
      <vt:lpstr>pt_ter_92</vt:lpstr>
      <vt:lpstr>pt_ter_93</vt:lpstr>
      <vt:lpstr>pt_ter_94</vt:lpstr>
      <vt:lpstr>pt_ter_95</vt:lpstr>
      <vt:lpstr>pt_ter_96</vt:lpstr>
      <vt:lpstr>pt_ter_97</vt:lpstr>
      <vt:lpstr>pt_ter_98</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ter_64</vt:lpstr>
      <vt:lpstr>ter_65</vt:lpstr>
      <vt:lpstr>ter_66</vt:lpstr>
      <vt:lpstr>ter_67</vt:lpstr>
      <vt:lpstr>ter_68</vt:lpstr>
      <vt:lpstr>ter_69</vt:lpstr>
      <vt:lpstr>ter_70</vt:lpstr>
      <vt:lpstr>ter_71</vt:lpstr>
      <vt:lpstr>ter_72</vt:lpstr>
      <vt:lpstr>ter_73</vt:lpstr>
      <vt:lpstr>ter_74</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Акинфиева Ирина Владимировна</cp:lastModifiedBy>
  <cp:lastPrinted>2013-08-29T08:11:20Z</cp:lastPrinted>
  <dcterms:created xsi:type="dcterms:W3CDTF">2004-05-21T07:18:45Z</dcterms:created>
  <dcterms:modified xsi:type="dcterms:W3CDTF">2023-12-27T05:02:05Z</dcterms:modified>
</cp:coreProperties>
</file>